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832" firstSheet="1" activeTab="1"/>
  </bookViews>
  <sheets>
    <sheet name="Sheet2" sheetId="20" state="hidden" r:id="rId1"/>
    <sheet name="清单报价说明" sheetId="7" r:id="rId2"/>
    <sheet name="01、汇总表" sheetId="9" r:id="rId3"/>
    <sheet name="Sheet1" sheetId="19" state="hidden" r:id="rId4"/>
    <sheet name="02、样板间装饰工程" sheetId="22" r:id="rId5"/>
    <sheet name="03、安装工程" sheetId="23" r:id="rId6"/>
    <sheet name="其中电器及洁具明细" sheetId="24" r:id="rId7"/>
    <sheet name="其中洁具配置" sheetId="25" r:id="rId8"/>
    <sheet name="其中橱柜及主卧衣柜" sheetId="26" r:id="rId9"/>
    <sheet name="增加智能调整" sheetId="27" r:id="rId10"/>
    <sheet name="其中原开关面板" sheetId="28" r:id="rId11"/>
    <sheet name="其中土建改造及水电路、地暖" sheetId="29" r:id="rId12"/>
    <sheet name="门头钢结构工程量计算" sheetId="13" state="hidden" r:id="rId13"/>
  </sheets>
  <definedNames>
    <definedName name="_xlnm._FilterDatabase" localSheetId="4" hidden="1">'02、样板间装饰工程'!$A$1:$O$281</definedName>
    <definedName name="_xlnm._FilterDatabase" localSheetId="5" hidden="1">'03、安装工程'!$A$5:$P$66</definedName>
    <definedName name="_xlnm._FilterDatabase" localSheetId="12" hidden="1">门头钢结构工程量计算!$A$2:$G$22</definedName>
    <definedName name="_xlnm.Print_Area" localSheetId="2">'01、汇总表'!$A$1:$E$9</definedName>
    <definedName name="_xlnm.Print_Area" localSheetId="3">Sheet1!$A$1:$I$53</definedName>
    <definedName name="_xlnm.Print_Area" localSheetId="0">Sheet2!$A$1:$I$55</definedName>
    <definedName name="_xlnm.Print_Area" localSheetId="1">清单报价说明!$A$1:$B$27</definedName>
    <definedName name="_xlnm.Print_Area" localSheetId="5">'03、安装工程'!$A$1:$O$66</definedName>
    <definedName name="_xlnm.Print_Titles" localSheetId="5">'03、安装工程'!$1:$5</definedName>
    <definedName name="w" localSheetId="4">EVALUATE(SUBSTITUTE(SUBSTITUTE('02、样板间装饰工程'!$E1,"【","*ISTEXT(""【"),"】","】"")"))</definedName>
    <definedName name="_xlnm.Print_Area" localSheetId="4">'02、样板间装饰工程'!$A$1:$O$281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9F8B2F476F7D429A86B881002254A14F"/>
        <xdr:cNvPicPr>
          <a:picLocks noChangeAspect="1"/>
        </xdr:cNvPicPr>
      </xdr:nvPicPr>
      <xdr:blipFill>
        <a:blip r:embed="rId1"/>
        <a:stretch>
          <a:fillRect/>
        </a:stretch>
      </xdr:blipFill>
      <xdr:spPr>
        <a:xfrm>
          <a:off x="5943600" y="1689100"/>
          <a:ext cx="3067050" cy="4152900"/>
        </a:xfrm>
        <a:prstGeom prst="rect">
          <a:avLst/>
        </a:prstGeom>
        <a:noFill/>
        <a:ln w="9525">
          <a:noFill/>
        </a:ln>
      </xdr:spPr>
    </xdr:pic>
  </etc:cellImage>
  <etc:cellImage>
    <xdr:pic>
      <xdr:nvPicPr>
        <xdr:cNvPr id="4" name="ID_DF278EA430794116A0F6A02604718661"/>
        <xdr:cNvPicPr>
          <a:picLocks noChangeAspect="1"/>
        </xdr:cNvPicPr>
      </xdr:nvPicPr>
      <xdr:blipFill>
        <a:blip r:embed="rId2"/>
        <a:stretch>
          <a:fillRect/>
        </a:stretch>
      </xdr:blipFill>
      <xdr:spPr>
        <a:xfrm>
          <a:off x="5943600" y="2006600"/>
          <a:ext cx="2886075" cy="4333875"/>
        </a:xfrm>
        <a:prstGeom prst="rect">
          <a:avLst/>
        </a:prstGeom>
        <a:noFill/>
        <a:ln w="9525">
          <a:noFill/>
        </a:ln>
      </xdr:spPr>
    </xdr:pic>
  </etc:cellImage>
</etc:cellImages>
</file>

<file path=xl/sharedStrings.xml><?xml version="1.0" encoding="utf-8"?>
<sst xmlns="http://schemas.openxmlformats.org/spreadsheetml/2006/main" count="1809" uniqueCount="696">
  <si>
    <t>工程量清单报价说明</t>
  </si>
  <si>
    <t>一、工程概况:</t>
  </si>
  <si>
    <t>工程概况:</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</si>
  <si>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</si>
  <si>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</si>
  <si>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</si>
  <si>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</si>
  <si>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</si>
  <si>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</si>
  <si>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</si>
  <si>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</si>
  <si>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</si>
  <si>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</si>
  <si>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</si>
  <si>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其他材料费（辅材费）包括如下：a、各种规格的螺栓、化学螺栓、泡沫棒、连接件、挂件、背栓件、支座、镀锌钢、；b、硅酮建筑耐候密封胶、铝板打胶、环氧树脂结构胶；c、各种规格的不锈钢挂件、不锈钢钉、不锈钢铆钉等为完成本项目工作的一切材料费用。</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</si>
  <si>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</si>
  <si>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</si>
  <si>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工程量计算规则除另有说明外,执行《建设工程工程量清单计算规范》GB 50854-2013。</t>
  </si>
  <si>
    <t>四、其他计价说明</t>
  </si>
  <si>
    <t>精装修施工范围：图纸范围内的墙面地面天棚装修、强电、排水给水（含洁具），室内精装不包含成品装饰摆件，不包含弱电部分线路及布管，不包含智能配合弱电线路及布管。</t>
  </si>
  <si>
    <t>预算内的灯具为固定色温，如需改为智能变色控制需要另行报价。</t>
  </si>
  <si>
    <t>不包含物业公司的装修押金及管理费。</t>
  </si>
  <si>
    <t>如业主对设计做法及材料品牌有异议，可另行议价。</t>
  </si>
  <si>
    <t>五、计划工期</t>
  </si>
  <si>
    <t>工期暂定六个月（不含中央空调、新风、除湿、等安装周期）</t>
  </si>
  <si>
    <t>如有方案调整、材料更换等其他不可抗力因素工期顺延。</t>
  </si>
  <si>
    <t>以下内容为空白。</t>
  </si>
  <si>
    <t>装饰工程造价汇总表</t>
  </si>
  <si>
    <t>序 号</t>
  </si>
  <si>
    <t>项目名称</t>
  </si>
  <si>
    <t>单位</t>
  </si>
  <si>
    <t>合计(元)</t>
  </si>
  <si>
    <t>备注</t>
  </si>
  <si>
    <t>一</t>
  </si>
  <si>
    <t>样板间装饰工程</t>
  </si>
  <si>
    <t>项</t>
  </si>
  <si>
    <t>二</t>
  </si>
  <si>
    <t>安装工程</t>
  </si>
  <si>
    <t>同意电器全部自购，可减电器费用68598.06元，</t>
  </si>
  <si>
    <t>三</t>
  </si>
  <si>
    <t>减橱柜衣柜</t>
  </si>
  <si>
    <t>四</t>
  </si>
  <si>
    <t>增加智能部分</t>
  </si>
  <si>
    <t>五</t>
  </si>
  <si>
    <t>减原开关面板部分</t>
  </si>
  <si>
    <r>
      <rPr>
        <sz val="10"/>
        <rFont val="宋体"/>
        <charset val="1"/>
      </rPr>
      <t>说明：</t>
    </r>
    <r>
      <rPr>
        <sz val="10"/>
        <rFont val="Arial"/>
        <charset val="1"/>
      </rPr>
      <t>1</t>
    </r>
    <r>
      <rPr>
        <sz val="10"/>
        <rFont val="宋体"/>
        <charset val="1"/>
      </rPr>
      <t>、空调和新风、室内电梯、软装需要单独签约不再本次报价内。</t>
    </r>
    <r>
      <rPr>
        <sz val="10"/>
        <rFont val="Arial"/>
        <charset val="1"/>
      </rPr>
      <t xml:space="preserve">
</t>
    </r>
  </si>
  <si>
    <t>价格清单（装饰工程）（装饰部分）线条</t>
  </si>
  <si>
    <t>工程名称：101叠拼别墅装饰工程--装饰工程</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</si>
  <si>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</si>
  <si>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</si>
  <si>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</si>
  <si>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</si>
  <si>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</si>
  <si>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</si>
  <si>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</si>
  <si>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</si>
  <si>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</si>
  <si>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</si>
  <si>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</si>
  <si>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</si>
  <si>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</si>
  <si>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</si>
  <si>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</si>
  <si>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</si>
  <si>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</si>
  <si>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</si>
  <si>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#室-地面</t>
  </si>
  <si>
    <t>实木复合地板楼面</t>
  </si>
  <si>
    <t>1.WF.1  520*95*15mm（厚）
2.5厚木地板防潮胶垫
3.20厚水泥砂浆自流平
3.部位：健身房、客卧
4.其它说明：铺贴、擦缝、切割、磨边、金属收边条等一切铺贴步骤及所需之辅材，满足规范和设计图纸要求</t>
  </si>
  <si>
    <t>m2</t>
  </si>
  <si>
    <t>大欧鱼骨拼</t>
  </si>
  <si>
    <t>石材楼面</t>
  </si>
  <si>
    <t>1.ST-1 18mm厚米色天热石材
2.5mm厚DTA粘结砂浆层
3.15mm厚DSM15砂浆找平
4.部位：#一层 #二层 大面积地面
5.其它说明：铺贴、擦缝、切割、磨边、结晶等一切铺贴步骤及所需之辅材，满足规范和设计图纸要求</t>
  </si>
  <si>
    <t>白玉兰</t>
  </si>
  <si>
    <t>瓷砖楼面</t>
  </si>
  <si>
    <r>
      <rPr>
        <sz val="9"/>
        <rFont val="宋体"/>
        <charset val="134"/>
      </rPr>
      <t>1.CT-1 1200mm*600mm大理石瓷砖希腊灰石材光 
2.5mm厚DTA粘结砂浆层
3.15mm厚DSM15砂浆找平
4.部位：工人房、储物间
5.其它说明：铺贴、擦缝、切割、磨边、</t>
    </r>
    <r>
      <rPr>
        <sz val="9"/>
        <color rgb="FFFF0000"/>
        <rFont val="宋体"/>
        <charset val="134"/>
      </rPr>
      <t>美缝</t>
    </r>
    <r>
      <rPr>
        <sz val="9"/>
        <rFont val="宋体"/>
        <charset val="134"/>
      </rPr>
      <t>等一切铺贴步骤及所需之辅材，满足规范和设计图纸要求</t>
    </r>
  </si>
  <si>
    <t>鹰牌/诺贝尔</t>
  </si>
  <si>
    <t>地毯楼面</t>
  </si>
  <si>
    <t>1.CPT.1 15厚选型地毯
2.5厚地毯防潮胶垫
3.20厚水泥砂浆自流平
3.部位：影音室
4.其它说明：铺贴、擦缝、切割、磨边、金属收边条等一切铺贴步骤及所需之辅材，满足规范和设计图纸要求</t>
  </si>
  <si>
    <t>钻石</t>
  </si>
  <si>
    <t>瓷砖楼面（防水房间）</t>
  </si>
  <si>
    <t>1.CT-1 1200mm*600mm大理石瓷砖希腊灰石材光 
2.5mm厚DTA粘结砂浆层
3.25mm厚DSM15砂浆找平
4.20厚DS水泥砂浆保护层
5.1.5mm厚JS聚合物水泥防水涂料1I型分三遍涂刷
6.部位：洗衣服、客卫
7.其它说明：铺贴、擦缝、切割、磨边等一切铺贴步骤及所需之辅材，满足规范和设计图纸要求</t>
  </si>
  <si>
    <t>1.CT-1 1200mm*600mm大理石瓷砖希腊灰石材光防滑处理  
2.5mm厚水泥砂浆粘结层
3.15mm厚DSM15砂浆找平
4.20厚DS水泥砂浆保护层
5.1.5mm厚JS聚合物水泥防水涂料1I型分三遍涂刷
6.部位：客卫
7.其它说明：铺贴、擦缝、切割、磨边等一切铺贴步骤及所需之辅材，满足规范和设计图纸要求</t>
  </si>
  <si>
    <t>金属扣条挡水条</t>
  </si>
  <si>
    <t>1.金属扣条，高度20mm
2.瓷砖背衬
3.部位：客卫
4.其它说明：铺贴、擦缝、切割、磨边等一切铺贴步骤及所需之辅材，满足规范和设计图纸要求</t>
  </si>
  <si>
    <t>m</t>
  </si>
  <si>
    <t>瓷砖楼梯地面楼面</t>
  </si>
  <si>
    <r>
      <rPr>
        <sz val="9"/>
        <rFont val="宋体"/>
        <charset val="134"/>
      </rPr>
      <t xml:space="preserve">1.CT-1 1200mm*600mm大理石瓷砖希腊灰石材光 </t>
    </r>
    <r>
      <rPr>
        <sz val="9"/>
        <color rgb="FFFF0000"/>
        <rFont val="宋体"/>
        <charset val="134"/>
      </rPr>
      <t>（应为ST-1 18mm厚米色天热石材）</t>
    </r>
    <r>
      <rPr>
        <sz val="9"/>
        <rFont val="宋体"/>
        <charset val="134"/>
      </rPr>
      <t xml:space="preserve">
2.5mm厚DTA粘结砂浆层
3.15mm厚DSM15砂浆找平
4.部位：楼梯间
5.其它说明：铺贴、擦缝、切割、磨边、</t>
    </r>
    <r>
      <rPr>
        <sz val="9"/>
        <color rgb="FFFF0000"/>
        <rFont val="宋体"/>
        <charset val="134"/>
      </rPr>
      <t>结晶</t>
    </r>
    <r>
      <rPr>
        <sz val="9"/>
        <rFont val="宋体"/>
        <charset val="134"/>
      </rPr>
      <t>等一切铺贴步骤及所需之辅材，满足规范和设计图纸要求</t>
    </r>
  </si>
  <si>
    <t>过门石</t>
  </si>
  <si>
    <t>1.ST-1 18mm厚米色天热石材
2.5mm厚DTA粘结砂浆层
3.15mm厚DSM15砂浆找平
4.部位：起居室、走道
5.其它说明：铺贴、擦缝、切割、磨边等一切铺贴步骤及所需之辅材，满足规范和设计图纸要求</t>
  </si>
  <si>
    <t>#-天棚</t>
  </si>
  <si>
    <t>双层石膏板吊顶天棚（圆形）</t>
  </si>
  <si>
    <t>1.钢筋混凝土楼板
2.膨胀螺栓,∅8钢筋吊杆,
3.承载龙骨LL-CS/60*27*1.2(轻型）间距900-1100mm
4.覆面龙骨LL-C/50*20*0.6(轻型）间距600*300
5.辅助龙骨LL-C/25*20*0.6(轻型）
6.双层9.5mm厚纸面石膏板
7.奶白色防水乳胶漆三遍（一底两面） 耐水腻子三遍 （分遍打磨）
8.部位：#一层起居室
9.包含吊顶上裁切开孔、形成灯口、进出风口、检修口及其它出口及额外处理、封边，包括并不限于上述所有施工步骤及所需之材料
10.具体施工技术要求根据现场工程要求施工，满足规范和设计图纸要求</t>
  </si>
  <si>
    <t>可耐福石膏板、多乐士乳胶漆</t>
  </si>
  <si>
    <t>双层石膏板吊顶天棚</t>
  </si>
  <si>
    <t>1.钢筋混凝土楼板
2.膨胀螺栓,∅8钢筋吊杆,
3.承载龙骨LL-CS/60*27*1.2(轻型）间距900-1100mm
4.覆面龙骨LL-C/50*20*0.6(轻型）间距600*300
5.辅助龙骨LL-C/25*20*0.6(轻型）
6.双层9.5mm厚纸面石膏板
7.奶白色防水乳胶漆三遍（一底两面） 耐水腻子三遍 （分遍打磨）
8.部位：#客卧、起居室、工人间、储藏间、影音室、吧台、酒窖、走道、健身房
9.包含吊顶上裁切开孔、形成灯口、进出风口、检修口及其它出口及额外处理、封边，包括并不限于上述所有施工步骤及所需之材料
10.具体施工技术要求根据现场工程要求施工，满足规范和设计图纸要求</t>
  </si>
  <si>
    <t>单层石膏板吊顶天棚</t>
  </si>
  <si>
    <t>1.钢筋混凝土楼板
2.膨胀螺栓,∅8钢筋吊杆,
3.承载龙骨LL-CS/60*27*1.2(轻型）间距900-1100mm
4.覆面龙骨LL-C/50*20*0.6(轻型）间距600*300
5.辅助龙骨LL-C/25*20*0.6(轻型）
6.单层9.5mm厚纸面石膏板、12mm阻燃木夹板基层
7.蓝色乳胶漆三遍（一底两面） 耐水腻子三遍 （分遍打磨）
8.部位：#二层影音厅 
9.包含吊顶上裁切开孔、形成灯口、进出风口、检修口及其它出口及额外处理、封边，包括并不限于上述所有施工步骤及所需之材料
10.具体施工技术要求根据现场工程要求施工，满足规范和设计图纸要求</t>
  </si>
  <si>
    <t>1.钢筋混凝土楼板
2.膨胀螺栓,∅8钢筋吊杆,
3.承载龙骨LL-CS/60*27*1.2(轻型）间距900-1100mm
4.覆面龙骨LL-C/50*20*0.6(轻型）间距600*300
5.辅助龙骨LL-C/25*20*0.6(轻型）
6.双层9.5mm厚纸面石膏板 
7.蓝色乳胶漆三遍（一底两面） 耐水腻子三遍 （分遍打磨）
8.部位：#二层影音厅 
9.包含吊顶上裁切开孔、形成灯口、进出风口、检修口及其它出口及额外处理、封边，包括并不限于上述所有施工步骤及所需之材料
10.具体施工技术要求根据现场工程要求施工，满足规范和设计图纸要求</t>
  </si>
  <si>
    <t xml:space="preserve">烤漆板木饰面吊顶天棚 </t>
  </si>
  <si>
    <t>1.钢筋混凝土楼板
2.膨胀螺栓,∅8钢筋吊杆,
3.承载龙骨LL-CS/60*27*1.2(轻型）间距900-1100mm
4.覆面龙骨LL-C/50*20*0.6(轻型）间距600*300
5.辅助龙骨LL-C/25*20*0.6(轻型）
6.15mm厚香槟色烤漆板、12mm阻燃木夹板基层
7.蓝色乳胶漆三遍（一底两面） 耐水腻子三遍 （分遍打磨）
8.部位：#二层影音厅 
9.包含吊顶上裁切开孔、形成灯口、进出风口、检修口及其它出口及额外处理、封边，包括并不限于上述所有施工步骤及所需之材料
10.具体施工技术要求根据现场工程要求施工，满足规范和设计图纸要求</t>
  </si>
  <si>
    <t>15mm宝源欧松板基层</t>
  </si>
  <si>
    <t>双层防水石膏板吊顶天棚</t>
  </si>
  <si>
    <t>1.钢筋混凝土楼板
2.膨胀螺栓,∅8钢筋吊杆,
3.承载龙骨LL-CS/60*27*1.2(轻型）间距900-1100mm
4.覆面龙骨LL-C/50*20*0.6(轻型）间距600*300
5.辅助龙骨LL-C/25*20*0.6(轻型）
6.双层9.5mm厚防水石膏板
7.奶白色防水乳胶漆三遍（一底两面） 耐水腻子三遍 （分遍打磨）
8.部位：卫生间、洗衣间
9.包含吊顶上裁切开孔、形成灯口、进出风口、检修口及其它出口及额外处理、封边，包括并不限于上述所有施工步骤及所需之材料
10.具体施工技术要求根据现场工程要求施工，满足规范和设计图纸要求</t>
  </si>
  <si>
    <t>1.钢筋混凝土楼板
2.膨胀螺栓,∅8钢筋吊杆,
3.承载龙骨LL-CS/60*27*1.2(轻型）间距900-1100mm
4.覆面龙骨LL-C/50*20*0.6(轻型）间距600*300
5.辅助龙骨LL-C/25*20*0.6(轻型）
6.15mm厚香槟色烤漆板、12mm阻燃木夹板基层
7.奶白色防水乳胶漆三遍（一底两面） 耐水腻子三遍 （分遍打磨）
8.部位：#二层影音厅 
9.包含吊顶上裁切开孔、形成灯口、进出风口、检修口及其它出口及额外处理、封边，包括并不限于上述所有施工步骤及所需之材料
10.具体施工技术要求根据现场工程要求施工，满足规范和设计图纸要求</t>
  </si>
  <si>
    <t>吊顶天棚-灯槽</t>
  </si>
  <si>
    <t>1.单层9.5mm厚石膏板
2.12mm阻燃木夹板板基层
3.奶白色防水乳胶漆三遍（一底两面） 耐水腻子三遍 （分遍打磨）
4.包含吊顶上裁切开孔、形成灯口、进出风口、检修口及其它出口及额外处理、封边，包括并不限于上述所有施工步骤及所需之材料
5.具体施工技术要求根据现场工程要求施工，满足规范和设计图纸要求
6.工程量按展开面积</t>
  </si>
  <si>
    <t>15mm宝源欧松板、可耐福石膏板、多乐士乳胶漆</t>
  </si>
  <si>
    <t>1.单层9.5mm厚石膏板
2.12mm阻燃木夹板板基层
3.蓝色乳胶漆三遍（一底两面） 耐水腻子三遍 （分遍打磨）
4.包含吊顶上裁切开孔、形成灯口、进出风口、检修口及其它出口及额外处理、封边，包括并不限于上述所有施工步骤及所需之材料
5.具体施工技术要求根据现场工程要求施工，满足规范和设计图纸要求
6.工程量按展开面积</t>
  </si>
  <si>
    <t>成品GRC线条1</t>
  </si>
  <si>
    <t>1.197*20厚弧形GRC线条
2.奶白色防水乳胶漆三遍（一底两面） 耐水腻子三遍 （分遍打磨）
3.具体施工技术要求根据现场工程要求施工，满足规范和设计图纸要求</t>
  </si>
  <si>
    <t>GRC</t>
  </si>
  <si>
    <t>成品GRC线条2</t>
  </si>
  <si>
    <t>石膏板包梁1</t>
  </si>
  <si>
    <t xml:space="preserve">1.单层层9.5mm厚石膏板
2.镀锌方钢龙骨 
3.奶白色防水乳胶漆三遍（一底两面） 耐水腻子三遍 （分遍打磨）
4.部位：中空上部梁底面（图DX011节点1）
5.包含吊顶上裁切开孔、形成灯口、进出风口、检修口及其它出口及额外处理、封边，包括并不限于上述所有施工步骤及所需之材料
6.具体施工技术要求根据现场工程要求施工，满足规范和设计图纸要求
</t>
  </si>
  <si>
    <t>石膏板包梁2</t>
  </si>
  <si>
    <t>1.双层层9.5mm厚石膏板
2.木龙骨 
3.奶白色防水乳胶漆三遍（一底两面） 耐水腻子三遍 （分遍打磨）
4.部位：中空上部梁底面（图DX011节点1）
5.包含吊顶上裁切开孔、形成灯口、进出风口、检修口及其它出口及额外处理、封边，包括并不限于上述所有施工步骤及所需之材料
6.具体施工技术要求根据现场工程要求施工，满足规范和设计图纸要求</t>
  </si>
  <si>
    <t>墙眉1</t>
  </si>
  <si>
    <t xml:space="preserve">1.双层层9.5mm厚石膏板
2.奶白色防水乳胶漆三遍（一底两面） 耐水腻子三遍 （分遍打磨） 
3.部位：健身房
4.包含吊顶上裁切开孔、形成灯口、进出风口、检修口及其它出口及额外处理、封边，包括并不限于上述所有施工步骤及所需之材料 
5.具体施工技术要求根据现场工程要求施工，满足规范和设计图纸要求
</t>
  </si>
  <si>
    <t>墙眉2</t>
  </si>
  <si>
    <t xml:space="preserve">1.双层层9.5mm厚石膏板
2.奶白色防水乳胶漆三遍（一底两面） 耐水腻子三遍 （分遍打磨） 
3.部位：客房
4.包含吊顶上裁切开孔、形成灯口、进出风口、检修口及其它出口及额外处理、封边，包括并不限于上述所有施工步骤及所需之材料 
5.具体施工技术要求根据现场工程要求施工，满足规范和设计图纸要求
</t>
  </si>
  <si>
    <t>#室-墙面</t>
  </si>
  <si>
    <t>中空房间 E101~105</t>
  </si>
  <si>
    <t>不锈钢踢脚线</t>
  </si>
  <si>
    <t>1.MTL-1  1.2mm厚不锈钢踢脚线，高度为30mm。
2.12mm厚阻燃木基层
4.具体施工技术要求根据现场工程要求施工，满足规范和设计图纸要求</t>
  </si>
  <si>
    <t>1.2mm厚不锈钢</t>
  </si>
  <si>
    <t>香槟色烤漆板墙面</t>
  </si>
  <si>
    <t>1.WD.4 香槟色烤漆板 造型详见图纸
2..12mm阻燃板基层单层
3.其它说明：满足规范和设计图纸要求</t>
  </si>
  <si>
    <t>石膏板墙面</t>
  </si>
  <si>
    <t>1.单层石膏板 白色防水乳胶漆三遍（一底两面） 耐水腻子三遍 （分遍打磨）
2.12mm阻燃板基层单层 木龙骨
3.其它说明：满足规范和设计图纸要求
4.部位：#一层中空</t>
  </si>
  <si>
    <t>石材台面（吧台）</t>
  </si>
  <si>
    <t>1.YB3 哥伦比亚祖母绿
2.12mm阻燃板基层单层
3.其它说明：满足规范和设计图纸要求
4.工程量为展开面积</t>
  </si>
  <si>
    <t>烤漆板柜体</t>
  </si>
  <si>
    <t xml:space="preserve">1.WD.4香槟色烤漆板
2.12mm阻燃板基层单层
3.其它说明：满足规范和设计图纸要求
4.工程量为展开面积
</t>
  </si>
  <si>
    <t>多层实木烤漆</t>
  </si>
  <si>
    <t>石材立面 （吧台）</t>
  </si>
  <si>
    <t>1.YB3 哥伦比亚祖母绿
2.12mm阻燃板基层单层
3.方钢骨架
4.其它说明：满足规范和设计图纸要求
5.工程量为展开面积</t>
  </si>
  <si>
    <t>不锈钢凸凹造型立面（吧台）</t>
  </si>
  <si>
    <t>1.MTL-1 
2.12mm阻燃板基层单层
3.方钢骨架
4.其它说明：满足规范和设计图纸要求
5.工程量为展开面积</t>
  </si>
  <si>
    <t>不锈钢面（吧台）</t>
  </si>
  <si>
    <t>1.MTL-1
2.12mm阻燃板基层单层
3.方钢骨架
4.其它说明：满足规范和设计图纸要求
5.工程量为展开面积</t>
  </si>
  <si>
    <t>玻璃隔断门</t>
  </si>
  <si>
    <t>1.玻璃隔断门2.51*2.05
2.二次深化设计
3.部位：#二层酒窖</t>
  </si>
  <si>
    <t>佛山系统门窗</t>
  </si>
  <si>
    <t xml:space="preserve">定制洗手柜 </t>
  </si>
  <si>
    <t>1.部位：吧台右侧墙面
2.台面：YB.2阿普案雕刻白
3.柜体：WD4香槟色烤漆板
4.柜体高度：850mm 宽度：600mm  长度1815mm
5.具体施工技术要求根据现场工程要求施工，满足规范和设计图纸要求</t>
  </si>
  <si>
    <t xml:space="preserve">定制木柜 </t>
  </si>
  <si>
    <t>1.部位：吧台右侧墙面
2.柜体：WD4香槟色烤漆板
3.柜体高度：2400mm 宽度：600mm  长度1180mm
4.具体施工技术要求根据现场工程要求施工，满足规范和设计图纸要求</t>
  </si>
  <si>
    <t xml:space="preserve">定制水吧 </t>
  </si>
  <si>
    <t>1.部位：#一层起居室
2.台面：YB.2阿普案雕刻白
3.柜体：WD4香槟色烤漆板
4.柜体高度：850mm 宽度：600mm  长度920mm
5.具体施工技术要求根据现场工程要求施工，满足规范和设计图纸要求</t>
  </si>
  <si>
    <t>1.部位：#一层起居室
2.柜体：WD4香槟色烤漆板
3.柜体高度：2400mm 宽度：600mm  长度550mm
4.具体施工技术要求根据现场工程要求施工，满足规范和设计图纸要求</t>
  </si>
  <si>
    <t>1.部位：#一层起居室
2.柜体：WD4香槟色烤漆板
3.柜体高度：2400mm 宽度：600mm  长度2370mm
4.具体施工技术要求根据现场工程要求施工，满足规范和设计图纸要求</t>
  </si>
  <si>
    <t>定制茶室柜</t>
  </si>
  <si>
    <t>1.部位：#二层茶室
2.柜体：WD5木饰面 暗藏灯箱
3.柜体高度：2270mm 宽度：350mm  长度4390mm
4.具体施工技术要求根据现场工程要求施工，满足规范和设计图纸要求</t>
  </si>
  <si>
    <t>岩板墙面</t>
  </si>
  <si>
    <t>1.YB2 12mm厚阿普案雕刻白 DC6M85BR1-R2-R3
2.部位：#二层吧台处洗手池、#一层起居室</t>
  </si>
  <si>
    <t>成品金属酒架</t>
  </si>
  <si>
    <t>1.成品金属酒架
2.部位：#二层吧台处洗手池、#一层起居室</t>
  </si>
  <si>
    <t xml:space="preserve">墙面乳胶漆 </t>
  </si>
  <si>
    <t>1.白色乳胶漆三遍（一底两面） 耐水腻子三遍 （分遍打磨）满刮成品腻子两遍
2.具体施工技术要求根据现场工程要求施工，满足规范和设计图纸要求
3部位：#一层健身房</t>
  </si>
  <si>
    <t>多乐士乳胶漆</t>
  </si>
  <si>
    <t>石材线条</t>
  </si>
  <si>
    <t>1.20*43天然石材线条
2.其它说明：满足规范和设计图纸要求</t>
  </si>
  <si>
    <t>金属艺术扶手</t>
  </si>
  <si>
    <t>1.香槟金不锈钢扶手15*12
2.其它说明：满足规范和设计图纸要求
3.部位：#室中空（图DX011节点1）</t>
  </si>
  <si>
    <t>钢化玻璃栏杆</t>
  </si>
  <si>
    <t>1.钢化玻璃栏板香槟金不锈钢扶手 高1150mm
2.其它说明：满足规范和设计图纸要求
3.部位：#室中空（图DX011节点1）</t>
  </si>
  <si>
    <t>10mm超白玻</t>
  </si>
  <si>
    <t>不锈钢窗套</t>
  </si>
  <si>
    <t>1.MTL.1、 香槟金不锈钢
2.12mm厚阻燃木基层
4.其它说明：满足规范和设计图纸要求</t>
  </si>
  <si>
    <t>楼梯艺术栏杆（铜艺）</t>
  </si>
  <si>
    <t>1.楼梯艺术栏杆3.1*0.9 
2.二次深化设计 
3.部位：#二层吧台处洗手池、#一层起居室</t>
  </si>
  <si>
    <t>广东铜艺</t>
  </si>
  <si>
    <t>窗井玻璃</t>
  </si>
  <si>
    <t>1.窗井玻璃0.79*2.922 
2.二次深化设计 
3.部位：#二层、#一层沙龙</t>
  </si>
  <si>
    <t>现有</t>
  </si>
  <si>
    <t>定制木柜</t>
  </si>
  <si>
    <t>1.部位：#一层健身房
2.柜体：WD4香槟色烤漆板
3.柜体高度：2550mm 宽度：600mm  长度1820mm
4.具体施工技术要求根据现场工程要求施工，满足规范和设计图纸要求</t>
  </si>
  <si>
    <t>亚克力灯箱</t>
  </si>
  <si>
    <t xml:space="preserve">1.8mm乳白色亚克力板
2.12mm阻燃板封边，金属收边条  
3.具体施工技术要求根据现场工程要求施工，满足规范和设计图纸要求
4.部位：#一层健身房
</t>
  </si>
  <si>
    <t>1.单层石膏板 白色防水乳胶漆三遍（一底两面） 耐水腻子三遍 （分遍打磨）
2.轻钢龙骨
3.其它说明：满足规范和设计图纸要求
4.部位：#一层健身房</t>
  </si>
  <si>
    <t>石材墙面</t>
  </si>
  <si>
    <t xml:space="preserve">1.PU.1 浅灰色600*1200mm*60mm
2.10mm纤维水泥板，30*10镀锌装配龙骨
3.具体施工技术要求根据现场工程要求施工，满足规范和设计图纸要求
4.部位：#窗井 
</t>
  </si>
  <si>
    <t xml:space="preserve">轻质镂空PU
水泥构件墙面
</t>
  </si>
  <si>
    <t xml:space="preserve">1.PU.2 轻质镂空PU水泥构件
2.12mm纤维水泥板，竖向轻钢龙骨
3.具体施工技术要求根据现场工程要求施工，满足规范和设计图纸要求
4.部位：#窗井
5.竖向投影面积 
</t>
  </si>
  <si>
    <t>木板墙面</t>
  </si>
  <si>
    <t>1.WD.4 香槟色烤漆板  
2.40镀锌方钢骨架、12mm阻燃板基层
3.具体施工技术要求根据现场工程要求施工，满足规范和设计图纸要求
4.部位：#二层#沙龙</t>
  </si>
  <si>
    <t>1.部位：#二层#沙龙
2.柜体：WD4香槟色烤漆板
3.柜体高度：1600mm 宽度：330mm  长度2780mm
4.具体施工技术要求根据现场工程要求施工，满足规范和设计图纸要求</t>
  </si>
  <si>
    <t>不锈钢柜体</t>
  </si>
  <si>
    <t>1.MTL.1  香槟金不锈钢
2.12mm厚阻燃木基层
3.其它说明：满足规范和设计图纸要求
4.部位：#二层#沙龙
5.展开面积</t>
  </si>
  <si>
    <t>玻璃镜墙面</t>
  </si>
  <si>
    <t xml:space="preserve">1.MR.1 6mm银镜+压腿杆
2.12mm厚阻燃木基层
3.其它说明：满足规范和设计图纸要求
4.部位：#一层健身房
 </t>
  </si>
  <si>
    <t>压腿杆</t>
  </si>
  <si>
    <t xml:space="preserve">1.M不锈钢固定件
2.实木圆柱拉杆
3.其它说明：满足规范和设计图纸要求
4.部位：#一层健身房
 </t>
  </si>
  <si>
    <t>酒窖防水石膏板墙面</t>
  </si>
  <si>
    <t>1.单层石膏板 白色防水乳胶漆三遍（一底两面） 耐水腻子三遍 （分遍打磨）
2.轻钢龙骨、内填保温棉
3.其它说明：满足规范和设计图纸要求
4.部位：#一层健身房</t>
  </si>
  <si>
    <t>酒窖红酒柜</t>
  </si>
  <si>
    <t>1.部位：#二层酒窖
2.柜体：WD5木饰面 暗藏灯带
3.柜体高度：2400mm 宽度：350mm  长度6600mm
4.具体施工技术要求根据现场工程要求施工，满足规范和设计图纸要求</t>
  </si>
  <si>
    <t xml:space="preserve">#一层客卫  </t>
  </si>
  <si>
    <t>瓷砖墙面</t>
  </si>
  <si>
    <t>1.CT.1 大理石瓷砖600*1200
2.10mm厚粘结层
3.界面涂料一道，水泥素浆渗胶甩毛
4.1.5mm厚JS聚合物水泥防水涂料Ⅱ型三遍涂刷
5.20mm厚1:2.5水泥砂浆找平
6.面涂料一道，水泥素浆渗胶甩毛
7..部位：客卫墙面
8.其它说明：铺贴、擦缝、切割、磨边等一切铺贴步骤及所需之辅材，满足规范和设计图纸要求</t>
  </si>
  <si>
    <t>钢化玻璃淋浴屏风</t>
  </si>
  <si>
    <t>1.10mm钢化玻璃淋浴
2.15*30金属型材边框
3.20*20方钢预埋固定、5mm止水钢板预埋
4.其它说明：安装、擦缝、切割、磨边等一切安装步骤及所需之辅材，满足规范和设计图纸要求</t>
  </si>
  <si>
    <t>定制化妆箱</t>
  </si>
  <si>
    <t>1.部位：#一层客卫
2.柜体高度：900mm 宽度：180mm  长度1580mm
3.具体施工技术要求根据现场工程要求施工，满足规范和设计图纸要求</t>
  </si>
  <si>
    <t>多层实木烤漆、智能镜</t>
  </si>
  <si>
    <t>定制洗脸盆柜</t>
  </si>
  <si>
    <t>1.部位：#一层客卫
2.台面：ST.2 雅柏白18mm天然石材 柜体：WD4香槟色烤漆板
3.柜体高度：600mm 宽度：550mm  长度780mm
4.具体施工技术要求根据现场工程要求施工，满足规范和设计图纸要求</t>
  </si>
  <si>
    <t xml:space="preserve">#一层走道  </t>
  </si>
  <si>
    <t xml:space="preserve">杂物间、工人房 </t>
  </si>
  <si>
    <t>石材踢脚线</t>
  </si>
  <si>
    <t>1.ST.1 18mm厚米色天热石材
2.5mm厚DTA粘结砂浆层
3.15mm厚DSM15砂浆找平
4.部位：#一层杂物间
5.其它说明：铺贴、擦缝、切割、磨边等一切铺贴步骤及所需之辅材，满足规范和设计图纸要求</t>
  </si>
  <si>
    <t>1.白色乳胶漆三遍（一底两面） 耐水腻子三遍 （分遍打磨）满刮成品腻子两遍
2.具体施工技术要求根据现场工程要求施工，满足规范和设计图纸要求</t>
  </si>
  <si>
    <t>洗衣房</t>
  </si>
  <si>
    <t>1.CT.1 大理石瓷砖600*1200
2.5mm厚DTA粘结砂浆层
3.15mm厚DSM15砂浆找平
4.部位：客卫墙面
5.其它说明：铺贴、擦缝、切割、磨边等一切铺贴步骤及所需之辅材，满足规范和设计图纸要求</t>
  </si>
  <si>
    <t>定制柜</t>
  </si>
  <si>
    <t>1.部位：#一层洗衣服
2.柜体高度：2400mm 宽度：500mm  长度900mm
3.具体施工技术要求根据现场工程要求施工，满足规范和设计图纸要求</t>
  </si>
  <si>
    <t>定制橱柜</t>
  </si>
  <si>
    <t>1.部位：#一层洗衣服
2.L形柜体 高度：800mm 宽度：500mm  长度1600+900mm 
3.具体施工技术要求根据现场工程要求施工，满足规范和设计图纸要求</t>
  </si>
  <si>
    <t>定制吊柜</t>
  </si>
  <si>
    <t>1.部位：#一层洗衣服
2.柜体高度：800mm 宽度：350mm  长度2090mm
3.具体施工技术要求根据现场工程要求施工，满足规范和设计图纸要求</t>
  </si>
  <si>
    <t>定制洗衣机柜</t>
  </si>
  <si>
    <t>1.部位：#一层洗衣服
2.柜体高度：2400mm 宽度：500mm  长度600mm
3.具体施工技术要求根据现场工程要求施工，满足规范和设计图纸要求</t>
  </si>
  <si>
    <t xml:space="preserve">客卧 </t>
  </si>
  <si>
    <t xml:space="preserve">定制储物柜 </t>
  </si>
  <si>
    <t>1.部位：#一层客卧
2.形柜体 高度：2400mm 宽度：300mm  长度1870 
3.具体施工技术要求根据现场工程要求施工，满足规范和设计图纸要求
4.二次深化设计</t>
  </si>
  <si>
    <t xml:space="preserve">定制衣柜 </t>
  </si>
  <si>
    <t>1.部位：#一层客卧
2.形柜体 高度：2400mm 宽度：580mm  长度1970 
3.具体施工技术要求根据现场工程要求施工，满足规范和设计图纸要求
4.二次深化设计</t>
  </si>
  <si>
    <t>墙面乳胶漆 +冲筋规方找平</t>
  </si>
  <si>
    <t>1.白色乳胶漆三遍（一底两面） 耐水腻子三遍 （分遍打磨）满刮成品腻子两遍
2.具体施工技术要求根据现场工程要求施工，满足规范和设计图纸要求          3、轻质粉刷石膏冲筋抹灰</t>
  </si>
  <si>
    <t>壁布硬包墙面</t>
  </si>
  <si>
    <t>1.WP.3 浅灰色壁布
2.双层12mm厚阻燃木基层
4.具体施工技术要求根据现场工程要求施工，满足规范和设计图纸要求</t>
  </si>
  <si>
    <t>皮革硬包墙面</t>
  </si>
  <si>
    <t>1.UP.4 咖色皮革
2.双层12mm厚阻燃木基层
4.具体施工技术要求根据现场工程要求施工，满足规范和设计图纸要求</t>
  </si>
  <si>
    <t>不锈钢造型墙面</t>
  </si>
  <si>
    <t>1.MTL-1  1.2mm厚不锈钢 
2.12mm厚阻燃木基层
4.具体施工技术要求根据现场工程要求施工，满足规范和设计图纸要求</t>
  </si>
  <si>
    <t xml:space="preserve">m </t>
  </si>
  <si>
    <t xml:space="preserve">不锈钢U线条 </t>
  </si>
  <si>
    <t>1.MTL-1  1.2mm厚不锈钢线条10*10 
2.木龙骨基层
4.具体施工技术要求根据现场工程要求施工，满足规范和设计图纸要求</t>
  </si>
  <si>
    <t>1.MTL-1  1.2mm厚不锈钢踢脚线，高度为50mm 
2.12mm厚阻燃木基层
4.具体施工技术要求根据现场工程要求施工，满足规范和设计图纸要求</t>
  </si>
  <si>
    <t>补94</t>
  </si>
  <si>
    <t>墙面冲筋规方、找平</t>
  </si>
  <si>
    <t>#影音室</t>
  </si>
  <si>
    <t>壁布软包墙面</t>
  </si>
  <si>
    <t>1.WP.4 浅灰色壁布软包
2.单层12mm厚阻燃木基层+50*0.8mm厚竖向C型轻钢龙骨内填隔音岩棉
3.具体施工技术要求根据现场工程要求施工，满足规范和设计图纸要求</t>
  </si>
  <si>
    <t>1.MTL-1  1.2mm厚不锈钢线条10*15 
2.木龙骨基层
4.具体施工技术要求根据现场工程要求施工，满足规范和设计图纸要求</t>
  </si>
  <si>
    <t xml:space="preserve">不锈钢柜体 </t>
  </si>
  <si>
    <t>1.MTL-1  1.2mm厚不锈钢  
2.12mm厚阻燃木基层
3.具体施工技术要求根据现场工程要求施工，满足规范和设计图纸要求
4.展开面积</t>
  </si>
  <si>
    <t xml:space="preserve">1.6mm乳白色亚克力板
2.1.2mm厚不锈钢封边  
3.具体施工技术要求根据现场工程要求施工，满足规范和设计图纸要求
4.部位：#一层健身房
</t>
  </si>
  <si>
    <t>香槟色烤漆板柜体</t>
  </si>
  <si>
    <t>1.WD.4 香槟色烤漆板 造型详见图纸
2..12mm阻燃板基层单层
3.其它说明：具体施工技术要求根据现场工程要求施工，满足规范和设计图纸要求
4.展开面积</t>
  </si>
  <si>
    <r>
      <rPr>
        <sz val="9"/>
        <rFont val="宋体"/>
        <charset val="134"/>
      </rPr>
      <t xml:space="preserve">1.WD.4 香槟色烤漆板 造型详见图纸
2..12mm阻燃板基层单层+50*0.8mm厚竖向C型轻钢龙骨内填隔音岩棉
3.其它说明：满足规范和设计图纸要求
</t>
    </r>
    <r>
      <rPr>
        <sz val="9"/>
        <color rgb="FFFF0000"/>
        <rFont val="宋体"/>
        <charset val="134"/>
      </rPr>
      <t>平面</t>
    </r>
  </si>
  <si>
    <t>香槟色烤漆木格栅墙面</t>
  </si>
  <si>
    <t xml:space="preserve">1.WD.4 香槟色烤漆木格栅 造型详见图纸
2..12mm阻燃板基层单层+木龙骨
3.其它说明：满足规范和设计图纸要求
 </t>
  </si>
  <si>
    <t>圆形软装装饰物</t>
  </si>
  <si>
    <t xml:space="preserve">1.软装装饰物 暗藏发光源 圆形Ф800
2.二次设计
3.具体施工技术要求根据现场工程要求施工，满足规范和设计图纸要求
 </t>
  </si>
  <si>
    <t>1.MTL-1  1.2mm厚不锈钢踢脚线，高度为50mm 
2.12mm厚阻燃木基层
3.具体施工技术要求根据现场工程要求施工，满足规范和设计图纸要求</t>
  </si>
  <si>
    <t>车库入库玄关</t>
  </si>
  <si>
    <t xml:space="preserve">1.YB3 哥伦比亚祖母绿
2.12mm阻燃板基层单层+木龙骨 不锈钢条收边
3.其它说明：满足规范和设计图纸要求
4.工程量为展开面积
</t>
  </si>
  <si>
    <t xml:space="preserve">1.WD.4 香槟色烤漆板 造型详见图纸
2..12mm阻燃板基层单层 
3.其它说明：满足规范和设计图纸要求
 </t>
  </si>
  <si>
    <t>1.MTL-1  1.2mm厚不锈钢踢脚线，高度为30mm 
2.12mm厚阻燃木基层
4.具体施工技术要求根据现场工程要求施工，满足规范和设计图纸要求</t>
  </si>
  <si>
    <t>#二层卫生间</t>
  </si>
  <si>
    <t>楼梯间</t>
  </si>
  <si>
    <r>
      <rPr>
        <sz val="9"/>
        <rFont val="宋体"/>
        <charset val="134"/>
      </rPr>
      <t xml:space="preserve">1.CT.1 大理石瓷砖600*1200   </t>
    </r>
    <r>
      <rPr>
        <sz val="9"/>
        <color rgb="FFFF0000"/>
        <rFont val="宋体"/>
        <charset val="134"/>
      </rPr>
      <t>（应为楼梯地面石材）</t>
    </r>
    <r>
      <rPr>
        <sz val="9"/>
        <rFont val="宋体"/>
        <charset val="134"/>
      </rPr>
      <t xml:space="preserve">
2.10mm厚粘结层
3.界面涂料一道，水泥素浆渗胶甩毛
4.1.5mm厚JS聚合物水泥防水涂料Ⅱ型三遍涂刷
5.20mm厚1:2.5水泥砂浆找平
6.面涂料一道，水泥素浆渗胶甩毛
7.部位：客卫生间 
8.其它说明：铺贴、擦缝、切割、磨边、</t>
    </r>
    <r>
      <rPr>
        <sz val="9"/>
        <color rgb="FFFF0000"/>
        <rFont val="宋体"/>
        <charset val="134"/>
      </rPr>
      <t>结晶</t>
    </r>
    <r>
      <rPr>
        <sz val="9"/>
        <rFont val="宋体"/>
        <charset val="134"/>
      </rPr>
      <t>等一切铺贴步骤及所需之辅材，满足规范和设计图纸要求</t>
    </r>
  </si>
  <si>
    <t>1.钢化玻璃栏板香槟金不锈钢扶手 高1020mm
2.其它说明：满足规范和设计图纸要求
3.部位：楼梯</t>
  </si>
  <si>
    <t>10mm超白玻、包含预埋钢板槽</t>
  </si>
  <si>
    <t>1.ST.1 18mm厚米色天热石材
2.5mm厚DTA粘结砂浆层
3.15mm厚DSM15砂浆找平
4.其它说明：铺贴、擦缝、切割、磨边等一切铺贴步骤及所需之辅材，满足规范和设计图纸要求</t>
  </si>
  <si>
    <t>不锈钢楼梯侧面</t>
  </si>
  <si>
    <t>1.MTL-1  1.2mm厚不锈钢 
2.12mm厚阻燃木基层
3.具体施工技术要求根据现场工程要求施工，满足规范和设计图纸要求</t>
  </si>
  <si>
    <t>木饰面</t>
  </si>
  <si>
    <t>1.木饰面混油板分缝
2.12mm厚阻燃木基层
3.具体施工技术要求根据现场工程要求施工，满足规范和设计图纸要求</t>
  </si>
  <si>
    <t>门</t>
  </si>
  <si>
    <t>木制成品门1</t>
  </si>
  <si>
    <t>1.WD.4 香槟色烤漆板木门及门套
2.900*2400
3.部位：#一层健身房、客房、工人房、洗衣服</t>
  </si>
  <si>
    <t>樘</t>
  </si>
  <si>
    <t>木制成品门2</t>
  </si>
  <si>
    <t>1.WD.4 香槟色烤漆板木门及门套
2.800*2400
3.部位：#一层储物间</t>
  </si>
  <si>
    <t>成品型材玻璃门1</t>
  </si>
  <si>
    <t>1.MTL-1  1.2mm厚不锈钢
2.900*2400
3.部位：#一层卫生间</t>
  </si>
  <si>
    <t>极简玻璃门</t>
  </si>
  <si>
    <t>成品型材玻璃门2</t>
  </si>
  <si>
    <t>1.MTL-1  1.2mm厚不锈钢
2.900*2300
3.部位：#二卫生间</t>
  </si>
  <si>
    <t xml:space="preserve">1.WD.4 香槟色烤漆板木门及不锈钢门套
2.900*2400
3.部位：#二层影音室 </t>
  </si>
  <si>
    <t>补125</t>
  </si>
  <si>
    <t>入户门套</t>
  </si>
  <si>
    <t>1.WD.4 香槟色烤漆板门套
2.1100*2400
3.部位：#一层储物间</t>
  </si>
  <si>
    <t>补126</t>
  </si>
  <si>
    <t>酒窖门套</t>
  </si>
  <si>
    <t>1.WD.4 香槟色烤漆板门套
2.2510*2400
3.部位：#一层储物间</t>
  </si>
  <si>
    <t>#其他</t>
  </si>
  <si>
    <t>加气砼墙体</t>
  </si>
  <si>
    <t>1.整压砼砌块墙
2.#一层二层</t>
  </si>
  <si>
    <t xml:space="preserve">m2 </t>
  </si>
  <si>
    <t>新建挡水坎</t>
  </si>
  <si>
    <t>1.新建卫生间蒸压混凝土砌块墙下建150mm高挡水坎
2.具体施工技术要求根据现场工程要求施工，满足规范和设计图纸要求</t>
  </si>
  <si>
    <t>补130</t>
  </si>
  <si>
    <t>电梯开门洞</t>
  </si>
  <si>
    <t>1、电梯门洞开设、加固</t>
  </si>
  <si>
    <t>个</t>
  </si>
  <si>
    <t>补131</t>
  </si>
  <si>
    <t>墙体拆除</t>
  </si>
  <si>
    <t>1、--层原墙+电梯外墙体拆除</t>
  </si>
  <si>
    <t>补132</t>
  </si>
  <si>
    <t>新建楼梯及地台</t>
  </si>
  <si>
    <t>1、--层至二层楼梯浇筑</t>
  </si>
  <si>
    <t>同力水泥</t>
  </si>
  <si>
    <t>补133</t>
  </si>
  <si>
    <t>楼板、结构梁拆除</t>
  </si>
  <si>
    <t>1、__层挑空区、楼梯区楼板、结构梁拆除</t>
  </si>
  <si>
    <t>补134</t>
  </si>
  <si>
    <t>楼板加固</t>
  </si>
  <si>
    <t>1、新建梁体结合原有楼板加固</t>
  </si>
  <si>
    <t>地上-地面</t>
  </si>
  <si>
    <r>
      <rPr>
        <sz val="9"/>
        <rFont val="宋体"/>
        <charset val="134"/>
      </rPr>
      <t>1.WF.1  520*95*15mm（厚）
2.5厚木地板防潮胶垫
3.20</t>
    </r>
    <r>
      <rPr>
        <sz val="9"/>
        <rFont val="宋体"/>
        <charset val="134"/>
      </rPr>
      <t>厚水泥砂浆自流平
3.部位：健身房、客卧
4.其它说明：铺贴、擦缝、切割、磨边、金属收边条等一切铺贴步骤及所需之辅材，满足规范和设计图纸要求</t>
    </r>
  </si>
  <si>
    <t>1.ST-1 18mm厚米色天热石材      
2.5mm厚DTA粘结砂浆层
3.25mm厚DSM15砂浆找平
4.20厚DS水泥砂浆保护层
5.1.5mm厚JS聚合物水泥防水涂料1I型分三遍涂刷
6.部位：客卫
7.其它说明：铺贴、擦缝、切割、磨边等一切铺贴步骤及所需之辅材，满足规范和设计图纸要求</t>
  </si>
  <si>
    <r>
      <rPr>
        <sz val="9"/>
        <rFont val="宋体"/>
        <charset val="134"/>
      </rPr>
      <t xml:space="preserve">1.YB.4 1200*2700*12MM 威尼斯棕哑光岩板    </t>
    </r>
    <r>
      <rPr>
        <sz val="9"/>
        <color rgb="FFFF0000"/>
        <rFont val="宋体"/>
        <charset val="134"/>
      </rPr>
      <t>YB-4</t>
    </r>
    <r>
      <rPr>
        <sz val="9"/>
        <rFont val="宋体"/>
        <charset val="134"/>
      </rPr>
      <t xml:space="preserve">
2.5mm厚DTA粘结砂浆层
3.25mm厚DSM15砂浆找平
4.20厚DS水泥砂浆保护层
5.1.5mm厚JS聚合物水泥防水涂料1I型分三遍涂刷
6.部位：洗衣服、客卫
7.其它说明：铺贴、擦缝、切割、磨边等一切铺贴步骤及所需之辅材，满足规范和设计图纸要求</t>
    </r>
  </si>
  <si>
    <t>地上-墙面</t>
  </si>
  <si>
    <t>首层客卫E.109</t>
  </si>
  <si>
    <t>瓷砖墙面-有防水</t>
  </si>
  <si>
    <t>1.YB.5 1200*2700*6MM 希腊灰哑光岩板
2.10mm厚粘结层
3.界面涂料一道，水泥素浆渗胶甩毛
4.1.5mm厚JS聚合物水泥防水涂料Ⅱ型三遍涂刷
5.20mm厚1:2.5水泥砂浆找平
6.面涂料一道，水泥素浆渗胶甩毛
7..部位：客卫墙面
8.其它说明：铺贴、擦缝、切割、磨边等一切铺贴步骤及所需之辅材，满足规范和设计图纸要求</t>
  </si>
  <si>
    <t>成品玻璃金属门</t>
  </si>
  <si>
    <t>1.卫生间成品玻璃金属门 900*2400
2.成品门，专业厂家二次深化
3.具体施工技术要求根据现场工程要求施工，满足规范和设计图纸要求</t>
  </si>
  <si>
    <t>成品门套</t>
  </si>
  <si>
    <t>1.成品门套
2.金属门套-双面
3.含门顶部墙面金属外包
4.具体施工技术要求根据现场工程要求施工，满足规范和设计图纸要求</t>
  </si>
  <si>
    <t>成品镜柜</t>
  </si>
  <si>
    <t>1.部位：客卫
2.成品镜柜，专业厂家二次深化
3.柜体厚度：150mm
4.具体施工技术要求根据现场工程要求施工，满足规范和设计图纸要求</t>
  </si>
  <si>
    <t>1.部位：首层客卫
2.台面：ST.3 雅柏白18mm天然石材 柜体：WD-2奶白色烤漆板（柜门木饰面） 
3.柜体宽：740mm，高：554mm，厚500mm
4.具体施工技术要求根据现场工程要求施工，满足规范和设计图纸要求</t>
  </si>
  <si>
    <t>首层老人房E.110</t>
  </si>
  <si>
    <t>奶白色烤漆板踢脚线</t>
  </si>
  <si>
    <t>1.100高成品奶白色烤漆板踢脚线 WD-2
2.5mm厚DTA粘结砂浆层
3.15mm厚DSM15砂浆找平
4.部位：首层老人房
5.其它说明：铺贴、擦缝、切割、磨边等一切铺贴步骤及所需之辅材，满足规范和设计图纸要求</t>
  </si>
  <si>
    <t>1. UP-3 香槟色皮革硬包（编织皮革）
2.双层9厚阻燃板基层
4.具体施工技术要求根据现场工程要求施工，满足规范和设计图纸要求</t>
  </si>
  <si>
    <t>1.UP.2 奶白色皮革硬包
2.木龙骨，双层9厚阻燃板基层，21mm宽木饰装饰线条
4.具体施工技术要求根据现场工程要求施工，满足规范和设计图纸要求</t>
  </si>
  <si>
    <t>1.MT-1  1.2mm厚不锈钢 
2.木龙骨，9厚阻燃板基层
4.具体施工技术要求根据现场工程要求施工，满足规范和设计图纸要求</t>
  </si>
  <si>
    <t>1.MT-1  1.2mm厚不锈钢踢脚线，高度为20mm 
2.9mm厚阻燃木基层
4.具体施工技术要求根据现场工程要求施工，满足规范和设计图纸要求</t>
  </si>
  <si>
    <t>成品木门</t>
  </si>
  <si>
    <t>1.成品木门900*2450mm，专业厂家二次深化
2.具体做法详见图纸DS.14-1、2、3、4</t>
  </si>
  <si>
    <t>套</t>
  </si>
  <si>
    <t>1.成品门套
2.木质门套-双面（含卧室内侧门楣）
3.具体施工技术要求根据现场工程要求施工，满足规范和设计图纸要求</t>
  </si>
  <si>
    <t>定制衣柜</t>
  </si>
  <si>
    <t>1.尺寸：2220*2850*570mm
2.成品衣柜，专业厂家二次深化设计</t>
  </si>
  <si>
    <t>补154</t>
  </si>
  <si>
    <t>首层中厨E.111</t>
  </si>
  <si>
    <t>1.YB.1 1200*2700*12MM厚阿普案雕刻白天鹅绒面岩板
2.5mm厚DTA粘结砂浆层
3.15mm厚DSM15砂浆找平
4.部位：一层中厨
5.其它说明：铺贴、擦缝、切割、磨边等一切铺贴步骤及所需之辅材，满足规范和设计图纸要求</t>
  </si>
  <si>
    <t>定制厨房吊柜</t>
  </si>
  <si>
    <t>1.部位：中厨
2.WD.1香槟色烤漆板饰面 定制吊柜
3.长：2780mm，高：1100mm，厚350mm
2.定制厨柜 ，专业厂家二次深化</t>
  </si>
  <si>
    <t>定制厨房立柜</t>
  </si>
  <si>
    <t>1.部位：中厨
2.WD.1香槟色烤漆板饰面 定制立柜
3.长：3680mm，高：850mm，厚600mm
2.定制厨柜 ，专业厂家二次深化</t>
  </si>
  <si>
    <t>首层入户玄关、门厅、客厅、西厨E101~E108</t>
  </si>
  <si>
    <t xml:space="preserve">石膏板墙面乳胶漆 </t>
  </si>
  <si>
    <t>1.白色乳胶漆三遍（一底两面） 耐水腻子三遍 （分遍打磨）PT-01 满刮成品腻子两遍
2..40*40镀锌方钢钢骨架，双层12mm防火阻燃板，9.5mm纸面石膏板
3.其它说明：满足规范和设计图纸要求</t>
  </si>
  <si>
    <r>
      <rPr>
        <sz val="9"/>
        <rFont val="宋体"/>
        <charset val="134"/>
      </rPr>
      <t xml:space="preserve">1.MTL-1 </t>
    </r>
    <r>
      <rPr>
        <sz val="9"/>
        <rFont val="宋体"/>
        <charset val="134"/>
      </rPr>
      <t xml:space="preserve"> 1.2mm厚不锈钢踢脚线，高度为</t>
    </r>
    <r>
      <rPr>
        <sz val="9"/>
        <rFont val="宋体"/>
        <charset val="134"/>
      </rPr>
      <t>3</t>
    </r>
    <r>
      <rPr>
        <sz val="9"/>
        <rFont val="宋体"/>
        <charset val="134"/>
      </rPr>
      <t>0mm。
2.12mm厚阻燃木基层
4.具体施工技术要求根据现场工程要求施工，满足规范和设计图纸要求</t>
    </r>
  </si>
  <si>
    <t>1.ST-2 18MM卡拉卡塔金石材踢脚
2.5mm厚DTA粘结砂浆层
3.15mm厚DSM15砂浆找平
4.部位：首层入户玄关、门厅
5.其它说明：铺贴、擦缝、切割、磨边等一切铺贴步骤及所需之辅材，满足规范和设计图纸要求</t>
  </si>
  <si>
    <t>岩板墙面-无防水</t>
  </si>
  <si>
    <r>
      <rPr>
        <sz val="9"/>
        <rFont val="宋体"/>
        <charset val="134"/>
      </rPr>
      <t xml:space="preserve">1. ST-2    </t>
    </r>
    <r>
      <rPr>
        <sz val="9"/>
        <color rgb="FFFF0000"/>
        <rFont val="宋体"/>
        <charset val="134"/>
      </rPr>
      <t>电视墙18MM卡拉卡塔金石材</t>
    </r>
    <r>
      <rPr>
        <sz val="9"/>
        <rFont val="宋体"/>
        <charset val="134"/>
      </rPr>
      <t xml:space="preserve">
2.瓷砖专用粘接剂 
3.横竖向平接1.5mm留缝，墙面砖勾缝剂与瓷砖同色
4.具体施工技术要求根据现场工程要求施工，满足规范和设计图纸要求</t>
    </r>
  </si>
  <si>
    <t>1. YB-2 1200*2700*12MM厚阿普案雕刻白天鹅绒面岩板
2.瓷砖专用粘接剂 
3.横竖向平接1.5mm留缝，墙面砖勾缝剂与瓷砖同色
4.含窗台石材
5.具体施工技术要求根据现场工程要求施工，满足规范和设计图纸要求</t>
  </si>
  <si>
    <t>1. WP-2 蓝绿色 壁布硬包
2.木龙骨(三防处理），双层9厚阻燃板基层
4.具体施工技术要求根据现场工程要求施工，满足规范和设计图纸要求</t>
  </si>
  <si>
    <t>1.部位：门厅（南入户）
2.WD.1香槟色烤漆板饰面 定制柜
3.长：1300mm，高：2750mm，厚600mm
2.定制柜 ，专业厂家二次深化</t>
  </si>
  <si>
    <t>1.部位：入户玄关
2.WD-2奶白色烤漆板木饰面 玄关柜
3.宽：1400mm，高：2550mm，厚250mm
4.具体施工技术要求根据现场工程要求施工，满足规范和设计图纸要求</t>
  </si>
  <si>
    <t>定制厨房组合柜</t>
  </si>
  <si>
    <t>1.部位：西厨
2.WD.1香槟色烤漆板饰面 定制组合柜
3.宽：2355mm，高：2550mm，厚600mm
2.定制厨房吊柜 ，专业厂家二次深化</t>
  </si>
  <si>
    <t>1.部位：西厨
2.WD.1香槟色烤漆板饰面 定制吊柜
3.长：3820mm，高：900mm，厚660mm
2.定制厨柜 ，专业厂家二次深化</t>
  </si>
  <si>
    <t>1.部位：西厨
2.WD.1香槟色烤漆板饰面 定制厨柜
3.长：940mm，高：900mm，厚660mm
2.定制厨柜 ，专业厂家二次深化</t>
  </si>
  <si>
    <t>1.部位：西厨（蒸箱+烤箱）
2.WD.1香槟色烤漆板饰面 定制高柜
3.长：580mm，高：1650mm，厚660mm
2.定制厨柜 ，专业厂家二次深化</t>
  </si>
  <si>
    <t>成品立柜</t>
  </si>
  <si>
    <t>1.尺寸：900*2550*300mm厚
2.成品柜子，专业厂家二次深化</t>
  </si>
  <si>
    <t>异形PU线条</t>
  </si>
  <si>
    <t>1.墙面装饰成品异形PU线条
2.其它说明：满足规范和设计图纸要求</t>
  </si>
  <si>
    <t>PU线条</t>
  </si>
  <si>
    <t>矩形PU线条</t>
  </si>
  <si>
    <t>1.墙面装饰成品矩形PU线条-10*15
2.其它说明：满足规范和设计图纸要求</t>
  </si>
  <si>
    <t>1.MT-1  1.2mm厚不锈钢 
2.9mm厚阻燃木基层
4.具体施工技术要求根据现场工程要求施工，满足规范和设计图纸要求</t>
  </si>
  <si>
    <t>成品镜子</t>
  </si>
  <si>
    <t>1.成品圆形镜子，软装选型
2.部位：客厅挑空区墙面</t>
  </si>
  <si>
    <t>1.尺寸：1043*1434
2.成品镜子软装选型
3.部位：客餐厅立面图4</t>
  </si>
  <si>
    <t>成品GRC线条3</t>
  </si>
  <si>
    <t>1.471*20弧形成品GRC线条
2.40*40镀锌方钢，40*40镀锌角钢冷弯，配套预埋挂件
3.部位：客餐厅立面图4，节点DS.06-1
4.奶白色防水乳胶漆三遍（一底两面） 耐水腻子三遍 （分遍打磨）
5.具体施工技术要求根据现场工程要求施工，满足规范和设计图纸要求</t>
  </si>
  <si>
    <t>成品石膏造型</t>
  </si>
  <si>
    <r>
      <rPr>
        <sz val="10"/>
        <rFont val="宋体"/>
        <charset val="134"/>
      </rPr>
      <t>1.尺寸：</t>
    </r>
    <r>
      <rPr>
        <sz val="10"/>
        <color rgb="FFFF0000"/>
        <rFont val="宋体"/>
        <charset val="134"/>
      </rPr>
      <t>60</t>
    </r>
    <r>
      <rPr>
        <sz val="10"/>
        <color rgb="FFFF0000"/>
        <rFont val="Arial"/>
        <charset val="134"/>
      </rPr>
      <t>0*1800*300mm</t>
    </r>
    <r>
      <rPr>
        <sz val="10"/>
        <rFont val="Arial"/>
        <charset val="134"/>
      </rPr>
      <t xml:space="preserve">
2.</t>
    </r>
    <r>
      <rPr>
        <sz val="10"/>
        <rFont val="宋体"/>
        <charset val="134"/>
      </rPr>
      <t>部位：客餐厅立面图5 节点DS.13
3.具体施工技术要求根据现场工程要求施工，满足规范和设计图纸要求</t>
    </r>
  </si>
  <si>
    <t>垭口成品门套</t>
  </si>
  <si>
    <t>1.垭口成品门套
2.木质门套
3.具体施工技术要求根据现场工程要求施工，满足规范和设计图纸要求</t>
  </si>
  <si>
    <t>奶白色烤漆板墙面</t>
  </si>
  <si>
    <t>1.WD.2 奶白色烤漆板饰面
2..12mm阻燃板基层单层
3.其它说明：满足规范和设计图纸要求</t>
  </si>
  <si>
    <t>1.WD.1 香槟色烤漆板饰面
2..12mm阻燃板基层单层
3.其它说明：满足规范和设计图纸要求</t>
  </si>
  <si>
    <t>1.单层石膏板 
2.12mm阻燃板基层单层 木龙骨
3.其它说明：满足规范和设计图纸要求
4.部位：电视背景墙</t>
  </si>
  <si>
    <t>西厨操作台</t>
  </si>
  <si>
    <t>1.尺寸：4170*1140*900mm高
2.岩板/石材台面
2.钢骨架30*30镀锌角钢，间距均分≤400mm，9mm阻燃板基层
3.1.2mm（厚）香槟金发纹不锈钢MT-1
4.香槟色烤漆板饰面 WD.1（柜门木饰面） 
5.其它说明：满足规范和设计图纸要求</t>
  </si>
  <si>
    <t>石材窗套</t>
  </si>
  <si>
    <t>1.ST-2 18MM卡拉卡塔金石材
2.石材专用粘接剂 ，1：2.5水泥砂浆找平层
3.具体施工技术要求根据现场工程要求施工，满足规范和设计图纸要求</t>
  </si>
  <si>
    <t>补190</t>
  </si>
  <si>
    <t>楼梯间E106、E207</t>
  </si>
  <si>
    <t>1.ST-1 18mm厚米色天热石材
2.5mm厚DTA粘结砂浆层
3.15mm厚DSM15砂浆找平
4.其它说明：铺贴、擦缝、切割、磨边等一切铺贴步骤及所需之辅材，满足规范和设计图纸要求</t>
  </si>
  <si>
    <t>石材楼面-不防水</t>
  </si>
  <si>
    <t>1.ST-1 18mm厚米色天热石材
2.三道防滑槽
3.1:2.5水泥砂浆结合层
4.120mm宽预埋钢板，锚栓固定
5.部位：楼梯踏面
6.其它说明：铺贴、擦缝、切割、磨边等一切铺贴步骤及所需之辅材，满足规范和设计图纸要求</t>
  </si>
  <si>
    <t>1.ST-1 18mm厚米色天热石材
2.1:2.5水泥砂浆结合层
3.部位：楼梯踢面
4.其它说明：铺贴、擦缝、切割、磨边等一切铺贴步骤及所需之辅材，满足规范和设计图纸要求</t>
  </si>
  <si>
    <t>1.钢化玻璃栏板香槟金不锈钢扶手 高1020mm
2.含与栏杆同长底座
2.其它说明：满足规范和设计图纸要求
3.部位：楼梯</t>
  </si>
  <si>
    <t>1.2mm厚不锈钢 、15mm宝源欧松板基层</t>
  </si>
  <si>
    <t>补200</t>
  </si>
  <si>
    <t>小孩房、小孩房衣帽间E201、E202</t>
  </si>
  <si>
    <t>1.UP.2 奶白色皮革硬包
2.木龙骨，双层9厚阻燃板基层
4.具体施工技术要求根据现场工程要求施工，满足规范和设计图纸要求</t>
  </si>
  <si>
    <t>蓝色烤漆板墙面</t>
  </si>
  <si>
    <t>1.WD.3 蓝色烤漆板 造型详见图纸
2..12mm阻燃板基层单层
3.其它说明：满足规范和设计图纸要求</t>
  </si>
  <si>
    <r>
      <rPr>
        <sz val="10"/>
        <rFont val="Arial"/>
        <charset val="0"/>
      </rPr>
      <t>1.</t>
    </r>
    <r>
      <rPr>
        <sz val="10"/>
        <rFont val="宋体"/>
        <charset val="0"/>
      </rPr>
      <t>部位：小孩房北侧阳台位置</t>
    </r>
    <r>
      <rPr>
        <sz val="10"/>
        <rFont val="Arial"/>
        <charset val="0"/>
      </rPr>
      <t xml:space="preserve">
2.WD-2</t>
    </r>
    <r>
      <rPr>
        <sz val="10"/>
        <rFont val="宋体"/>
        <charset val="0"/>
      </rPr>
      <t>奶白色烤漆板木饰面</t>
    </r>
    <r>
      <rPr>
        <sz val="10"/>
        <rFont val="Arial"/>
        <charset val="0"/>
      </rPr>
      <t xml:space="preserve"> </t>
    </r>
    <r>
      <rPr>
        <sz val="10"/>
        <rFont val="宋体"/>
        <charset val="0"/>
      </rPr>
      <t>衣柜</t>
    </r>
    <r>
      <rPr>
        <sz val="10"/>
        <rFont val="Arial"/>
        <charset val="0"/>
      </rPr>
      <t xml:space="preserve">
3.</t>
    </r>
    <r>
      <rPr>
        <sz val="10"/>
        <rFont val="宋体"/>
        <charset val="0"/>
      </rPr>
      <t>宽：</t>
    </r>
    <r>
      <rPr>
        <sz val="10"/>
        <rFont val="Arial"/>
        <charset val="0"/>
      </rPr>
      <t>1400mm</t>
    </r>
    <r>
      <rPr>
        <sz val="10"/>
        <rFont val="宋体"/>
        <charset val="0"/>
      </rPr>
      <t>，高：</t>
    </r>
    <r>
      <rPr>
        <sz val="10"/>
        <rFont val="Arial"/>
        <charset val="0"/>
      </rPr>
      <t>2650mm</t>
    </r>
    <r>
      <rPr>
        <sz val="10"/>
        <rFont val="宋体"/>
        <charset val="0"/>
      </rPr>
      <t>，厚</t>
    </r>
    <r>
      <rPr>
        <sz val="10"/>
        <rFont val="Arial"/>
        <charset val="0"/>
      </rPr>
      <t>480mm
4.</t>
    </r>
    <r>
      <rPr>
        <sz val="10"/>
        <rFont val="宋体"/>
        <charset val="0"/>
      </rPr>
      <t>具体施工技术要求根据现场工程要求施工，满足规范和设计图纸要求</t>
    </r>
  </si>
  <si>
    <t>成品衣柜</t>
  </si>
  <si>
    <r>
      <rPr>
        <sz val="10"/>
        <rFont val="Arial"/>
        <charset val="0"/>
      </rPr>
      <t>1.</t>
    </r>
    <r>
      <rPr>
        <sz val="10"/>
        <rFont val="宋体"/>
        <charset val="0"/>
      </rPr>
      <t>部位：小孩房衣帽间</t>
    </r>
    <r>
      <rPr>
        <sz val="10"/>
        <rFont val="Arial"/>
        <charset val="0"/>
      </rPr>
      <t xml:space="preserve">
2.</t>
    </r>
    <r>
      <rPr>
        <sz val="10"/>
        <rFont val="宋体"/>
        <charset val="0"/>
      </rPr>
      <t>成品衣柜，厂家二次深化</t>
    </r>
    <r>
      <rPr>
        <sz val="10"/>
        <rFont val="Arial"/>
        <charset val="0"/>
      </rPr>
      <t xml:space="preserve">
3.</t>
    </r>
    <r>
      <rPr>
        <sz val="10"/>
        <rFont val="宋体"/>
        <charset val="0"/>
      </rPr>
      <t>长：</t>
    </r>
    <r>
      <rPr>
        <sz val="10"/>
        <rFont val="Arial"/>
        <charset val="0"/>
      </rPr>
      <t>4890mm</t>
    </r>
    <r>
      <rPr>
        <sz val="10"/>
        <rFont val="宋体"/>
        <charset val="0"/>
      </rPr>
      <t>，高：</t>
    </r>
    <r>
      <rPr>
        <sz val="10"/>
        <rFont val="Arial"/>
        <charset val="0"/>
      </rPr>
      <t>2650mm</t>
    </r>
    <r>
      <rPr>
        <sz val="10"/>
        <rFont val="宋体"/>
        <charset val="0"/>
      </rPr>
      <t>，厚</t>
    </r>
    <r>
      <rPr>
        <sz val="10"/>
        <rFont val="Arial"/>
        <charset val="0"/>
      </rPr>
      <t>600mm
4.</t>
    </r>
    <r>
      <rPr>
        <sz val="10"/>
        <rFont val="宋体"/>
        <charset val="0"/>
      </rPr>
      <t>具体施工技术要求根据现场工程要求施工，满足规范和设计图纸要求</t>
    </r>
  </si>
  <si>
    <t>补212</t>
  </si>
  <si>
    <t>小孩房卫生间-E203-1~5</t>
  </si>
  <si>
    <t>1.YB.5 1200*2700*6MM 希腊灰哑光岩板
2.10mm厚粘结层
3.界面涂料一道，水泥素浆渗胶甩毛
4.1.5mm厚JS聚合物水泥防水涂料Ⅱ型三遍涂刷
5.20mm厚1:2.5水泥砂浆找平
6.面涂料一道，水泥素浆渗胶甩毛
7..部位：小孩房卫生间- 
8.其它说明：铺贴、擦缝、切割、磨边等一切铺贴步骤及所需之辅材，满足规范和设计图纸要求</t>
  </si>
  <si>
    <t>成品金属凹龛</t>
  </si>
  <si>
    <t>1.部位：小孩房卫生间
2.成品金属凹龛，专业厂家二次深化
3.尺寸：465*1400*180mm厚
4.具体施工技术要求根据现场工程要求施工，满足规范和设计图纸要求</t>
  </si>
  <si>
    <t>1.部位：小孩房卫生间
2.成品镜柜，专业厂家二次深化
3.柜体：1560*900*150mm厚
4.具体施工技术要求根据现场工程要求施工，满足规范和设计图纸要求</t>
  </si>
  <si>
    <t>1.部位：小孩房卫生间
2.台面：ST.3 雅柏白18mm天然石材 柜体：WD-03蓝色烤漆板（柜门木饰面） 
3.柜体宽：1560mm，高：500mm，厚370mm
4.具体施工技术要求根据现场工程要求施工，满足规范和设计图纸要求</t>
  </si>
  <si>
    <t>主卧室、主卧衣帽间E204、E205、E206</t>
  </si>
  <si>
    <t>绒布软包墙面</t>
  </si>
  <si>
    <t>1. WP-1 米色绒布软包
2.木龙骨，双层12mm防火阻燃板
4.具体施工技术要求根据现场工程要求施工，满足规范和设计图纸要求</t>
  </si>
  <si>
    <t>1.YB-6 1200*2400*9MM干粒亮面梵高印象岩板
2.10mm厚粘结层
3.界面涂料一道，水泥素浆渗胶甩毛
4.1.5mm厚JS聚合物水泥防水涂料Ⅱ型三遍涂刷
5.20mm厚1:2.5水泥砂浆找平
6.面涂料一道，水泥素浆渗胶甩毛
7..部位：主卧卫生间 
8.其它说明：铺贴、擦缝、切割、磨边等一切铺贴步骤及所需之辅材，满足规范和设计图纸要求</t>
  </si>
  <si>
    <t xml:space="preserve">1.2mm厚不锈钢 </t>
  </si>
  <si>
    <t>1.ST-1 18MM米色天然石材
2.石材专用粘接剂 ，1：2.5水泥砂浆找平层
3.具体施工技术要求根据现场工程要求施工，满足规范和设计图纸要求</t>
  </si>
  <si>
    <t>成品柜子</t>
  </si>
  <si>
    <t>1.部位：二层主卧衣帽间
2.长：7000mm，高：2600mm，厚600mm
4.具体施工技术要求根据现场工程要求施工，满足规范和设计图纸要求</t>
  </si>
  <si>
    <t>1.部位：二层主卧衣帽间
2.长：1600mm，高：2600mm，厚690mm
4.具体施工技术要求根据现场工程要求施工，满足规范和设计图纸要求</t>
  </si>
  <si>
    <t>1.部位：主卧衣帽间
2.成品镜柜，专业厂家二次深化
3.柜体：1835*900*150mm厚
4.具体施工技术要求根据现场工程要求施工，满足规范和设计图纸要求</t>
  </si>
  <si>
    <t>1.部位：主卧衣帽间
2.台面：YB-6天然石材单孔洗手台 柜体：WD-2  奶白色烤漆板饰面（柜门木饰面） 
3.柜体宽：930mm，高：550mm，厚660mm
4.具体施工技术要求根据现场工程要求施工，满足规范和设计图纸要求</t>
  </si>
  <si>
    <t>补237</t>
  </si>
  <si>
    <t>主卫E206</t>
  </si>
  <si>
    <t>1.YB.5 1200*2700*6MM 希腊灰哑光岩板
2.10mm厚粘结层
3.界面涂料一道，水泥素浆渗胶甩毛
4.1.5mm厚JS聚合物水泥防水涂料Ⅱ型三遍涂刷
5.20mm厚1:2.5水泥砂浆找平
6.面涂料一道，水泥素浆渗胶甩毛
7.部位：主卧卫生间 
8.其它说明：铺贴、擦缝、切割、磨边等一切铺贴步骤及所需之辅材，满足规范和设计图纸要求</t>
  </si>
  <si>
    <t>1.YB.4 1200*2700*12MM 威尼斯棕哑光岩板
2.10mm厚粘结层
3.界面涂料一道，水泥素浆渗胶甩毛
4.1.5mm厚JS聚合物水泥防水涂料Ⅱ型三遍涂刷
5.20mm厚1:2.5水泥砂浆找平
6.面涂料一道，水泥素浆渗胶甩毛
7..部位：主卧卫生间 
8.其它说明：铺贴、擦缝、切割、磨边等一切铺贴步骤及所需之辅材，满足规范和设计图纸要求</t>
  </si>
  <si>
    <t>1.部位：二楼主卫
2.成品镜柜，专业厂家二次深化
3.柜体：1560*900*150mm厚
4.具体施工技术要求根据现场工程要求施工，满足规范和设计图纸要求</t>
  </si>
  <si>
    <t>1.部位：二楼主卫
2.台面：天然石材单孔洗手台 柜体：WD-03蓝色烤漆板（柜门木饰面） 
3.柜体宽：1145mm，高：700mm，厚600mm
4.具体施工技术要求根据现场工程要求施工，满足规范和设计图纸要求</t>
  </si>
  <si>
    <t>定制浴缸</t>
  </si>
  <si>
    <t>1.浴缸实际见选型
2.1200*2700*12MM 威尼斯棕哑光岩板 YB.4饰面，成品干挂件
3.尺寸：1630*1100*690mm高
4.30*30镀锌方钢骨架，砌体垫块，平衡高低调节器，C20细石混凝土浇筑挡水坎
5.具体施工技术要求根据现场工程要求施工，满足规范和设计图纸要求</t>
  </si>
  <si>
    <t>地上-天棚</t>
  </si>
  <si>
    <t>1.钢筋混凝土楼板
2.膨胀螺栓,∅8钢筋吊杆,
3.承载龙骨LL-CS/60*27*1.2(轻型）间距900-1100mm
4.覆面龙骨LL-C/50*20*0.6(轻型）间距600*300
5.辅助龙骨LL-C/25*20*0.6(轻型）
6.双层9.5mm厚纸面石膏板 
7.奶白色乳胶漆三遍（一底两面） 耐水腻子三遍 （分遍打磨）
8.包含主卧天花线条与花纹、吊顶上裁切开孔、形成灯口、进出风口、检修口及其它出口及额外处理、封边，包括并不限于上述所有施工步骤及所需之材料
10.具体施工技术要求根据现场工程要求施工，满足规范和设计图纸要求</t>
  </si>
  <si>
    <t>1.钢筋混凝土楼板
2.膨胀螺栓,∅8钢筋吊杆,
3.承载龙骨LL-CS/60*27*1.2(轻型）间距900-1100mm
4.覆面龙骨LL-C/50*20*0.6(轻型）间距600*300
5.辅助龙骨LL-C/25*20*0.6(轻型）
6.双层9.5mm厚防水石膏板
7.奶白色防水乳胶漆三遍（一底两面） 耐水腻子三遍 （分遍打磨）
8.部位：卫生间、厨房、阳台
9.包含吊顶上裁切开孔、形成灯口、进出风口、检修口及其它出口及额外处理、封边，包括并不限于上述所有施工步骤及所需之材料
10.具体施工技术要求根据现场工程要求施工，满足规范和设计图纸要求</t>
  </si>
  <si>
    <t>岩板干挂吊顶天棚</t>
  </si>
  <si>
    <t>1.钢筋混凝土楼板
2.40*40镀锌角钢
3.背栓式干挂件
6.1200*2700*6MM  希腊灰哑光岩板 YB-5
7.包含6*6*10mmU型槽，吊顶上裁切开孔、形成灯口、进出风口、检修口及其它出口及额外处理、封边，包括并不限于上述所有施工步骤及所需之材料
8.具体施工技术要求根据现场工程要求施工，满足规范和设计图纸要求</t>
  </si>
  <si>
    <t>1.单层9.5mm厚石膏板
2.12mm阻燃木夹板板基层
3.奶白色乳胶漆三遍（一底两面） 耐水腻子三遍 （分遍打磨）
4.包含吊顶上裁切开孔、形成灯口、进出风口、检修口及其它出口及额外处理、封边，包括并不限于上述所有施工步骤及所需之材料
5.具体施工技术要求根据现场工程要求施工，满足规范和设计图纸要求
6.工程量按展开面积</t>
  </si>
  <si>
    <t>天棚抹灰</t>
  </si>
  <si>
    <t>成品GRC线条4</t>
  </si>
  <si>
    <t>1.197*20厚弧形GRC线条
2.乳胶漆三遍（一底两面） 耐水腻子三遍 （分遍打磨）
3.具体施工技术要求根据现场工程要求施工，满足规范和设计图纸要求</t>
  </si>
  <si>
    <t>1.双层9.5mm厚防水石膏板
2.镀锌方钢龙骨 
3.奶白色防水乳胶漆三遍（一底两面） 耐水腻子三遍 （分遍打磨）
4.部位：二楼主卧卫生间（图DS02节点2）
5.包含吊顶上裁切开孔、形成灯口、进出风口、检修口及其它出口及额外处理、封边，包括并不限于上述所有施工步骤及所需之材料
6.具体施工技术要求根据现场工程要求施工，满足规范和设计图纸要求</t>
  </si>
  <si>
    <t>补253</t>
  </si>
  <si>
    <t>其他</t>
  </si>
  <si>
    <t>拆除原砌体墙</t>
  </si>
  <si>
    <t>1.原加气块墙体拆除
2.具体施工技术要求根据现场工程要求施工，满足规范和设计图纸要求</t>
  </si>
  <si>
    <t>m3</t>
  </si>
  <si>
    <t>门洞加高</t>
  </si>
  <si>
    <t>1、原门洞加高</t>
  </si>
  <si>
    <t>入户门外移</t>
  </si>
  <si>
    <t>1、原玻璃门外移</t>
  </si>
  <si>
    <t>包管道</t>
  </si>
  <si>
    <t>1、排水管、壁龛小砖砌筑                                                                 2、排水管包设隔音棉</t>
  </si>
  <si>
    <t>60系列断桥铝合金固定窗</t>
  </si>
  <si>
    <t>1.60系列断桥铝合金固定窗      （
2.5LOW-E单银+9A+5+9A+5
3.门、窗框及玻璃制作、运输、安装
4.五金安装
5.部位：二层小孩房卫生间+主卧室阳台+孩子房阳台
6.具体施工技术要求根据现场工程要求施工，满足规范和设计图纸要求</t>
  </si>
  <si>
    <t>全屋杂项</t>
  </si>
  <si>
    <t>垃圾外运</t>
  </si>
  <si>
    <t>所有垃圾运至小区外市政垃圾场</t>
  </si>
  <si>
    <t>车次</t>
  </si>
  <si>
    <t>成品保护</t>
  </si>
  <si>
    <t>地面石膏板保护</t>
  </si>
  <si>
    <t>材料搬运</t>
  </si>
  <si>
    <t>保洁</t>
  </si>
  <si>
    <t>脚手架</t>
  </si>
  <si>
    <t>合计</t>
  </si>
  <si>
    <t>价格清单（装饰工程）（安装部分）</t>
  </si>
  <si>
    <t>工程名称：101叠拼别墅工程--安装工程</t>
  </si>
  <si>
    <t>样板间小计（元）</t>
  </si>
  <si>
    <t>给排水</t>
  </si>
  <si>
    <t>中央空调</t>
  </si>
  <si>
    <t>1.名称:中央空调
2.安装方式:详见图纸
3.其它说明:满足图纸、规范和设计要求</t>
  </si>
  <si>
    <t>不含，单独发包</t>
  </si>
  <si>
    <t>电视</t>
  </si>
  <si>
    <t>1.名称:电视
2.安装方式:详见图纸
3.其它说明:满足图纸、规范和设计要求</t>
  </si>
  <si>
    <t>台</t>
  </si>
  <si>
    <t>不含</t>
  </si>
  <si>
    <t>天花内投影仪</t>
  </si>
  <si>
    <t>1.名称:天花内投影仪
2.安装方式:详见图纸
3.其它说明:满足图纸、规范和设计要求</t>
  </si>
  <si>
    <t>洗衣机+烘干机</t>
  </si>
  <si>
    <t>1.名称:洗衣机+烘干机
2.安装方式:详见图纸
3.其它说明:满足图纸、规范和设计要求</t>
  </si>
  <si>
    <t>西门子WT45UMD80W  WG52A108AW</t>
  </si>
  <si>
    <t>冰箱</t>
  </si>
  <si>
    <t>1.名称:冰箱
2.安装方式:详见图纸
3.其它说明:满足图纸、规范和设计要求</t>
  </si>
  <si>
    <t>西门子KA505691VC</t>
  </si>
  <si>
    <t>厨盆</t>
  </si>
  <si>
    <t>1.名称:厨盆（含水龙头、角阀等配件）
2.安装方式:详见图纸
3.其它说明:满足图纸、规范和设计要求</t>
  </si>
  <si>
    <t>科勒</t>
  </si>
  <si>
    <t>抽油烟机</t>
  </si>
  <si>
    <t>1.名称:抽油烟机
2.安装方式:详见图纸
3.其它说明:满足图纸、规范和设计要求</t>
  </si>
  <si>
    <t>方太CXW-258-EM18TS</t>
  </si>
  <si>
    <t>灶具</t>
  </si>
  <si>
    <t>1.名称:灶具
2.安装方式:详见图纸
3.其它说明:满足图纸、规范和设计要求</t>
  </si>
  <si>
    <t>方太JZT／T／R-01-TD7B</t>
  </si>
  <si>
    <t>洗碗机+厨余粉碎机</t>
  </si>
  <si>
    <r>
      <rPr>
        <sz val="10"/>
        <rFont val="宋体"/>
        <charset val="134"/>
      </rPr>
      <t>1.名称:洗碗机+</t>
    </r>
    <r>
      <rPr>
        <sz val="10"/>
        <color rgb="FFFF0000"/>
        <rFont val="宋体"/>
        <charset val="134"/>
      </rPr>
      <t>厨余粉碎机</t>
    </r>
    <r>
      <rPr>
        <sz val="10"/>
        <rFont val="宋体"/>
        <charset val="134"/>
      </rPr>
      <t xml:space="preserve">
2.安装方式:详见图纸
3.其它说明:满足图纸、规范和设计要求</t>
    </r>
  </si>
  <si>
    <t>方太JPCD11E-G1</t>
  </si>
  <si>
    <t>蒸烤箱</t>
  </si>
  <si>
    <t>1.名称:蒸烤箱
2.安装方式:详见图纸
3.其它说明:满足图纸、规范和设计要求</t>
  </si>
  <si>
    <t>方太ZK42-F2.i</t>
  </si>
  <si>
    <t>坐便器</t>
  </si>
  <si>
    <t>1.名称:坐便器（含角阀等配件）
2.安装方式:详见图纸
3.其它说明:满足图纸、规范和设计要求</t>
  </si>
  <si>
    <t>洗脸盆</t>
  </si>
  <si>
    <t>1.名称:洗脸盆（含水龙头、角阀等配件）
2.安装方式:详见图纸
3.其它说明:满足图纸、规范和设计要求</t>
  </si>
  <si>
    <t>科勒+玫瑰金入墙龙头</t>
  </si>
  <si>
    <t>浴缸</t>
  </si>
  <si>
    <t>1.名称:浴缸（含水龙头、角阀等配件）
2.安装方式:详见图纸
3.其它说明:满足图纸、规范和设计要求</t>
  </si>
  <si>
    <t>科勒+玫瑰金缸边龙头</t>
  </si>
  <si>
    <t>淋浴器</t>
  </si>
  <si>
    <t>1.名称:淋浴器（含花洒、角阀等配件）
2.安装方式:详见图纸
3.其它说明:满足图纸、规范和设计要求</t>
  </si>
  <si>
    <t>科勒+玫瑰金暗装花洒</t>
  </si>
  <si>
    <t>地漏</t>
  </si>
  <si>
    <r>
      <rPr>
        <sz val="10"/>
        <rFont val="宋体"/>
        <charset val="134"/>
      </rPr>
      <t>1.名称:地漏</t>
    </r>
    <r>
      <rPr>
        <sz val="10"/>
        <color rgb="FFFF0000"/>
        <rFont val="宋体"/>
        <charset val="134"/>
      </rPr>
      <t>（线形）</t>
    </r>
    <r>
      <rPr>
        <sz val="10"/>
        <rFont val="宋体"/>
        <charset val="134"/>
      </rPr>
      <t xml:space="preserve">
2.安装方式:详见图纸
3.其它说明:满足图纸、规范和设计要求</t>
    </r>
  </si>
  <si>
    <t>金案定制</t>
  </si>
  <si>
    <r>
      <rPr>
        <sz val="10"/>
        <rFont val="宋体"/>
        <charset val="134"/>
      </rPr>
      <t>1.名称:地漏</t>
    </r>
    <r>
      <rPr>
        <sz val="10"/>
        <color rgb="FFFF0000"/>
        <rFont val="宋体"/>
        <charset val="134"/>
      </rPr>
      <t>（方形）</t>
    </r>
    <r>
      <rPr>
        <sz val="10"/>
        <rFont val="宋体"/>
        <charset val="134"/>
      </rPr>
      <t xml:space="preserve">
2.安装方式:详见图纸
3.其它说明:满足图纸、规范和设计要求</t>
    </r>
  </si>
  <si>
    <t>洗衣机地漏</t>
  </si>
  <si>
    <t>1.名称:洗衣机地漏
2.安装方式:详见图纸
3.其它说明:满足图纸、规范和设计要求</t>
  </si>
  <si>
    <t>洗衣机水龙头</t>
  </si>
  <si>
    <t>1.名称:洗衣机水龙头
2.安装方式:详见图纸
3.其它说明:满足图纸、规范和设计要求</t>
  </si>
  <si>
    <t>给排水管</t>
  </si>
  <si>
    <t>1.名称:给排水管道
2.其它说明:满足图纸、规范和设计要求
3.含除洁具外的与之相关的一切费用
4.工程量：地面铺装面积</t>
  </si>
  <si>
    <t>m²</t>
  </si>
  <si>
    <t>日丰/伟星</t>
  </si>
  <si>
    <t>地暖敷设</t>
  </si>
  <si>
    <t>1.地暖管道敷设及配套设施
2.钢筋混凝土楼板找平
3.隔热层敷设
4.反射膜敷设
5.地暖回填
6.及其他未注明但与地暖相关的所有工程</t>
  </si>
  <si>
    <t>德国威德曼</t>
  </si>
  <si>
    <t>电气工程</t>
  </si>
  <si>
    <t>电气管线</t>
  </si>
  <si>
    <t>1.名称:电气管线
2.其它说明:满足图纸、规范和设计要求
3.含除灯具、开关、插座外的与之相关的一切费用
4.工程量：地面铺装面积</t>
  </si>
  <si>
    <t>郑州三厂</t>
  </si>
  <si>
    <t>装饰灯</t>
  </si>
  <si>
    <t>1.名称:床头艺术吊灯
2.安装方式:详见图纸
3.其它说明:满足图纸、规范和设计要求</t>
  </si>
  <si>
    <t>1.名称:墙面壁灯
2.安装方式:详见图纸
3.其它说明:满足图纸、规范和设计要求</t>
  </si>
  <si>
    <t>1.名称:磁吸轨道灯（含磁吸轨道和磁吸电源）
2.安装方式:详见图纸
3.其它说明:满足图纸、规范和设计要求</t>
  </si>
  <si>
    <t>西顿</t>
  </si>
  <si>
    <t>1.名称:嵌入式LED可调角防雾射灯
2.安装方式:详见图纸
3.其它说明:满足图纸、规范和设计要求</t>
  </si>
  <si>
    <t>西顿芳华系列</t>
  </si>
  <si>
    <t>1.名称:嵌入式LED可调角防雾筒灯
2.安装方式:详见图纸
3.其它说明:满足图纸、规范和设计要求</t>
  </si>
  <si>
    <t>1.名称:嵌入式LED可调角射灯
2.安装方式:详见图纸
3.其它说明:满足图纸、规范和设计要求</t>
  </si>
  <si>
    <t>1.名称:软装吊灯（客卧）
2.安装方式:详见图纸
3.其它说明:满足图纸、规范和设计要求</t>
  </si>
  <si>
    <t>1.名称:软装花灯（茶室）
2.安装方式:详见图纸
3.其它说明:满足图纸、规范和设计要求</t>
  </si>
  <si>
    <t>1.名称:软装花灯（起居室）
2.安装方式:详见图纸
3.其它说明:满足图纸、规范和设计要求</t>
  </si>
  <si>
    <t>1.名称:软装花灯（挑空区）
2.安装方式:详见图纸
3.其它说明:满足图纸、规范和设计要求</t>
  </si>
  <si>
    <t>1.名称:软装花灯（主卧）
2.安装方式:详见图纸
3.其它说明:满足图纸、规范和设计要求</t>
  </si>
  <si>
    <t>1.名称:吸顶灯
2.安装方式:详见图纸
3.其它说明:满足图纸、规范和设计要求</t>
  </si>
  <si>
    <t>1.名称:LED暗藏灯带
2.安装方式:详见图纸
3.其它说明:满足图纸、规范和设计要求</t>
  </si>
  <si>
    <t>小电器</t>
  </si>
  <si>
    <t>1.名称:卫生间集成暖风机
2.安装方式:详见图纸
3.其它说明:满足图纸、规范和设计要求</t>
  </si>
  <si>
    <t>1.名称:单联单控开关
2.规格:详见图纸
3.其它说明:满足图纸、规范和设计要求</t>
  </si>
  <si>
    <t>施耐德</t>
  </si>
  <si>
    <t>1.名称:单联双控开关
2.规格:详见图纸
3.其它说明:满足图纸、规范和设计要求</t>
  </si>
  <si>
    <t>1.名称:双联单控开关
2.规格:详见图纸
3.其它说明:满足图纸、规范和设计要求</t>
  </si>
  <si>
    <t>1.名称:双联双控开关
2.规格:详见图纸
3.其它说明:满足图纸、规范和设计要求</t>
  </si>
  <si>
    <t>1.名称:三联单控开关
2.规格:详见图纸
3.其它说明:满足图纸、规范和设计要求</t>
  </si>
  <si>
    <t>1.名称:三联双控开关
2.规格:详见图纸
3.其它说明:满足图纸、规范和设计要求</t>
  </si>
  <si>
    <t>1.名称:五孔插座
2.规格:详见图纸
3.其它说明:满足图纸、规范和设计要求</t>
  </si>
  <si>
    <t>1.名称:五孔带开关插座
2.规格:详见图纸
3.其它说明:满足图纸、规范和设计要求</t>
  </si>
  <si>
    <t>1.名称:防水五孔插座
2.规格:详见图纸
3.其它说明:满足图纸、规范和设计要求</t>
  </si>
  <si>
    <t>1.名称:USB五孔插座
2.规格:详见图纸
3.其它说明:满足图纸、规范和设计要求</t>
  </si>
  <si>
    <t>1.名称:地插
2.规格:详见图纸
3.其它说明:满足图纸、规范和设计要求</t>
  </si>
  <si>
    <t>1.名称:网络端口插座
2.规格:详见图纸
3.其它说明:满足图纸、规范和设计要求</t>
  </si>
  <si>
    <t>1.名称:电视插座
2.规格:详见图纸
3.其它说明:满足图纸、规范和设计要求</t>
  </si>
  <si>
    <t>1.名称:电动窗帘窗纱双轨控制（含电机轨道）
2.位置:老人房，详见图纸
3.其它说明:满足图纸、规范和设计要求</t>
  </si>
  <si>
    <t>1.名称:电动窗帘窗纱双轨控制（含电机轨道）
2.规格:小孩房，详见图纸
3.其它说明:满足图纸、规范和设计要求</t>
  </si>
  <si>
    <r>
      <rPr>
        <sz val="10"/>
        <rFont val="宋体"/>
        <charset val="134"/>
      </rPr>
      <t>1.名称:电动窗帘</t>
    </r>
    <r>
      <rPr>
        <sz val="10"/>
        <color rgb="FFFF0000"/>
        <rFont val="宋体"/>
        <charset val="134"/>
      </rPr>
      <t>单轨</t>
    </r>
    <r>
      <rPr>
        <sz val="10"/>
        <rFont val="宋体"/>
        <charset val="134"/>
      </rPr>
      <t>控制（含电机轨道）
2.规格:主卧，详见图纸
3.其它说明:满足图纸、规范和设计要求</t>
    </r>
  </si>
  <si>
    <t>1.名称:电动窗帘窗纱双轨控制（含电机轨道）
2.规格:客厅，详见图纸
3.其它说明:满足图纸、规范和设计要求</t>
  </si>
  <si>
    <t>1.名称:预留电源接线盒
2.规格:详见图纸
3.其它说明:满足图纸、规范和设计要求</t>
  </si>
  <si>
    <t>补</t>
  </si>
  <si>
    <t>中央净水+中央软水</t>
  </si>
  <si>
    <t>1、前置过滤+中央净水（3.5T）+中央软水（3.5T）+厨房下净水+3套管线机</t>
  </si>
  <si>
    <t>中美合资埃克森净水</t>
  </si>
  <si>
    <t>户外燃气热水器</t>
  </si>
  <si>
    <t>别墅户外26L燃气热水器、外置热水循环泵</t>
  </si>
  <si>
    <t>日本原装进口百乐满</t>
  </si>
  <si>
    <t>__层水吧污水提污泵</t>
  </si>
  <si>
    <t>法国SFA</t>
  </si>
  <si>
    <t>__层卫生间污水提升泵站</t>
  </si>
  <si>
    <t>合计（元）</t>
  </si>
  <si>
    <t>电器及洁具清单</t>
  </si>
  <si>
    <t>名称</t>
  </si>
  <si>
    <t>数量</t>
  </si>
  <si>
    <t>单价</t>
  </si>
  <si>
    <t>型号</t>
  </si>
  <si>
    <t>京东采购价</t>
  </si>
  <si>
    <t>差价</t>
  </si>
  <si>
    <t>电器</t>
  </si>
  <si>
    <t>卫生间集成暖风机</t>
  </si>
  <si>
    <t>奥普</t>
  </si>
  <si>
    <t>小计</t>
  </si>
  <si>
    <t>洁具</t>
  </si>
  <si>
    <t>科勒洁具配置</t>
  </si>
  <si>
    <t>产品名称</t>
  </si>
  <si>
    <t>产品型号</t>
  </si>
  <si>
    <t>图片</t>
  </si>
  <si>
    <t>尺寸</t>
  </si>
  <si>
    <t>玫瑰金暗装花洒</t>
  </si>
  <si>
    <t>K-602015</t>
  </si>
  <si>
    <t>高水压下有完美出水表现
亲氧水流技术升级，提供更酣畅雨淋体验
多样风格</t>
  </si>
  <si>
    <t>玫瑰金入墙龙头</t>
  </si>
  <si>
    <t>K-23485</t>
  </si>
  <si>
    <t>设计灵感-圆与方的设计组合简洁明快，充满现代感的线条优雅精准，别致多变的光影效果，带来十足视觉的愉悦和趣味。进口陶瓷阀芯
充满自信的镀层</t>
  </si>
  <si>
    <t>台下盆</t>
  </si>
  <si>
    <t>K-2889</t>
  </si>
  <si>
    <t>大尺寸台下盆，加大加深，不易溅水，易清洁
长方形外观，清新简约，线条简单，易搭配
盆内使用空间大，适合各种日常用途，方便，实用
溢水孔设计，有效防止污水外溢</t>
  </si>
  <si>
    <t>智能马桶</t>
  </si>
  <si>
    <t>K-603567</t>
  </si>
  <si>
    <t>劲冲省水：环形劲旋水流，全面净洗缸体
智感除菌*：通过紫外线进行除菌，可有效去除99%以上细菌，确保喷管清洁；根据用户习惯智能识别除菌时段，方便安全不锈钢喷管，健康卫生：喷管采用304不锈钢材质制作空气净化,丰富水型,
加热法弧座圈：精准烘干：微波感应：自动开闭盖功能：
可选择离座后自动闭盖后冲水***：离座后先自动闭盖后自动冲水，避免触碰和防止缸体内细菌外溢，更科学卫生
长落座提醒：落座超过15分钟，自动鸣“滴”提示落座时间过长，帮助用户健康如厕
竖版遥控器，界面简洁</t>
  </si>
  <si>
    <t>1.7米镶嵌铸铁浴缸</t>
  </si>
  <si>
    <t>标准尺寸，适合大多数家庭安装
直线条，小弯角设计，彰显前卫和优雅
宽敞内部结构，舒适沐浴
平坦底部，方便站立和淋浴</t>
  </si>
  <si>
    <t>玫瑰金缸边龙头</t>
  </si>
  <si>
    <t>K-604690</t>
  </si>
  <si>
    <t>设计灵感-圆与方的设计组合简洁明快，充满现代感的线条优雅精准，别致多变的光影效果，带来十足视觉的愉悦和趣味。
进口陶瓷阀芯</t>
  </si>
  <si>
    <t>厨房抽拉龙头</t>
  </si>
  <si>
    <t>K-605932</t>
  </si>
  <si>
    <t>手工之作 匠心精造
坚实板材  经久耐用
底部双重防护  降噪防冷凝
台面3.0mm不锈钢板材
易清洁滤篮设计倾倒厨余便利,台控开关，一按即排，轻松开关不脏手,双层过滤，不易堵塞,140mm大口径容纳更多厨余,带盖设计，美观清洁</t>
  </si>
  <si>
    <t>手工不锈钢水槽</t>
  </si>
  <si>
    <t>K-611692</t>
  </si>
  <si>
    <t>设计精练，通配性高
丝滑抽拉，顺畅体验
细密编织抽拉软管，顺滑抽拉，轻松省力
更有磁吸回弹装置，配合锤，精准回位
双功能出水
光泽镀层，闪耀家居
低铅铜材，呵护健康</t>
  </si>
  <si>
    <t>价格清单（装饰工程）（智能部分）</t>
  </si>
  <si>
    <t>人体感应开关</t>
  </si>
  <si>
    <t>1.名称:人体感应开关
2.位置:#二层、一层入户
3.其它说明:满足图纸、规范和设计要求</t>
  </si>
  <si>
    <t>10寸智能控制屏</t>
  </si>
  <si>
    <t>1.名称:10寸智能控制屏
2.位置:#二层、一层
3.其它说明:满足图纸、规范和设计要求</t>
  </si>
  <si>
    <t>照明网关</t>
  </si>
  <si>
    <t>1.名称:照明网关
2.位置:#二层、一层
3.其它说明:满足图纸、规范和设计要求</t>
  </si>
  <si>
    <t>空调网关</t>
  </si>
  <si>
    <t>1.名称:中央空调网关
2.位置:#二层、一层
3.其它说明:满足图纸、规范和设计要求</t>
  </si>
  <si>
    <t>语音音响</t>
  </si>
  <si>
    <t>1.名称:语音控制音响
2.位置:#二层、一层
3.其它说明:满足图纸、规范和设计要求</t>
  </si>
  <si>
    <t>小度</t>
  </si>
  <si>
    <t>楼梯感应灯控制器</t>
  </si>
  <si>
    <t>1.名称:楼梯感应灯控制器
2.位置:#二层、一层
3.其它说明:满足图纸、规范和设计要求</t>
  </si>
  <si>
    <t>楼梯感应灯电器管线</t>
  </si>
  <si>
    <t>1.名称:楼梯感应灯电器管线
2.位置:#二层、一层
3.其它说明:满足图纸、规范和设计要求</t>
  </si>
  <si>
    <t>全屋WiFi吸顶式AP</t>
  </si>
  <si>
    <t>1.名称:全屋WiFi吸顶式AP
2.位置:每个楼层公共区域
3.其它说明:满足图纸、规范和设计要求</t>
  </si>
  <si>
    <t>华三</t>
  </si>
  <si>
    <t>全屋WiFi墙面AP</t>
  </si>
  <si>
    <t>1.名称:全屋WiFi墙面AP
2.位置:影音室、客房、健身区、老人房、孩子房、主卧室
3.其它说明:满足图纸、规范和设计要求</t>
  </si>
  <si>
    <t>全屋WiFi交换机</t>
  </si>
  <si>
    <t>1.名称:全屋WiFi交换机
2.位置:一层
3.其它说明:满足图纸、规范和设计要求</t>
  </si>
  <si>
    <t>华三8+2口     负责全屋网络覆盖及摄像头</t>
  </si>
  <si>
    <t>网关交换机</t>
  </si>
  <si>
    <t>1.名称:网关交换机
2.位置:一层
3.其它说明:满足图纸、规范和设计要求</t>
  </si>
  <si>
    <t>华三普通交换机     负责智能开关网关及空调网关</t>
  </si>
  <si>
    <t>全屋WiFi路由器</t>
  </si>
  <si>
    <t>1.名称:全屋WiFi路由器
2.位置:一层
3.其它说明:满足图纸、规范和设计要求</t>
  </si>
  <si>
    <t>华三ER3200G3路由器</t>
  </si>
  <si>
    <t>摄像头</t>
  </si>
  <si>
    <t>1.名称:摄像头
2.位置:负二层车库、一层入户、花园
3.其它说明:满足图纸、规范和设计要求</t>
  </si>
  <si>
    <t>海威威视高清摄像头</t>
  </si>
  <si>
    <t>录像机</t>
  </si>
  <si>
    <t>1.名称:录像机
2.位置:一层
3.其它说明:满足图纸、规范和设计要求</t>
  </si>
  <si>
    <t>海威威视录像机</t>
  </si>
  <si>
    <t>硬盘</t>
  </si>
  <si>
    <t>1.名称:硬盘
2.位置:一层
3.其它说明:满足图纸、规范和设计要求</t>
  </si>
  <si>
    <t>海威威视硬盘</t>
  </si>
  <si>
    <t>弱电箱</t>
  </si>
  <si>
    <t>1.名称:弱电箱
2.位置:一层
3.其它说明:满足图纸、规范和设计要求</t>
  </si>
  <si>
    <t>全屋WiFi、网关、摄像头网络布线</t>
  </si>
  <si>
    <t>超六类网线</t>
  </si>
  <si>
    <t>智能系统调试</t>
  </si>
  <si>
    <t>1.名称:智能系统调试
2.其它说明:满足图纸、规范和设计要求
3.含除灯具、开关、插座外的与之相关的一切费用
4.工程量：地面铺装面积</t>
  </si>
  <si>
    <t>涂鸦</t>
  </si>
  <si>
    <t>杜亚电机</t>
  </si>
  <si>
    <r>
      <rPr>
        <sz val="10"/>
        <rFont val="宋体"/>
        <charset val="134"/>
      </rPr>
      <t>1.名称:电动窗帘</t>
    </r>
    <r>
      <rPr>
        <sz val="10"/>
        <color rgb="FFFF0000"/>
        <rFont val="宋体"/>
        <charset val="134"/>
      </rPr>
      <t>双轨</t>
    </r>
    <r>
      <rPr>
        <sz val="10"/>
        <rFont val="宋体"/>
        <charset val="134"/>
      </rPr>
      <t>控制（含电机轨道）
2.规格:主卧，详见图纸
3.其它说明:满足图纸、规范和设计要求</t>
    </r>
  </si>
  <si>
    <t>价格清单（装饰工程）（土建及安装部分）</t>
  </si>
  <si>
    <t>土建改造</t>
  </si>
  <si>
    <t>1、负一层原墙+电梯外墙体拆除</t>
  </si>
  <si>
    <t>1、负一层至二层楼梯浇筑</t>
  </si>
  <si>
    <t>1、负二层挑空区、楼梯区楼板、结构梁拆除</t>
  </si>
  <si>
    <t>地上其他</t>
  </si>
  <si>
    <t>小计（元）</t>
  </si>
  <si>
    <t>水电路、地暖、弱电</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</si>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</sst>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_ [$€]* #,##0.00_ ;_ [$€]* \-#,##0.00_ ;_ [$€]* &quot;-&quot;??_ ;_ @_ "/>
    <numFmt numFmtId="179" formatCode="0.0_ "/>
    <numFmt numFmtId="180" formatCode="0.00;[Red]0.00"/>
  </numFmts>
  <fonts count="60">
    <font>
      <sz val="10"/>
      <name val="Arial"/>
      <charset val="1"/>
    </font>
    <font>
      <sz val="20"/>
      <name val="Arial"/>
      <charset val="134"/>
    </font>
    <font>
      <sz val="10"/>
      <name val="宋体"/>
      <charset val="134"/>
    </font>
    <font>
      <sz val="9"/>
      <name val="宋体"/>
      <charset val="134"/>
      <scheme val="minor"/>
    </font>
    <font>
      <sz val="10"/>
      <name val="宋体"/>
      <charset val="134"/>
      <scheme val="minor"/>
    </font>
    <font>
      <b/>
      <sz val="20"/>
      <name val="宋体"/>
      <charset val="134"/>
    </font>
    <font>
      <sz val="9"/>
      <name val="宋体"/>
      <charset val="134"/>
    </font>
    <font>
      <b/>
      <sz val="10"/>
      <name val="宋体"/>
      <charset val="134"/>
    </font>
    <font>
      <sz val="9"/>
      <color rgb="FFFF0000"/>
      <name val="宋体"/>
      <charset val="134"/>
    </font>
    <font>
      <sz val="10"/>
      <color rgb="FFFF0000"/>
      <name val="宋体"/>
      <charset val="134"/>
    </font>
    <font>
      <sz val="10"/>
      <color rgb="FFFF0000"/>
      <name val="宋体"/>
      <charset val="1"/>
    </font>
    <font>
      <sz val="10"/>
      <color rgb="FFFF0000"/>
      <name val="宋体"/>
      <charset val="134"/>
      <scheme val="minor"/>
    </font>
    <font>
      <b/>
      <sz val="9"/>
      <name val="宋体"/>
      <charset val="134"/>
      <scheme val="minor"/>
    </font>
    <font>
      <sz val="10"/>
      <name val="宋体"/>
      <charset val="1"/>
    </font>
    <font>
      <sz val="12"/>
      <name val="宋体"/>
      <charset val="134"/>
    </font>
    <font>
      <b/>
      <sz val="18"/>
      <name val="宋体"/>
      <charset val="134"/>
    </font>
    <font>
      <b/>
      <sz val="12"/>
      <name val="宋体"/>
      <charset val="134"/>
    </font>
    <font>
      <b/>
      <sz val="9"/>
      <name val="宋体"/>
      <charset val="134"/>
    </font>
    <font>
      <b/>
      <sz val="9"/>
      <color theme="1"/>
      <name val="宋体"/>
      <charset val="134"/>
    </font>
    <font>
      <b/>
      <sz val="10"/>
      <color theme="1"/>
      <name val="仿宋"/>
      <charset val="134"/>
    </font>
    <font>
      <sz val="10"/>
      <name val="Arial"/>
      <charset val="0"/>
    </font>
    <font>
      <b/>
      <sz val="14"/>
      <name val="宋体"/>
      <charset val="134"/>
    </font>
    <font>
      <b/>
      <sz val="10"/>
      <name val="Arial"/>
      <charset val="1"/>
    </font>
    <font>
      <b/>
      <sz val="16"/>
      <name val="宋体"/>
      <charset val="1"/>
    </font>
    <font>
      <b/>
      <sz val="16"/>
      <name val="Arial"/>
      <charset val="1"/>
    </font>
    <font>
      <b/>
      <sz val="10"/>
      <name val="宋体"/>
      <charset val="1"/>
    </font>
    <font>
      <sz val="9"/>
      <color theme="1"/>
      <name val="宋体"/>
      <charset val="134"/>
    </font>
    <font>
      <sz val="10"/>
      <name val="宋体"/>
      <charset val="0"/>
    </font>
    <font>
      <b/>
      <sz val="16"/>
      <name val="宋体"/>
      <charset val="134"/>
    </font>
    <font>
      <sz val="10"/>
      <color theme="1"/>
      <name val="微软雅黑"/>
      <charset val="134"/>
    </font>
    <font>
      <sz val="10"/>
      <name val="微软雅黑"/>
      <charset val="134"/>
    </font>
    <font>
      <b/>
      <sz val="16"/>
      <name val="楷体_GB2312"/>
      <charset val="134"/>
    </font>
    <font>
      <b/>
      <sz val="11"/>
      <name val="宋体"/>
      <charset val="134"/>
    </font>
    <font>
      <sz val="10.5"/>
      <name val="楷体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9"/>
      <color theme="1"/>
      <name val="宋体"/>
      <charset val="134"/>
      <scheme val="minor"/>
    </font>
    <font>
      <sz val="11"/>
      <color indexed="8"/>
      <name val="宋体"/>
      <charset val="134"/>
    </font>
    <font>
      <sz val="10"/>
      <name val="Arial"/>
      <charset val="134"/>
    </font>
    <font>
      <sz val="20"/>
      <name val="宋体"/>
      <charset val="134"/>
    </font>
    <font>
      <sz val="10"/>
      <color rgb="FFFF0000"/>
      <name val="Arial"/>
      <charset val="134"/>
    </font>
  </fonts>
  <fills count="3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05"/>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6" borderId="9"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0" applyNumberFormat="0" applyFill="0" applyAlignment="0" applyProtection="0">
      <alignment vertical="center"/>
    </xf>
    <xf numFmtId="0" fontId="41" fillId="0" borderId="10" applyNumberFormat="0" applyFill="0" applyAlignment="0" applyProtection="0">
      <alignment vertical="center"/>
    </xf>
    <xf numFmtId="0" fontId="42" fillId="0" borderId="11" applyNumberFormat="0" applyFill="0" applyAlignment="0" applyProtection="0">
      <alignment vertical="center"/>
    </xf>
    <xf numFmtId="0" fontId="42" fillId="0" borderId="0" applyNumberFormat="0" applyFill="0" applyBorder="0" applyAlignment="0" applyProtection="0">
      <alignment vertical="center"/>
    </xf>
    <xf numFmtId="0" fontId="43" fillId="7" borderId="12" applyNumberFormat="0" applyAlignment="0" applyProtection="0">
      <alignment vertical="center"/>
    </xf>
    <xf numFmtId="0" fontId="44" fillId="8" borderId="13" applyNumberFormat="0" applyAlignment="0" applyProtection="0">
      <alignment vertical="center"/>
    </xf>
    <xf numFmtId="0" fontId="45" fillId="8" borderId="12" applyNumberFormat="0" applyAlignment="0" applyProtection="0">
      <alignment vertical="center"/>
    </xf>
    <xf numFmtId="0" fontId="46" fillId="9" borderId="14" applyNumberFormat="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xf numFmtId="0" fontId="54" fillId="0" borderId="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5" fillId="0" borderId="0"/>
    <xf numFmtId="176" fontId="54" fillId="0" borderId="1">
      <alignment horizontal="right" vertical="center" wrapText="1"/>
    </xf>
    <xf numFmtId="176" fontId="54" fillId="0" borderId="1">
      <alignment horizontal="right" vertical="center" wrapText="1"/>
    </xf>
    <xf numFmtId="0" fontId="56" fillId="0" borderId="0">
      <alignment vertical="center"/>
    </xf>
    <xf numFmtId="0" fontId="14" fillId="0" borderId="0"/>
    <xf numFmtId="0" fontId="34" fillId="0" borderId="0">
      <alignment vertical="center"/>
    </xf>
    <xf numFmtId="0" fontId="56" fillId="0" borderId="0">
      <alignment vertical="center"/>
    </xf>
    <xf numFmtId="0" fontId="56"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7" fillId="0" borderId="0"/>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cellStyleXfs>
  <cellXfs count="187">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54" applyFont="1" applyFill="1" applyAlignment="1">
      <alignment horizontal="left"/>
    </xf>
    <xf numFmtId="0" fontId="4" fillId="0" borderId="0" xfId="54" applyFont="1" applyFill="1" applyBorder="1" applyAlignment="1"/>
    <xf numFmtId="0" fontId="3" fillId="0" borderId="0" xfId="54" applyFont="1" applyFill="1" applyBorder="1" applyAlignment="1">
      <alignment horizontal="left" vertical="center"/>
    </xf>
    <xf numFmtId="0" fontId="4" fillId="0" borderId="0" xfId="0" applyFont="1" applyFill="1" applyBorder="1" applyAlignment="1">
      <alignment vertical="center"/>
    </xf>
    <xf numFmtId="0" fontId="5" fillId="0" borderId="0" xfId="54" applyFont="1" applyFill="1" applyAlignment="1">
      <alignment horizontal="center" vertical="center" wrapText="1"/>
    </xf>
    <xf numFmtId="0" fontId="6" fillId="0" borderId="0" xfId="54" applyFont="1" applyFill="1" applyAlignment="1">
      <alignment horizontal="left" vertical="center" wrapText="1"/>
    </xf>
    <xf numFmtId="0" fontId="6" fillId="0" borderId="0" xfId="54" applyFont="1" applyFill="1" applyAlignment="1">
      <alignment horizontal="center" vertical="center" wrapText="1"/>
    </xf>
    <xf numFmtId="0" fontId="6" fillId="0" borderId="1" xfId="54" applyFont="1" applyFill="1" applyBorder="1" applyAlignment="1">
      <alignment horizontal="center" vertical="center" wrapText="1"/>
    </xf>
    <xf numFmtId="0" fontId="6" fillId="0" borderId="1" xfId="54" applyFont="1" applyFill="1" applyBorder="1" applyAlignment="1">
      <alignment horizontal="left" vertical="center" wrapText="1"/>
    </xf>
    <xf numFmtId="0" fontId="2" fillId="0" borderId="1"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54" applyFont="1" applyFill="1" applyBorder="1" applyAlignment="1">
      <alignment horizontal="left" vertical="center" wrapText="1"/>
    </xf>
    <xf numFmtId="177" fontId="6" fillId="0" borderId="1" xfId="54" applyNumberFormat="1" applyFont="1" applyFill="1" applyBorder="1" applyAlignment="1">
      <alignment horizontal="center" vertical="center" wrapText="1"/>
    </xf>
    <xf numFmtId="176" fontId="6" fillId="2" borderId="1" xfId="54" applyNumberFormat="1" applyFont="1" applyFill="1" applyBorder="1" applyAlignment="1">
      <alignment horizontal="center" vertical="center" wrapText="1"/>
    </xf>
    <xf numFmtId="0" fontId="6" fillId="3" borderId="1" xfId="54" applyFont="1" applyFill="1" applyBorder="1" applyAlignment="1">
      <alignment horizontal="left" vertical="center" wrapText="1"/>
    </xf>
    <xf numFmtId="0" fontId="0" fillId="3" borderId="1" xfId="0" applyFill="1" applyBorder="1" applyAlignment="1">
      <alignment horizontal="center" vertical="center"/>
    </xf>
    <xf numFmtId="0" fontId="8" fillId="0" borderId="1" xfId="54" applyFont="1" applyFill="1" applyBorder="1" applyAlignment="1">
      <alignment horizontal="center" vertical="center" wrapText="1"/>
    </xf>
    <xf numFmtId="0" fontId="2" fillId="0" borderId="1" xfId="0" applyFont="1" applyFill="1" applyBorder="1" applyAlignment="1">
      <alignment horizontal="left"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54" applyFont="1" applyFill="1" applyBorder="1" applyAlignment="1">
      <alignment horizontal="left" vertical="center" wrapText="1"/>
    </xf>
    <xf numFmtId="177" fontId="8" fillId="0" borderId="1" xfId="54" applyNumberFormat="1" applyFont="1" applyFill="1" applyBorder="1" applyAlignment="1">
      <alignment horizontal="center" vertical="center" wrapText="1"/>
    </xf>
    <xf numFmtId="176" fontId="8" fillId="2" borderId="1" xfId="54"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7" fillId="3" borderId="1" xfId="0" applyFont="1" applyFill="1" applyBorder="1" applyAlignment="1">
      <alignment horizontal="left" vertical="center"/>
    </xf>
    <xf numFmtId="0" fontId="6" fillId="0" borderId="1" xfId="0" applyFont="1" applyFill="1" applyBorder="1" applyAlignment="1">
      <alignment horizontal="left" vertical="center"/>
    </xf>
    <xf numFmtId="0" fontId="3" fillId="0" borderId="1" xfId="54" applyFont="1" applyFill="1" applyBorder="1" applyAlignment="1">
      <alignment horizontal="center" vertical="center"/>
    </xf>
    <xf numFmtId="0" fontId="7" fillId="0" borderId="1" xfId="54" applyFont="1" applyFill="1" applyBorder="1" applyAlignment="1">
      <alignment horizontal="left" vertical="center" wrapText="1"/>
    </xf>
    <xf numFmtId="0" fontId="3" fillId="0" borderId="1" xfId="0" applyFont="1" applyFill="1" applyBorder="1" applyAlignment="1">
      <alignment horizontal="center" vertical="center"/>
    </xf>
    <xf numFmtId="176" fontId="2" fillId="0" borderId="1" xfId="54" applyNumberFormat="1" applyFont="1" applyFill="1" applyBorder="1" applyAlignment="1">
      <alignment horizontal="center" vertical="center" wrapText="1"/>
    </xf>
    <xf numFmtId="176" fontId="4" fillId="0" borderId="1" xfId="0" applyNumberFormat="1" applyFont="1" applyFill="1" applyBorder="1" applyAlignment="1">
      <alignment vertical="center"/>
    </xf>
    <xf numFmtId="0" fontId="2" fillId="0" borderId="1" xfId="60" applyFont="1" applyFill="1" applyBorder="1" applyAlignment="1">
      <alignment horizontal="left" vertical="center" wrapText="1"/>
    </xf>
    <xf numFmtId="0" fontId="6" fillId="0" borderId="1" xfId="54" applyNumberFormat="1" applyFont="1" applyFill="1" applyBorder="1" applyAlignment="1">
      <alignment horizontal="center" vertical="center" wrapText="1"/>
    </xf>
    <xf numFmtId="176" fontId="5" fillId="0" borderId="0" xfId="54" applyNumberFormat="1" applyFont="1" applyFill="1" applyAlignment="1">
      <alignment horizontal="center" vertical="center" wrapText="1"/>
    </xf>
    <xf numFmtId="176" fontId="6" fillId="0" borderId="0" xfId="54" applyNumberFormat="1" applyFont="1" applyFill="1" applyAlignment="1">
      <alignment horizontal="center" vertical="center" wrapText="1"/>
    </xf>
    <xf numFmtId="176" fontId="6" fillId="0" borderId="1" xfId="54" applyNumberFormat="1" applyFont="1" applyFill="1" applyBorder="1" applyAlignment="1">
      <alignment horizontal="center" vertical="center" wrapText="1"/>
    </xf>
    <xf numFmtId="9" fontId="6" fillId="0" borderId="1" xfId="3" applyNumberFormat="1" applyFont="1" applyFill="1" applyBorder="1" applyAlignment="1" applyProtection="1">
      <alignment horizontal="center" vertical="center" wrapText="1"/>
    </xf>
    <xf numFmtId="176" fontId="6" fillId="4" borderId="1" xfId="54" applyNumberFormat="1" applyFont="1" applyFill="1" applyBorder="1" applyAlignment="1">
      <alignment horizontal="center" vertical="center" wrapText="1"/>
    </xf>
    <xf numFmtId="0" fontId="4" fillId="0" borderId="1" xfId="54" applyFont="1" applyFill="1" applyBorder="1" applyAlignment="1">
      <alignment vertical="center" wrapText="1"/>
    </xf>
    <xf numFmtId="9" fontId="8" fillId="0" borderId="1" xfId="3" applyNumberFormat="1" applyFont="1" applyFill="1" applyBorder="1" applyAlignment="1" applyProtection="1">
      <alignment horizontal="center" vertical="center" wrapText="1"/>
    </xf>
    <xf numFmtId="176" fontId="8" fillId="0" borderId="1" xfId="54" applyNumberFormat="1" applyFont="1" applyFill="1" applyBorder="1" applyAlignment="1">
      <alignment horizontal="center" vertical="center" wrapText="1"/>
    </xf>
    <xf numFmtId="176" fontId="8" fillId="4" borderId="1" xfId="54" applyNumberFormat="1" applyFont="1" applyFill="1" applyBorder="1" applyAlignment="1">
      <alignment horizontal="center" vertical="center" wrapText="1"/>
    </xf>
    <xf numFmtId="0" fontId="10" fillId="3" borderId="1" xfId="0" applyFont="1" applyFill="1" applyBorder="1" applyAlignment="1">
      <alignment horizontal="center" vertical="center"/>
    </xf>
    <xf numFmtId="0" fontId="0" fillId="0" borderId="1" xfId="0" applyFill="1" applyBorder="1" applyAlignment="1">
      <alignment horizontal="center" vertical="center"/>
    </xf>
    <xf numFmtId="176" fontId="3" fillId="0" borderId="1" xfId="54" applyNumberFormat="1" applyFont="1" applyFill="1" applyBorder="1" applyAlignment="1">
      <alignment horizontal="center" vertical="center"/>
    </xf>
    <xf numFmtId="0" fontId="3" fillId="0" borderId="1" xfId="54"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4" applyFont="1" applyFill="1" applyBorder="1" applyAlignment="1">
      <alignment vertical="center" wrapText="1"/>
    </xf>
    <xf numFmtId="176" fontId="12" fillId="0" borderId="1" xfId="54" applyNumberFormat="1" applyFont="1" applyFill="1" applyBorder="1" applyAlignment="1">
      <alignment horizontal="center" vertical="center"/>
    </xf>
    <xf numFmtId="0" fontId="13" fillId="0" borderId="0" xfId="0" applyFont="1"/>
    <xf numFmtId="0" fontId="2"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76" fontId="8" fillId="0" borderId="1" xfId="54" applyNumberFormat="1" applyFont="1" applyFill="1" applyBorder="1" applyAlignment="1">
      <alignment horizontal="left" vertical="center" wrapText="1"/>
    </xf>
    <xf numFmtId="176" fontId="6" fillId="0" borderId="1" xfId="54"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7" fillId="0" borderId="1" xfId="0" applyNumberFormat="1" applyFont="1" applyFill="1" applyBorder="1" applyAlignment="1">
      <alignment horizontal="left" vertical="center" wrapText="1"/>
    </xf>
    <xf numFmtId="0" fontId="18" fillId="5"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178" fontId="17" fillId="5"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178" fontId="18" fillId="5" borderId="1" xfId="0" applyNumberFormat="1" applyFont="1" applyFill="1" applyBorder="1" applyAlignment="1">
      <alignment horizontal="left" vertical="center" wrapText="1"/>
    </xf>
    <xf numFmtId="0" fontId="19" fillId="5" borderId="1"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1" xfId="0" applyFont="1" applyBorder="1" applyAlignment="1">
      <alignment horizontal="center" vertical="center"/>
    </xf>
    <xf numFmtId="0" fontId="25"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0" fillId="0" borderId="1" xfId="0" applyFont="1" applyBorder="1" applyAlignment="1">
      <alignment vertical="center" wrapText="1"/>
    </xf>
    <xf numFmtId="0" fontId="13" fillId="0" borderId="1" xfId="0" applyFont="1" applyBorder="1" applyAlignment="1">
      <alignment vertical="center"/>
    </xf>
    <xf numFmtId="0" fontId="22" fillId="0" borderId="1" xfId="0" applyFont="1" applyBorder="1" applyAlignment="1">
      <alignment horizontal="center"/>
    </xf>
    <xf numFmtId="0" fontId="22" fillId="0" borderId="1" xfId="0" applyFont="1" applyBorder="1" applyAlignment="1">
      <alignment horizontal="center" vertical="center"/>
    </xf>
    <xf numFmtId="0" fontId="22" fillId="0" borderId="1" xfId="0" applyFont="1" applyBorder="1"/>
    <xf numFmtId="0" fontId="0" fillId="0" borderId="1" xfId="0" applyBorder="1" applyAlignment="1">
      <alignment horizontal="center" vertical="center" wrapText="1"/>
    </xf>
    <xf numFmtId="0" fontId="11" fillId="0" borderId="0" xfId="54" applyFont="1" applyFill="1" applyBorder="1" applyAlignment="1"/>
    <xf numFmtId="0" fontId="3" fillId="0" borderId="0" xfId="54" applyFont="1" applyFill="1" applyAlignment="1">
      <alignment horizontal="center"/>
    </xf>
    <xf numFmtId="176" fontId="3" fillId="0" borderId="0" xfId="54" applyNumberFormat="1" applyFont="1" applyFill="1" applyAlignment="1">
      <alignment horizontal="center"/>
    </xf>
    <xf numFmtId="0" fontId="3" fillId="0" borderId="0" xfId="54" applyFont="1" applyFill="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54" applyFont="1" applyFill="1" applyBorder="1" applyAlignment="1">
      <alignment vertical="center" wrapText="1"/>
    </xf>
    <xf numFmtId="0" fontId="9" fillId="0" borderId="1" xfId="54" applyFont="1" applyFill="1" applyBorder="1" applyAlignment="1">
      <alignment horizontal="left" vertical="center" wrapText="1"/>
    </xf>
    <xf numFmtId="179" fontId="2" fillId="0" borderId="1" xfId="54" applyNumberFormat="1" applyFont="1" applyFill="1" applyBorder="1" applyAlignment="1">
      <alignment horizontal="center" vertical="center" wrapText="1"/>
    </xf>
    <xf numFmtId="0" fontId="9" fillId="0" borderId="1" xfId="54" applyFont="1" applyFill="1" applyBorder="1" applyAlignment="1">
      <alignment horizontal="center" vertical="center" wrapText="1"/>
    </xf>
    <xf numFmtId="0" fontId="8" fillId="0" borderId="1" xfId="54"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0" fillId="0" borderId="0" xfId="0" applyFill="1" applyAlignment="1">
      <alignment horizontal="center"/>
    </xf>
    <xf numFmtId="0" fontId="0" fillId="0" borderId="0" xfId="0" applyFill="1" applyAlignment="1">
      <alignment horizontal="left"/>
    </xf>
    <xf numFmtId="0" fontId="0" fillId="2" borderId="0" xfId="0" applyFill="1" applyAlignment="1">
      <alignment horizontal="center"/>
    </xf>
    <xf numFmtId="0" fontId="0" fillId="4" borderId="0" xfId="0" applyFill="1" applyAlignment="1">
      <alignment horizontal="center"/>
    </xf>
    <xf numFmtId="0" fontId="5" fillId="0" borderId="0" xfId="54" applyFont="1" applyFill="1" applyAlignment="1">
      <alignment horizontal="left" vertical="center" wrapText="1"/>
    </xf>
    <xf numFmtId="0" fontId="5" fillId="2" borderId="0" xfId="54" applyFont="1" applyFill="1" applyAlignment="1">
      <alignment horizontal="center" vertical="center" wrapText="1"/>
    </xf>
    <xf numFmtId="0" fontId="6" fillId="2" borderId="0" xfId="54" applyFont="1" applyFill="1" applyAlignment="1">
      <alignment horizontal="center" vertical="center" wrapText="1"/>
    </xf>
    <xf numFmtId="0" fontId="6" fillId="2" borderId="1" xfId="54" applyFont="1" applyFill="1" applyBorder="1" applyAlignment="1">
      <alignment horizontal="center" vertical="center" wrapText="1"/>
    </xf>
    <xf numFmtId="0" fontId="17" fillId="3" borderId="1" xfId="54" applyFont="1" applyFill="1" applyBorder="1" applyAlignment="1">
      <alignment horizontal="left" vertical="center" wrapText="1"/>
    </xf>
    <xf numFmtId="176" fontId="6" fillId="3" borderId="1" xfId="54" applyNumberFormat="1" applyFont="1" applyFill="1" applyBorder="1" applyAlignment="1">
      <alignment horizontal="center" vertical="center" wrapText="1"/>
    </xf>
    <xf numFmtId="0" fontId="5" fillId="4" borderId="0" xfId="54" applyFont="1" applyFill="1" applyAlignment="1">
      <alignment horizontal="center" vertical="center" wrapText="1"/>
    </xf>
    <xf numFmtId="0" fontId="6" fillId="4" borderId="0" xfId="54" applyFont="1" applyFill="1" applyAlignment="1">
      <alignment horizontal="center" vertical="center" wrapText="1"/>
    </xf>
    <xf numFmtId="0" fontId="6" fillId="4" borderId="1" xfId="54" applyFont="1" applyFill="1" applyBorder="1" applyAlignment="1">
      <alignment horizontal="center" vertical="center" wrapText="1"/>
    </xf>
    <xf numFmtId="9" fontId="6" fillId="0" borderId="1" xfId="3" applyFont="1" applyFill="1" applyBorder="1" applyAlignment="1" applyProtection="1">
      <alignment horizontal="center" vertical="center" wrapText="1"/>
    </xf>
    <xf numFmtId="176" fontId="6" fillId="3" borderId="1" xfId="54" applyNumberFormat="1" applyFont="1" applyFill="1" applyBorder="1" applyAlignment="1">
      <alignment horizontal="left" vertical="center" wrapText="1"/>
    </xf>
    <xf numFmtId="0" fontId="27"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xf>
    <xf numFmtId="0" fontId="8"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176" fontId="6" fillId="0" borderId="1" xfId="54" applyNumberFormat="1" applyFont="1" applyFill="1" applyBorder="1" applyAlignment="1">
      <alignment horizontal="right" vertical="center" wrapText="1"/>
    </xf>
    <xf numFmtId="0" fontId="14" fillId="0" borderId="0" xfId="0" applyFont="1" applyFill="1" applyBorder="1" applyAlignment="1">
      <alignment vertical="center"/>
    </xf>
    <xf numFmtId="0" fontId="14" fillId="0" borderId="0" xfId="0" applyFont="1" applyFill="1" applyAlignment="1">
      <alignment vertical="center"/>
    </xf>
    <xf numFmtId="0" fontId="28" fillId="0" borderId="0" xfId="0" applyFont="1" applyFill="1" applyAlignment="1">
      <alignment horizontal="center" vertical="center" wrapText="1"/>
    </xf>
    <xf numFmtId="0" fontId="29" fillId="0" borderId="1" xfId="0" applyFont="1" applyFill="1" applyBorder="1" applyAlignment="1">
      <alignment horizontal="center" vertical="center"/>
    </xf>
    <xf numFmtId="176" fontId="30" fillId="0" borderId="1" xfId="0" applyNumberFormat="1" applyFont="1" applyFill="1" applyBorder="1" applyAlignment="1">
      <alignment horizontal="center" vertical="center" wrapText="1"/>
    </xf>
    <xf numFmtId="176" fontId="29"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7" fillId="0" borderId="5" xfId="0" applyFont="1" applyFill="1" applyBorder="1" applyAlignment="1">
      <alignment horizontal="center" vertical="center" wrapText="1"/>
    </xf>
    <xf numFmtId="180" fontId="7" fillId="0" borderId="5" xfId="0" applyNumberFormat="1" applyFont="1" applyFill="1" applyBorder="1" applyAlignment="1">
      <alignment horizontal="center" vertical="center" wrapText="1"/>
    </xf>
    <xf numFmtId="0" fontId="7" fillId="0" borderId="5" xfId="0" applyFont="1" applyFill="1" applyBorder="1" applyAlignment="1">
      <alignment vertical="center"/>
    </xf>
    <xf numFmtId="180" fontId="7" fillId="0" borderId="1" xfId="0" applyNumberFormat="1" applyFont="1" applyFill="1" applyBorder="1" applyAlignment="1">
      <alignment horizontal="center" vertical="center" wrapText="1"/>
    </xf>
    <xf numFmtId="0" fontId="7" fillId="0" borderId="1" xfId="0" applyFont="1" applyFill="1" applyBorder="1" applyAlignment="1">
      <alignment vertical="center"/>
    </xf>
    <xf numFmtId="0" fontId="13" fillId="0" borderId="0" xfId="0" applyFont="1" applyFill="1" applyAlignment="1">
      <alignment horizontal="left" wrapText="1"/>
    </xf>
    <xf numFmtId="0" fontId="14" fillId="3" borderId="0" xfId="0" applyFont="1" applyFill="1" applyBorder="1" applyAlignment="1">
      <alignment vertical="center"/>
    </xf>
    <xf numFmtId="0" fontId="14" fillId="0" borderId="0" xfId="0" applyNumberFormat="1" applyFont="1" applyFill="1" applyBorder="1" applyAlignment="1">
      <alignment vertical="center" wrapText="1"/>
    </xf>
    <xf numFmtId="0" fontId="31" fillId="0" borderId="0" xfId="0" applyFont="1" applyFill="1" applyAlignment="1">
      <alignment horizontal="center" vertical="center"/>
    </xf>
    <xf numFmtId="49" fontId="32" fillId="0" borderId="1" xfId="56" applyNumberFormat="1" applyFont="1" applyFill="1" applyBorder="1" applyAlignment="1" applyProtection="1">
      <alignment horizontal="left" vertical="center"/>
    </xf>
    <xf numFmtId="49" fontId="32" fillId="0" borderId="1" xfId="56" applyNumberFormat="1" applyFont="1" applyFill="1" applyBorder="1" applyAlignment="1" applyProtection="1">
      <alignment horizontal="left" vertical="center" wrapText="1"/>
    </xf>
    <xf numFmtId="0" fontId="31" fillId="0" borderId="0" xfId="0" applyFont="1" applyFill="1" applyBorder="1" applyAlignment="1">
      <alignment horizontal="center" vertical="center"/>
    </xf>
    <xf numFmtId="0" fontId="2" fillId="0" borderId="1" xfId="59" applyFont="1" applyFill="1" applyBorder="1" applyAlignment="1" applyProtection="1">
      <alignment horizontal="center" vertical="center"/>
    </xf>
    <xf numFmtId="0" fontId="2" fillId="0" borderId="1" xfId="56" applyNumberFormat="1" applyFont="1" applyFill="1" applyBorder="1" applyAlignment="1" applyProtection="1">
      <alignment horizontal="left" vertical="center" wrapText="1"/>
    </xf>
    <xf numFmtId="0" fontId="33" fillId="0" borderId="0" xfId="0" applyNumberFormat="1" applyFont="1" applyFill="1" applyBorder="1" applyAlignment="1">
      <alignment horizontal="justify" vertical="center" wrapText="1"/>
    </xf>
    <xf numFmtId="0" fontId="4" fillId="0" borderId="1" xfId="58" applyNumberFormat="1" applyFont="1" applyFill="1" applyBorder="1" applyAlignment="1" applyProtection="1">
      <alignment horizontal="justify" vertical="center" wrapText="1"/>
    </xf>
    <xf numFmtId="0" fontId="2" fillId="0" borderId="1" xfId="49" applyNumberFormat="1" applyFont="1" applyFill="1" applyBorder="1" applyAlignment="1" applyProtection="1">
      <alignment horizontal="center" vertical="center"/>
    </xf>
    <xf numFmtId="0" fontId="2" fillId="0" borderId="1" xfId="57" applyNumberFormat="1" applyFont="1" applyFill="1" applyBorder="1" applyAlignment="1" applyProtection="1">
      <alignment vertical="center" wrapText="1"/>
    </xf>
    <xf numFmtId="0" fontId="33" fillId="0" borderId="0" xfId="0" applyNumberFormat="1" applyFont="1" applyFill="1" applyBorder="1" applyAlignment="1">
      <alignment horizontal="left" vertical="center" wrapText="1"/>
    </xf>
    <xf numFmtId="0" fontId="2" fillId="0" borderId="1" xfId="55" applyNumberFormat="1" applyFont="1" applyFill="1" applyBorder="1" applyAlignment="1" applyProtection="1">
      <alignment horizontal="left" vertical="center" wrapText="1"/>
    </xf>
    <xf numFmtId="0" fontId="2" fillId="0" borderId="1" xfId="57" applyNumberFormat="1" applyFont="1" applyFill="1" applyBorder="1" applyAlignment="1" applyProtection="1">
      <alignment horizontal="left" vertical="center" wrapText="1"/>
    </xf>
    <xf numFmtId="0" fontId="9" fillId="0" borderId="1" xfId="49" applyNumberFormat="1" applyFont="1" applyFill="1" applyBorder="1" applyAlignment="1" applyProtection="1">
      <alignment horizontal="center" vertical="center"/>
    </xf>
    <xf numFmtId="0" fontId="9" fillId="0" borderId="1" xfId="56" applyNumberFormat="1" applyFont="1" applyFill="1" applyBorder="1" applyAlignment="1" applyProtection="1">
      <alignment horizontal="left" vertical="center" wrapText="1"/>
    </xf>
    <xf numFmtId="0" fontId="9" fillId="0" borderId="0" xfId="49" applyNumberFormat="1" applyFont="1" applyFill="1" applyAlignment="1" applyProtection="1">
      <alignment horizontal="center" vertical="center"/>
    </xf>
    <xf numFmtId="0" fontId="9" fillId="0" borderId="5" xfId="56" applyNumberFormat="1" applyFont="1" applyFill="1" applyBorder="1" applyAlignment="1" applyProtection="1">
      <alignment horizontal="left" vertical="center" wrapText="1"/>
    </xf>
    <xf numFmtId="0" fontId="9" fillId="0" borderId="2" xfId="49" applyNumberFormat="1" applyFont="1" applyFill="1" applyBorder="1" applyAlignment="1" applyProtection="1">
      <alignment horizontal="center" vertical="center"/>
    </xf>
    <xf numFmtId="0" fontId="9" fillId="0" borderId="6" xfId="49" applyNumberFormat="1" applyFont="1" applyFill="1" applyBorder="1" applyAlignment="1" applyProtection="1">
      <alignment horizontal="center" vertical="center"/>
    </xf>
    <xf numFmtId="0" fontId="9" fillId="0" borderId="5" xfId="49" applyNumberFormat="1" applyFont="1" applyFill="1" applyBorder="1" applyAlignment="1" applyProtection="1">
      <alignment horizontal="center" vertical="center"/>
    </xf>
    <xf numFmtId="0" fontId="9" fillId="0" borderId="8" xfId="56" applyNumberFormat="1" applyFont="1" applyFill="1" applyBorder="1" applyAlignment="1" applyProtection="1">
      <alignment horizontal="left" vertical="center" wrapText="1"/>
    </xf>
    <xf numFmtId="0" fontId="32" fillId="0" borderId="0" xfId="0" applyFont="1" applyFill="1" applyAlignment="1">
      <alignment horizontal="left"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3232" xfId="50"/>
    <cellStyle name="3232 2" xfId="51"/>
    <cellStyle name="3232 2 2" xfId="52"/>
    <cellStyle name="3232 3" xfId="53"/>
    <cellStyle name="Normal" xfId="54"/>
    <cellStyle name="表体数字 3 2 6 5 3 2" xfId="55"/>
    <cellStyle name="表体数字 3 2 6 6" xfId="56"/>
    <cellStyle name="常规 10" xfId="57"/>
    <cellStyle name="常规 11" xfId="58"/>
    <cellStyle name="常规 144 4" xfId="59"/>
    <cellStyle name="常规 2" xfId="60"/>
    <cellStyle name="常规 2 2 2" xfId="61"/>
    <cellStyle name="常规 2 3" xfId="62"/>
    <cellStyle name="常规 3" xfId="63"/>
    <cellStyle name="常规 3 2" xfId="64"/>
    <cellStyle name="常规 3 2 2" xfId="65"/>
    <cellStyle name="常规 3 2 2 2" xfId="66"/>
    <cellStyle name="常规 3 2 3" xfId="67"/>
    <cellStyle name="常规 3 3" xfId="68"/>
    <cellStyle name="常规 3 3 2" xfId="69"/>
    <cellStyle name="常规 3 4" xfId="70"/>
    <cellStyle name="常规 4" xfId="71"/>
    <cellStyle name="常规 5" xfId="72"/>
    <cellStyle name="常规 5 2" xfId="73"/>
    <cellStyle name="常规 5 2 2" xfId="74"/>
    <cellStyle name="常规 5 3" xfId="75"/>
    <cellStyle name="常规 53" xfId="76"/>
    <cellStyle name="常规 53 2" xfId="77"/>
    <cellStyle name="常规 53 2 2" xfId="78"/>
    <cellStyle name="常规 53 3" xfId="79"/>
    <cellStyle name="常规 7" xfId="80"/>
    <cellStyle name="常规 7 2" xfId="81"/>
    <cellStyle name="常规 7 2 2" xfId="82"/>
    <cellStyle name="常规 7 3" xfId="83"/>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www.wps.cn/officeDocument/2020/cellImage" Target="cellimages.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9" Type="http://schemas.openxmlformats.org/officeDocument/2006/relationships/image" Target="../media/image11.png"/><Relationship Id="rId8" Type="http://schemas.openxmlformats.org/officeDocument/2006/relationships/image" Target="../media/image10.png"/><Relationship Id="rId7" Type="http://schemas.openxmlformats.org/officeDocument/2006/relationships/image" Target="../media/image9.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7" Type="http://schemas.openxmlformats.org/officeDocument/2006/relationships/image" Target="../media/image19.png"/><Relationship Id="rId16" Type="http://schemas.openxmlformats.org/officeDocument/2006/relationships/image" Target="../media/image18.png"/><Relationship Id="rId15" Type="http://schemas.openxmlformats.org/officeDocument/2006/relationships/image" Target="../media/image17.png"/><Relationship Id="rId14" Type="http://schemas.openxmlformats.org/officeDocument/2006/relationships/image" Target="../media/image16.png"/><Relationship Id="rId13" Type="http://schemas.openxmlformats.org/officeDocument/2006/relationships/image" Target="../media/image15.png"/><Relationship Id="rId12" Type="http://schemas.openxmlformats.org/officeDocument/2006/relationships/image" Target="../media/image14.png"/><Relationship Id="rId11" Type="http://schemas.openxmlformats.org/officeDocument/2006/relationships/image" Target="../media/image13.png"/><Relationship Id="rId10" Type="http://schemas.openxmlformats.org/officeDocument/2006/relationships/image" Target="../media/image12.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cstate="print"/>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295275</xdr:colOff>
      <xdr:row>0</xdr:row>
      <xdr:rowOff>161290</xdr:rowOff>
    </xdr:from>
    <xdr:to>
      <xdr:col>1</xdr:col>
      <xdr:colOff>686435</xdr:colOff>
      <xdr:row>0</xdr:row>
      <xdr:rowOff>591820</xdr:rowOff>
    </xdr:to>
    <xdr:pic>
      <xdr:nvPicPr>
        <xdr:cNvPr id="2" name="Picture 1323"/>
        <xdr:cNvPicPr>
          <a:picLocks noChangeAspect="1"/>
        </xdr:cNvPicPr>
      </xdr:nvPicPr>
      <xdr:blipFill>
        <a:blip r:embed="rId1"/>
        <a:stretch>
          <a:fillRect/>
        </a:stretch>
      </xdr:blipFill>
      <xdr:spPr>
        <a:xfrm>
          <a:off x="295275" y="161290"/>
          <a:ext cx="1459230" cy="430530"/>
        </a:xfrm>
        <a:prstGeom prst="rect">
          <a:avLst/>
        </a:prstGeom>
        <a:noFill/>
        <a:ln w="1">
          <a:noFill/>
        </a:ln>
      </xdr:spPr>
    </xdr:pic>
    <xdr:clientData/>
  </xdr:twoCellAnchor>
  <xdr:twoCellAnchor editAs="oneCell">
    <xdr:from>
      <xdr:col>3</xdr:col>
      <xdr:colOff>113665</xdr:colOff>
      <xdr:row>3</xdr:row>
      <xdr:rowOff>189230</xdr:rowOff>
    </xdr:from>
    <xdr:to>
      <xdr:col>3</xdr:col>
      <xdr:colOff>1438275</xdr:colOff>
      <xdr:row>3</xdr:row>
      <xdr:rowOff>1087120</xdr:rowOff>
    </xdr:to>
    <xdr:pic>
      <xdr:nvPicPr>
        <xdr:cNvPr id="3" name="Picture 1335"/>
        <xdr:cNvPicPr>
          <a:picLocks noChangeAspect="1"/>
        </xdr:cNvPicPr>
      </xdr:nvPicPr>
      <xdr:blipFill>
        <a:blip r:embed="rId2"/>
        <a:stretch>
          <a:fillRect/>
        </a:stretch>
      </xdr:blipFill>
      <xdr:spPr>
        <a:xfrm>
          <a:off x="2886075" y="2635250"/>
          <a:ext cx="1324610" cy="897890"/>
        </a:xfrm>
        <a:prstGeom prst="rect">
          <a:avLst/>
        </a:prstGeom>
        <a:noFill/>
        <a:ln w="1">
          <a:noFill/>
        </a:ln>
      </xdr:spPr>
    </xdr:pic>
    <xdr:clientData/>
  </xdr:twoCellAnchor>
  <xdr:twoCellAnchor editAs="oneCell">
    <xdr:from>
      <xdr:col>6</xdr:col>
      <xdr:colOff>94615</xdr:colOff>
      <xdr:row>3</xdr:row>
      <xdr:rowOff>74930</xdr:rowOff>
    </xdr:from>
    <xdr:to>
      <xdr:col>6</xdr:col>
      <xdr:colOff>1551940</xdr:colOff>
      <xdr:row>3</xdr:row>
      <xdr:rowOff>1171575</xdr:rowOff>
    </xdr:to>
    <xdr:pic>
      <xdr:nvPicPr>
        <xdr:cNvPr id="4" name="Picture 1336"/>
        <xdr:cNvPicPr>
          <a:picLocks noChangeAspect="1"/>
        </xdr:cNvPicPr>
      </xdr:nvPicPr>
      <xdr:blipFill>
        <a:blip r:embed="rId3"/>
        <a:stretch>
          <a:fillRect/>
        </a:stretch>
      </xdr:blipFill>
      <xdr:spPr>
        <a:xfrm>
          <a:off x="6864350" y="2520950"/>
          <a:ext cx="1457325" cy="1096645"/>
        </a:xfrm>
        <a:prstGeom prst="rect">
          <a:avLst/>
        </a:prstGeom>
        <a:noFill/>
        <a:ln w="1">
          <a:noFill/>
        </a:ln>
      </xdr:spPr>
    </xdr:pic>
    <xdr:clientData/>
  </xdr:twoCellAnchor>
  <xdr:twoCellAnchor editAs="oneCell">
    <xdr:from>
      <xdr:col>3</xdr:col>
      <xdr:colOff>228600</xdr:colOff>
      <xdr:row>2</xdr:row>
      <xdr:rowOff>65405</xdr:rowOff>
    </xdr:from>
    <xdr:to>
      <xdr:col>3</xdr:col>
      <xdr:colOff>1162050</xdr:colOff>
      <xdr:row>2</xdr:row>
      <xdr:rowOff>1343660</xdr:rowOff>
    </xdr:to>
    <xdr:pic>
      <xdr:nvPicPr>
        <xdr:cNvPr id="5" name="Picture 1337"/>
        <xdr:cNvPicPr>
          <a:picLocks noChangeAspect="1"/>
        </xdr:cNvPicPr>
      </xdr:nvPicPr>
      <xdr:blipFill>
        <a:blip r:embed="rId4"/>
        <a:stretch>
          <a:fillRect/>
        </a:stretch>
      </xdr:blipFill>
      <xdr:spPr>
        <a:xfrm>
          <a:off x="3001010" y="1113155"/>
          <a:ext cx="933450" cy="1278255"/>
        </a:xfrm>
        <a:prstGeom prst="rect">
          <a:avLst/>
        </a:prstGeom>
        <a:noFill/>
        <a:ln w="1">
          <a:noFill/>
        </a:ln>
      </xdr:spPr>
    </xdr:pic>
    <xdr:clientData/>
  </xdr:twoCellAnchor>
  <xdr:twoCellAnchor editAs="oneCell">
    <xdr:from>
      <xdr:col>6</xdr:col>
      <xdr:colOff>114935</xdr:colOff>
      <xdr:row>2</xdr:row>
      <xdr:rowOff>125730</xdr:rowOff>
    </xdr:from>
    <xdr:to>
      <xdr:col>6</xdr:col>
      <xdr:colOff>1468120</xdr:colOff>
      <xdr:row>2</xdr:row>
      <xdr:rowOff>1228725</xdr:rowOff>
    </xdr:to>
    <xdr:pic>
      <xdr:nvPicPr>
        <xdr:cNvPr id="6" name="Picture 1338"/>
        <xdr:cNvPicPr>
          <a:picLocks noChangeAspect="1"/>
        </xdr:cNvPicPr>
      </xdr:nvPicPr>
      <xdr:blipFill>
        <a:blip r:embed="rId5"/>
        <a:stretch>
          <a:fillRect/>
        </a:stretch>
      </xdr:blipFill>
      <xdr:spPr>
        <a:xfrm>
          <a:off x="6884670" y="1173480"/>
          <a:ext cx="1353185" cy="1102995"/>
        </a:xfrm>
        <a:prstGeom prst="rect">
          <a:avLst/>
        </a:prstGeom>
        <a:noFill/>
        <a:ln w="1">
          <a:noFill/>
        </a:ln>
      </xdr:spPr>
    </xdr:pic>
    <xdr:clientData/>
  </xdr:twoCellAnchor>
  <xdr:twoCellAnchor editAs="oneCell">
    <xdr:from>
      <xdr:col>3</xdr:col>
      <xdr:colOff>133350</xdr:colOff>
      <xdr:row>4</xdr:row>
      <xdr:rowOff>259080</xdr:rowOff>
    </xdr:from>
    <xdr:to>
      <xdr:col>3</xdr:col>
      <xdr:colOff>1476375</xdr:colOff>
      <xdr:row>4</xdr:row>
      <xdr:rowOff>1067435</xdr:rowOff>
    </xdr:to>
    <xdr:pic>
      <xdr:nvPicPr>
        <xdr:cNvPr id="7" name="Picture 1339"/>
        <xdr:cNvPicPr>
          <a:picLocks noChangeAspect="1"/>
        </xdr:cNvPicPr>
      </xdr:nvPicPr>
      <xdr:blipFill>
        <a:blip r:embed="rId6"/>
        <a:stretch>
          <a:fillRect/>
        </a:stretch>
      </xdr:blipFill>
      <xdr:spPr>
        <a:xfrm>
          <a:off x="2905760" y="3981450"/>
          <a:ext cx="1343025" cy="808355"/>
        </a:xfrm>
        <a:prstGeom prst="rect">
          <a:avLst/>
        </a:prstGeom>
        <a:noFill/>
        <a:ln w="1">
          <a:noFill/>
        </a:ln>
      </xdr:spPr>
    </xdr:pic>
    <xdr:clientData/>
  </xdr:twoCellAnchor>
  <xdr:twoCellAnchor editAs="oneCell">
    <xdr:from>
      <xdr:col>6</xdr:col>
      <xdr:colOff>85725</xdr:colOff>
      <xdr:row>4</xdr:row>
      <xdr:rowOff>190500</xdr:rowOff>
    </xdr:from>
    <xdr:to>
      <xdr:col>6</xdr:col>
      <xdr:colOff>1532890</xdr:colOff>
      <xdr:row>4</xdr:row>
      <xdr:rowOff>1130935</xdr:rowOff>
    </xdr:to>
    <xdr:pic>
      <xdr:nvPicPr>
        <xdr:cNvPr id="8" name="Picture 1340"/>
        <xdr:cNvPicPr>
          <a:picLocks noChangeAspect="1"/>
        </xdr:cNvPicPr>
      </xdr:nvPicPr>
      <xdr:blipFill>
        <a:blip r:embed="rId7"/>
        <a:stretch>
          <a:fillRect/>
        </a:stretch>
      </xdr:blipFill>
      <xdr:spPr>
        <a:xfrm>
          <a:off x="6855460" y="3912870"/>
          <a:ext cx="1447165" cy="940435"/>
        </a:xfrm>
        <a:prstGeom prst="rect">
          <a:avLst/>
        </a:prstGeom>
        <a:noFill/>
        <a:ln w="1">
          <a:noFill/>
        </a:ln>
      </xdr:spPr>
    </xdr:pic>
    <xdr:clientData/>
  </xdr:twoCellAnchor>
  <xdr:twoCellAnchor editAs="oneCell">
    <xdr:from>
      <xdr:col>3</xdr:col>
      <xdr:colOff>83185</xdr:colOff>
      <xdr:row>5</xdr:row>
      <xdr:rowOff>976630</xdr:rowOff>
    </xdr:from>
    <xdr:to>
      <xdr:col>3</xdr:col>
      <xdr:colOff>1476375</xdr:colOff>
      <xdr:row>5</xdr:row>
      <xdr:rowOff>2287270</xdr:rowOff>
    </xdr:to>
    <xdr:pic>
      <xdr:nvPicPr>
        <xdr:cNvPr id="9" name="Picture 1341"/>
        <xdr:cNvPicPr>
          <a:picLocks noChangeAspect="1"/>
        </xdr:cNvPicPr>
      </xdr:nvPicPr>
      <xdr:blipFill>
        <a:blip r:embed="rId8"/>
        <a:stretch>
          <a:fillRect/>
        </a:stretch>
      </xdr:blipFill>
      <xdr:spPr>
        <a:xfrm>
          <a:off x="2855595" y="6051550"/>
          <a:ext cx="1393190" cy="1310640"/>
        </a:xfrm>
        <a:prstGeom prst="rect">
          <a:avLst/>
        </a:prstGeom>
        <a:noFill/>
        <a:ln w="1">
          <a:noFill/>
        </a:ln>
      </xdr:spPr>
    </xdr:pic>
    <xdr:clientData/>
  </xdr:twoCellAnchor>
  <xdr:twoCellAnchor editAs="oneCell">
    <xdr:from>
      <xdr:col>6</xdr:col>
      <xdr:colOff>142875</xdr:colOff>
      <xdr:row>5</xdr:row>
      <xdr:rowOff>1040765</xdr:rowOff>
    </xdr:from>
    <xdr:to>
      <xdr:col>6</xdr:col>
      <xdr:colOff>1503680</xdr:colOff>
      <xdr:row>5</xdr:row>
      <xdr:rowOff>2094230</xdr:rowOff>
    </xdr:to>
    <xdr:pic>
      <xdr:nvPicPr>
        <xdr:cNvPr id="10" name="Picture 1342"/>
        <xdr:cNvPicPr>
          <a:picLocks noChangeAspect="1"/>
        </xdr:cNvPicPr>
      </xdr:nvPicPr>
      <xdr:blipFill>
        <a:blip r:embed="rId9"/>
        <a:stretch>
          <a:fillRect/>
        </a:stretch>
      </xdr:blipFill>
      <xdr:spPr>
        <a:xfrm>
          <a:off x="6912610" y="6115685"/>
          <a:ext cx="1360805" cy="1053465"/>
        </a:xfrm>
        <a:prstGeom prst="rect">
          <a:avLst/>
        </a:prstGeom>
        <a:noFill/>
        <a:ln w="1">
          <a:noFill/>
        </a:ln>
      </xdr:spPr>
    </xdr:pic>
    <xdr:clientData/>
  </xdr:twoCellAnchor>
  <xdr:twoCellAnchor editAs="oneCell">
    <xdr:from>
      <xdr:col>3</xdr:col>
      <xdr:colOff>38100</xdr:colOff>
      <xdr:row>6</xdr:row>
      <xdr:rowOff>321945</xdr:rowOff>
    </xdr:from>
    <xdr:to>
      <xdr:col>3</xdr:col>
      <xdr:colOff>1505585</xdr:colOff>
      <xdr:row>6</xdr:row>
      <xdr:rowOff>1054100</xdr:rowOff>
    </xdr:to>
    <xdr:pic>
      <xdr:nvPicPr>
        <xdr:cNvPr id="11" name="Picture 1343"/>
        <xdr:cNvPicPr>
          <a:picLocks noChangeAspect="1"/>
        </xdr:cNvPicPr>
      </xdr:nvPicPr>
      <xdr:blipFill>
        <a:blip r:embed="rId10"/>
        <a:stretch>
          <a:fillRect/>
        </a:stretch>
      </xdr:blipFill>
      <xdr:spPr>
        <a:xfrm>
          <a:off x="2810510" y="8686165"/>
          <a:ext cx="1467485" cy="732155"/>
        </a:xfrm>
        <a:prstGeom prst="rect">
          <a:avLst/>
        </a:prstGeom>
        <a:noFill/>
        <a:ln w="1">
          <a:noFill/>
        </a:ln>
      </xdr:spPr>
    </xdr:pic>
    <xdr:clientData/>
  </xdr:twoCellAnchor>
  <xdr:twoCellAnchor editAs="oneCell">
    <xdr:from>
      <xdr:col>6</xdr:col>
      <xdr:colOff>76200</xdr:colOff>
      <xdr:row>6</xdr:row>
      <xdr:rowOff>163830</xdr:rowOff>
    </xdr:from>
    <xdr:to>
      <xdr:col>6</xdr:col>
      <xdr:colOff>1504950</xdr:colOff>
      <xdr:row>6</xdr:row>
      <xdr:rowOff>1261745</xdr:rowOff>
    </xdr:to>
    <xdr:pic>
      <xdr:nvPicPr>
        <xdr:cNvPr id="12" name="Picture 1344"/>
        <xdr:cNvPicPr>
          <a:picLocks noChangeAspect="1"/>
        </xdr:cNvPicPr>
      </xdr:nvPicPr>
      <xdr:blipFill>
        <a:blip r:embed="rId11"/>
        <a:stretch>
          <a:fillRect/>
        </a:stretch>
      </xdr:blipFill>
      <xdr:spPr>
        <a:xfrm>
          <a:off x="6845935" y="8528050"/>
          <a:ext cx="1428750" cy="1097915"/>
        </a:xfrm>
        <a:prstGeom prst="rect">
          <a:avLst/>
        </a:prstGeom>
        <a:noFill/>
        <a:ln w="1">
          <a:noFill/>
        </a:ln>
      </xdr:spPr>
    </xdr:pic>
    <xdr:clientData/>
  </xdr:twoCellAnchor>
  <xdr:twoCellAnchor editAs="oneCell">
    <xdr:from>
      <xdr:col>3</xdr:col>
      <xdr:colOff>133350</xdr:colOff>
      <xdr:row>7</xdr:row>
      <xdr:rowOff>207645</xdr:rowOff>
    </xdr:from>
    <xdr:to>
      <xdr:col>3</xdr:col>
      <xdr:colOff>1438275</xdr:colOff>
      <xdr:row>7</xdr:row>
      <xdr:rowOff>1054100</xdr:rowOff>
    </xdr:to>
    <xdr:pic>
      <xdr:nvPicPr>
        <xdr:cNvPr id="13" name="Picture 1345"/>
        <xdr:cNvPicPr>
          <a:picLocks noChangeAspect="1"/>
        </xdr:cNvPicPr>
      </xdr:nvPicPr>
      <xdr:blipFill>
        <a:blip r:embed="rId12"/>
        <a:stretch>
          <a:fillRect/>
        </a:stretch>
      </xdr:blipFill>
      <xdr:spPr>
        <a:xfrm>
          <a:off x="2905760" y="9970135"/>
          <a:ext cx="1304925" cy="846455"/>
        </a:xfrm>
        <a:prstGeom prst="rect">
          <a:avLst/>
        </a:prstGeom>
        <a:noFill/>
        <a:ln w="1">
          <a:noFill/>
        </a:ln>
      </xdr:spPr>
    </xdr:pic>
    <xdr:clientData/>
  </xdr:twoCellAnchor>
  <xdr:twoCellAnchor editAs="oneCell">
    <xdr:from>
      <xdr:col>6</xdr:col>
      <xdr:colOff>48260</xdr:colOff>
      <xdr:row>7</xdr:row>
      <xdr:rowOff>256540</xdr:rowOff>
    </xdr:from>
    <xdr:to>
      <xdr:col>6</xdr:col>
      <xdr:colOff>1504950</xdr:colOff>
      <xdr:row>7</xdr:row>
      <xdr:rowOff>1130935</xdr:rowOff>
    </xdr:to>
    <xdr:pic>
      <xdr:nvPicPr>
        <xdr:cNvPr id="14" name="Picture 1358"/>
        <xdr:cNvPicPr>
          <a:picLocks noChangeAspect="1"/>
        </xdr:cNvPicPr>
      </xdr:nvPicPr>
      <xdr:blipFill>
        <a:blip r:embed="rId13"/>
        <a:stretch>
          <a:fillRect/>
        </a:stretch>
      </xdr:blipFill>
      <xdr:spPr>
        <a:xfrm>
          <a:off x="6817995" y="10019030"/>
          <a:ext cx="1456690" cy="874395"/>
        </a:xfrm>
        <a:prstGeom prst="rect">
          <a:avLst/>
        </a:prstGeom>
        <a:noFill/>
        <a:ln w="1">
          <a:noFill/>
        </a:ln>
      </xdr:spPr>
    </xdr:pic>
    <xdr:clientData/>
  </xdr:twoCellAnchor>
  <xdr:twoCellAnchor editAs="oneCell">
    <xdr:from>
      <xdr:col>3</xdr:col>
      <xdr:colOff>133350</xdr:colOff>
      <xdr:row>9</xdr:row>
      <xdr:rowOff>114300</xdr:rowOff>
    </xdr:from>
    <xdr:to>
      <xdr:col>3</xdr:col>
      <xdr:colOff>1419860</xdr:colOff>
      <xdr:row>9</xdr:row>
      <xdr:rowOff>1014730</xdr:rowOff>
    </xdr:to>
    <xdr:pic>
      <xdr:nvPicPr>
        <xdr:cNvPr id="15" name="Picture 1359"/>
        <xdr:cNvPicPr>
          <a:picLocks noChangeAspect="1"/>
        </xdr:cNvPicPr>
      </xdr:nvPicPr>
      <xdr:blipFill>
        <a:blip r:embed="rId14"/>
        <a:stretch>
          <a:fillRect/>
        </a:stretch>
      </xdr:blipFill>
      <xdr:spPr>
        <a:xfrm>
          <a:off x="2905760" y="12697460"/>
          <a:ext cx="1286510" cy="900430"/>
        </a:xfrm>
        <a:prstGeom prst="rect">
          <a:avLst/>
        </a:prstGeom>
        <a:noFill/>
        <a:ln w="1">
          <a:noFill/>
        </a:ln>
      </xdr:spPr>
    </xdr:pic>
    <xdr:clientData/>
  </xdr:twoCellAnchor>
  <xdr:twoCellAnchor editAs="oneCell">
    <xdr:from>
      <xdr:col>6</xdr:col>
      <xdr:colOff>114935</xdr:colOff>
      <xdr:row>9</xdr:row>
      <xdr:rowOff>136525</xdr:rowOff>
    </xdr:from>
    <xdr:to>
      <xdr:col>6</xdr:col>
      <xdr:colOff>1496060</xdr:colOff>
      <xdr:row>9</xdr:row>
      <xdr:rowOff>1042035</xdr:rowOff>
    </xdr:to>
    <xdr:pic>
      <xdr:nvPicPr>
        <xdr:cNvPr id="16" name="Picture 1360"/>
        <xdr:cNvPicPr>
          <a:picLocks noChangeAspect="1"/>
        </xdr:cNvPicPr>
      </xdr:nvPicPr>
      <xdr:blipFill>
        <a:blip r:embed="rId15"/>
        <a:stretch>
          <a:fillRect/>
        </a:stretch>
      </xdr:blipFill>
      <xdr:spPr>
        <a:xfrm>
          <a:off x="6884670" y="12719685"/>
          <a:ext cx="1381125" cy="905510"/>
        </a:xfrm>
        <a:prstGeom prst="rect">
          <a:avLst/>
        </a:prstGeom>
        <a:noFill/>
        <a:ln w="1">
          <a:noFill/>
        </a:ln>
      </xdr:spPr>
    </xdr:pic>
    <xdr:clientData/>
  </xdr:twoCellAnchor>
  <xdr:twoCellAnchor editAs="oneCell">
    <xdr:from>
      <xdr:col>6</xdr:col>
      <xdr:colOff>209550</xdr:colOff>
      <xdr:row>8</xdr:row>
      <xdr:rowOff>55880</xdr:rowOff>
    </xdr:from>
    <xdr:to>
      <xdr:col>6</xdr:col>
      <xdr:colOff>1057910</xdr:colOff>
      <xdr:row>8</xdr:row>
      <xdr:rowOff>878205</xdr:rowOff>
    </xdr:to>
    <xdr:pic>
      <xdr:nvPicPr>
        <xdr:cNvPr id="17" name="Picture 1362"/>
        <xdr:cNvPicPr>
          <a:picLocks noChangeAspect="1"/>
        </xdr:cNvPicPr>
      </xdr:nvPicPr>
      <xdr:blipFill>
        <a:blip r:embed="rId16"/>
        <a:stretch>
          <a:fillRect/>
        </a:stretch>
      </xdr:blipFill>
      <xdr:spPr>
        <a:xfrm>
          <a:off x="6979285" y="11216640"/>
          <a:ext cx="848360" cy="822325"/>
        </a:xfrm>
        <a:prstGeom prst="rect">
          <a:avLst/>
        </a:prstGeom>
        <a:noFill/>
        <a:ln w="1">
          <a:noFill/>
        </a:ln>
      </xdr:spPr>
    </xdr:pic>
    <xdr:clientData/>
  </xdr:twoCellAnchor>
  <xdr:twoCellAnchor editAs="oneCell">
    <xdr:from>
      <xdr:col>3</xdr:col>
      <xdr:colOff>276225</xdr:colOff>
      <xdr:row>8</xdr:row>
      <xdr:rowOff>50165</xdr:rowOff>
    </xdr:from>
    <xdr:to>
      <xdr:col>3</xdr:col>
      <xdr:colOff>1085215</xdr:colOff>
      <xdr:row>8</xdr:row>
      <xdr:rowOff>1044575</xdr:rowOff>
    </xdr:to>
    <xdr:pic>
      <xdr:nvPicPr>
        <xdr:cNvPr id="18" name="Picture 1363"/>
        <xdr:cNvPicPr>
          <a:picLocks noChangeAspect="1"/>
        </xdr:cNvPicPr>
      </xdr:nvPicPr>
      <xdr:blipFill>
        <a:blip r:embed="rId17"/>
        <a:stretch>
          <a:fillRect/>
        </a:stretch>
      </xdr:blipFill>
      <xdr:spPr>
        <a:xfrm>
          <a:off x="3048635" y="11210925"/>
          <a:ext cx="808990" cy="994410"/>
        </a:xfrm>
        <a:prstGeom prst="rect">
          <a:avLst/>
        </a:prstGeom>
        <a:noFill/>
        <a:ln w="1">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3888888888889" defaultRowHeight="13.2"/>
  <sheetData/>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2"/>
  <sheetViews>
    <sheetView topLeftCell="A22" workbookViewId="0">
      <selection activeCell="A1" sqref="A1:O1"/>
    </sheetView>
  </sheetViews>
  <sheetFormatPr defaultColWidth="8.88888888888889" defaultRowHeight="13.2"/>
  <cols>
    <col min="1" max="1" width="6.13888888888889" customWidth="1"/>
    <col min="2" max="2" width="15.1388888888889" customWidth="1"/>
    <col min="3" max="3" width="36.1388888888889" customWidth="1"/>
    <col min="4" max="4" width="6.42592592592593" customWidth="1"/>
    <col min="5" max="5" width="6.72222222222222" customWidth="1"/>
    <col min="6" max="6" width="8.42592592592593" customWidth="1"/>
    <col min="7" max="7" width="10.1574074074074" customWidth="1"/>
    <col min="8" max="8" width="10.287037037037" customWidth="1"/>
    <col min="9" max="9" width="7.57407407407407" customWidth="1"/>
    <col min="10" max="10" width="9" customWidth="1"/>
    <col min="11" max="11" width="10.4259259259259" customWidth="1"/>
    <col min="12" max="12" width="9.86111111111111" customWidth="1"/>
    <col min="13" max="13" width="9.28703703703704" customWidth="1"/>
    <col min="14" max="14" width="11.7222222222222" customWidth="1"/>
    <col min="15" max="15" width="13.9814814814815" customWidth="1"/>
  </cols>
  <sheetData>
    <row r="1" s="18" customFormat="1" ht="35.1" customHeight="1" spans="1:15">
      <c r="A1" s="22" t="s">
        <v>615</v>
      </c>
      <c r="B1" s="22"/>
      <c r="C1" s="22"/>
      <c r="D1" s="22"/>
      <c r="E1" s="22"/>
      <c r="F1" s="22"/>
      <c r="G1" s="22"/>
      <c r="H1" s="22"/>
      <c r="I1" s="22"/>
      <c r="J1" s="22"/>
      <c r="K1" s="22"/>
      <c r="L1" s="22"/>
      <c r="M1" s="22"/>
      <c r="N1" s="51"/>
      <c r="O1" s="22"/>
    </row>
    <row r="2" s="18" customFormat="1" ht="18.95" customHeight="1" spans="1:15">
      <c r="A2" s="23" t="s">
        <v>464</v>
      </c>
      <c r="B2" s="23"/>
      <c r="C2" s="23"/>
      <c r="D2" s="23"/>
      <c r="E2" s="23"/>
      <c r="F2" s="23"/>
      <c r="G2" s="24"/>
      <c r="H2" s="24"/>
      <c r="I2" s="24"/>
      <c r="J2" s="24"/>
      <c r="K2" s="24"/>
      <c r="L2" s="24"/>
      <c r="M2" s="24"/>
      <c r="N2" s="52"/>
      <c r="O2" s="24"/>
    </row>
    <row r="3" s="18" customFormat="1" ht="10.8" spans="1:15">
      <c r="A3" s="25" t="s">
        <v>48</v>
      </c>
      <c r="B3" s="26" t="s">
        <v>49</v>
      </c>
      <c r="C3" s="26" t="s">
        <v>50</v>
      </c>
      <c r="D3" s="25" t="s">
        <v>30</v>
      </c>
      <c r="E3" s="25" t="s">
        <v>51</v>
      </c>
      <c r="F3" s="25" t="s">
        <v>52</v>
      </c>
      <c r="G3" s="25"/>
      <c r="H3" s="25"/>
      <c r="I3" s="25"/>
      <c r="J3" s="25"/>
      <c r="K3" s="25"/>
      <c r="L3" s="25"/>
      <c r="M3" s="25" t="s">
        <v>53</v>
      </c>
      <c r="N3" s="53" t="s">
        <v>54</v>
      </c>
      <c r="O3" s="25" t="s">
        <v>55</v>
      </c>
    </row>
    <row r="4" s="18" customFormat="1" ht="51" customHeight="1" spans="1:15">
      <c r="A4" s="25"/>
      <c r="B4" s="26"/>
      <c r="C4" s="26"/>
      <c r="D4" s="25"/>
      <c r="E4" s="25"/>
      <c r="F4" s="25" t="s">
        <v>56</v>
      </c>
      <c r="G4" s="25" t="s">
        <v>57</v>
      </c>
      <c r="H4" s="25" t="s">
        <v>58</v>
      </c>
      <c r="I4" s="25" t="s">
        <v>59</v>
      </c>
      <c r="J4" s="25" t="s">
        <v>60</v>
      </c>
      <c r="K4" s="25" t="s">
        <v>61</v>
      </c>
      <c r="L4" s="25" t="s">
        <v>62</v>
      </c>
      <c r="M4" s="25"/>
      <c r="N4" s="53"/>
      <c r="O4" s="25"/>
    </row>
    <row r="5" s="18" customFormat="1" ht="10.8" spans="1:15">
      <c r="A5" s="25"/>
      <c r="B5" s="26"/>
      <c r="C5" s="26"/>
      <c r="D5" s="25"/>
      <c r="E5" s="25"/>
      <c r="F5" s="25"/>
      <c r="G5" s="25" t="s">
        <v>63</v>
      </c>
      <c r="H5" s="25" t="s">
        <v>64</v>
      </c>
      <c r="I5" s="25" t="s">
        <v>65</v>
      </c>
      <c r="J5" s="25"/>
      <c r="K5" s="54">
        <v>0.02</v>
      </c>
      <c r="L5" s="54">
        <v>0.09</v>
      </c>
      <c r="M5" s="25"/>
      <c r="N5" s="53"/>
      <c r="O5" s="25"/>
    </row>
    <row r="6" s="19" customFormat="1" ht="23" customHeight="1" spans="1:15">
      <c r="A6" s="27">
        <v>2</v>
      </c>
      <c r="B6" s="28" t="s">
        <v>523</v>
      </c>
      <c r="C6" s="29"/>
      <c r="D6" s="27"/>
      <c r="E6" s="25"/>
      <c r="F6" s="30"/>
      <c r="G6" s="31">
        <f t="shared" ref="G6:G26" si="0">H6*(1+I6)</f>
        <v>0</v>
      </c>
      <c r="H6" s="30"/>
      <c r="I6" s="54"/>
      <c r="J6" s="53"/>
      <c r="K6" s="53"/>
      <c r="L6" s="53"/>
      <c r="M6" s="55">
        <f t="shared" ref="M6:M26" si="1">F6+G6+J6+K6+L6</f>
        <v>0</v>
      </c>
      <c r="N6" s="53">
        <f t="shared" ref="N6:N26" si="2">E6*M6</f>
        <v>0</v>
      </c>
      <c r="O6" s="56"/>
    </row>
    <row r="7" s="19" customFormat="1" ht="48" customHeight="1" spans="1:15">
      <c r="A7" s="47">
        <v>2.16</v>
      </c>
      <c r="B7" s="29" t="s">
        <v>543</v>
      </c>
      <c r="C7" s="29" t="s">
        <v>545</v>
      </c>
      <c r="D7" s="27" t="s">
        <v>298</v>
      </c>
      <c r="E7" s="50">
        <v>5</v>
      </c>
      <c r="F7" s="30">
        <v>3</v>
      </c>
      <c r="G7" s="31">
        <f t="shared" si="0"/>
        <v>210</v>
      </c>
      <c r="H7" s="30">
        <v>210</v>
      </c>
      <c r="I7" s="54">
        <v>0</v>
      </c>
      <c r="J7" s="53">
        <v>0</v>
      </c>
      <c r="K7" s="53">
        <f>(F7+G7+J7)*K5</f>
        <v>4.26</v>
      </c>
      <c r="L7" s="53">
        <f>(F7+G7+J7+K7)*L5</f>
        <v>19.5534</v>
      </c>
      <c r="M7" s="55">
        <f t="shared" si="1"/>
        <v>236.8134</v>
      </c>
      <c r="N7" s="53">
        <f t="shared" si="2"/>
        <v>1184.067</v>
      </c>
      <c r="O7" s="56" t="s">
        <v>531</v>
      </c>
    </row>
    <row r="8" s="19" customFormat="1" ht="48" customHeight="1" spans="1:15">
      <c r="A8" s="27">
        <v>2.17</v>
      </c>
      <c r="B8" s="29" t="s">
        <v>543</v>
      </c>
      <c r="C8" s="29" t="s">
        <v>547</v>
      </c>
      <c r="D8" s="27" t="s">
        <v>298</v>
      </c>
      <c r="E8" s="50">
        <v>2</v>
      </c>
      <c r="F8" s="30">
        <v>3</v>
      </c>
      <c r="G8" s="31">
        <f t="shared" si="0"/>
        <v>210</v>
      </c>
      <c r="H8" s="30">
        <v>210</v>
      </c>
      <c r="I8" s="54">
        <v>0</v>
      </c>
      <c r="J8" s="53">
        <v>0</v>
      </c>
      <c r="K8" s="53">
        <f>(F8+G8+J8)*K5</f>
        <v>4.26</v>
      </c>
      <c r="L8" s="53">
        <f>(F8+G8+J8+K8)*L5</f>
        <v>19.5534</v>
      </c>
      <c r="M8" s="55">
        <f t="shared" si="1"/>
        <v>236.8134</v>
      </c>
      <c r="N8" s="53">
        <f t="shared" si="2"/>
        <v>473.6268</v>
      </c>
      <c r="O8" s="56" t="s">
        <v>531</v>
      </c>
    </row>
    <row r="9" s="19" customFormat="1" ht="48" customHeight="1" spans="1:15">
      <c r="A9" s="47">
        <v>2.18</v>
      </c>
      <c r="B9" s="29" t="s">
        <v>543</v>
      </c>
      <c r="C9" s="29" t="s">
        <v>548</v>
      </c>
      <c r="D9" s="27" t="s">
        <v>298</v>
      </c>
      <c r="E9" s="50">
        <v>12</v>
      </c>
      <c r="F9" s="30">
        <v>3</v>
      </c>
      <c r="G9" s="31">
        <f t="shared" si="0"/>
        <v>220</v>
      </c>
      <c r="H9" s="30">
        <v>220</v>
      </c>
      <c r="I9" s="54">
        <v>0</v>
      </c>
      <c r="J9" s="53">
        <v>0</v>
      </c>
      <c r="K9" s="53">
        <f>(F9+G9+J9)*K5</f>
        <v>4.46</v>
      </c>
      <c r="L9" s="53">
        <f>(F9+G9+J9+K9)*L5</f>
        <v>20.4714</v>
      </c>
      <c r="M9" s="55">
        <f t="shared" si="1"/>
        <v>247.9314</v>
      </c>
      <c r="N9" s="53">
        <f t="shared" si="2"/>
        <v>2975.1768</v>
      </c>
      <c r="O9" s="56" t="s">
        <v>531</v>
      </c>
    </row>
    <row r="10" s="19" customFormat="1" ht="48" customHeight="1" spans="1:15">
      <c r="A10" s="27">
        <v>2.19</v>
      </c>
      <c r="B10" s="29" t="s">
        <v>543</v>
      </c>
      <c r="C10" s="29" t="s">
        <v>549</v>
      </c>
      <c r="D10" s="27" t="s">
        <v>298</v>
      </c>
      <c r="E10" s="50">
        <v>6</v>
      </c>
      <c r="F10" s="30">
        <v>3</v>
      </c>
      <c r="G10" s="31">
        <f t="shared" si="0"/>
        <v>220</v>
      </c>
      <c r="H10" s="30">
        <v>220</v>
      </c>
      <c r="I10" s="54">
        <v>0</v>
      </c>
      <c r="J10" s="53">
        <v>0</v>
      </c>
      <c r="K10" s="53">
        <f>(F10+G10+J10)*K5</f>
        <v>4.46</v>
      </c>
      <c r="L10" s="53">
        <f>(F10+G10+J10+K10)*L5</f>
        <v>20.4714</v>
      </c>
      <c r="M10" s="55">
        <f t="shared" si="1"/>
        <v>247.9314</v>
      </c>
      <c r="N10" s="53">
        <f t="shared" si="2"/>
        <v>1487.5884</v>
      </c>
      <c r="O10" s="56" t="s">
        <v>531</v>
      </c>
    </row>
    <row r="11" s="19" customFormat="1" ht="48" customHeight="1" spans="1:15">
      <c r="A11" s="47">
        <v>2.2</v>
      </c>
      <c r="B11" s="29" t="s">
        <v>543</v>
      </c>
      <c r="C11" s="29" t="s">
        <v>550</v>
      </c>
      <c r="D11" s="27" t="s">
        <v>298</v>
      </c>
      <c r="E11" s="50">
        <v>7</v>
      </c>
      <c r="F11" s="30">
        <v>3</v>
      </c>
      <c r="G11" s="31">
        <f t="shared" si="0"/>
        <v>255</v>
      </c>
      <c r="H11" s="30">
        <v>255</v>
      </c>
      <c r="I11" s="54">
        <v>0</v>
      </c>
      <c r="J11" s="53">
        <v>0</v>
      </c>
      <c r="K11" s="53">
        <f>(F11+G11+J11)*K5</f>
        <v>5.16</v>
      </c>
      <c r="L11" s="53">
        <f>(F11+G11+J11+K11)*L5</f>
        <v>23.6844</v>
      </c>
      <c r="M11" s="55">
        <f t="shared" si="1"/>
        <v>286.8444</v>
      </c>
      <c r="N11" s="53">
        <f t="shared" si="2"/>
        <v>2007.9108</v>
      </c>
      <c r="O11" s="56" t="s">
        <v>531</v>
      </c>
    </row>
    <row r="12" s="19" customFormat="1" ht="48" customHeight="1" spans="1:15">
      <c r="A12" s="27">
        <v>2.21</v>
      </c>
      <c r="B12" s="29" t="s">
        <v>543</v>
      </c>
      <c r="C12" s="29" t="s">
        <v>551</v>
      </c>
      <c r="D12" s="27" t="s">
        <v>298</v>
      </c>
      <c r="E12" s="50">
        <v>21</v>
      </c>
      <c r="F12" s="30">
        <v>3</v>
      </c>
      <c r="G12" s="31">
        <f t="shared" si="0"/>
        <v>255</v>
      </c>
      <c r="H12" s="30">
        <v>255</v>
      </c>
      <c r="I12" s="54">
        <v>0</v>
      </c>
      <c r="J12" s="53">
        <v>0</v>
      </c>
      <c r="K12" s="53">
        <f>(F12+G12+J12)*K5</f>
        <v>5.16</v>
      </c>
      <c r="L12" s="53">
        <f>(F12+G12+J12+K12)*L5</f>
        <v>23.6844</v>
      </c>
      <c r="M12" s="55">
        <f t="shared" si="1"/>
        <v>286.8444</v>
      </c>
      <c r="N12" s="53">
        <f t="shared" si="2"/>
        <v>6023.7324</v>
      </c>
      <c r="O12" s="56" t="s">
        <v>531</v>
      </c>
    </row>
    <row r="13" s="19" customFormat="1" ht="48.95" customHeight="1" spans="1:15">
      <c r="A13" s="27">
        <v>2.23</v>
      </c>
      <c r="B13" s="29" t="s">
        <v>543</v>
      </c>
      <c r="C13" s="29" t="s">
        <v>552</v>
      </c>
      <c r="D13" s="27" t="s">
        <v>298</v>
      </c>
      <c r="E13" s="50">
        <v>95</v>
      </c>
      <c r="F13" s="30">
        <v>3</v>
      </c>
      <c r="G13" s="31">
        <f t="shared" si="0"/>
        <v>42</v>
      </c>
      <c r="H13" s="30">
        <v>42</v>
      </c>
      <c r="I13" s="54">
        <v>0</v>
      </c>
      <c r="J13" s="53">
        <v>0</v>
      </c>
      <c r="K13" s="53">
        <f>(F13+G13+J13)*K5</f>
        <v>0.9</v>
      </c>
      <c r="L13" s="53">
        <f>(F13+G13+J13+K13)*L5</f>
        <v>4.131</v>
      </c>
      <c r="M13" s="55">
        <f t="shared" si="1"/>
        <v>50.031</v>
      </c>
      <c r="N13" s="53">
        <f t="shared" si="2"/>
        <v>4752.945</v>
      </c>
      <c r="O13" s="56" t="s">
        <v>531</v>
      </c>
    </row>
    <row r="14" s="19" customFormat="1" ht="48.95" customHeight="1" spans="1:15">
      <c r="A14" s="47">
        <v>2.24</v>
      </c>
      <c r="B14" s="29" t="s">
        <v>543</v>
      </c>
      <c r="C14" s="29" t="s">
        <v>553</v>
      </c>
      <c r="D14" s="27" t="s">
        <v>298</v>
      </c>
      <c r="E14" s="50">
        <v>17</v>
      </c>
      <c r="F14" s="30">
        <v>3</v>
      </c>
      <c r="G14" s="31">
        <f t="shared" si="0"/>
        <v>68</v>
      </c>
      <c r="H14" s="30">
        <v>68</v>
      </c>
      <c r="I14" s="54">
        <v>0</v>
      </c>
      <c r="J14" s="53">
        <v>0</v>
      </c>
      <c r="K14" s="53">
        <f>(F14+G14+J14)*K5</f>
        <v>1.42</v>
      </c>
      <c r="L14" s="53">
        <f>(F14+G14+J14+K14)*L5</f>
        <v>6.5178</v>
      </c>
      <c r="M14" s="55">
        <f t="shared" si="1"/>
        <v>78.9378</v>
      </c>
      <c r="N14" s="53">
        <f t="shared" si="2"/>
        <v>1341.9426</v>
      </c>
      <c r="O14" s="56" t="s">
        <v>531</v>
      </c>
    </row>
    <row r="15" s="19" customFormat="1" ht="48.95" customHeight="1" spans="1:15">
      <c r="A15" s="27">
        <v>2.25</v>
      </c>
      <c r="B15" s="29" t="s">
        <v>543</v>
      </c>
      <c r="C15" s="29" t="s">
        <v>554</v>
      </c>
      <c r="D15" s="27" t="s">
        <v>298</v>
      </c>
      <c r="E15" s="50">
        <f>21+4+1</f>
        <v>26</v>
      </c>
      <c r="F15" s="30">
        <v>3</v>
      </c>
      <c r="G15" s="31">
        <f t="shared" si="0"/>
        <v>58</v>
      </c>
      <c r="H15" s="30">
        <v>58</v>
      </c>
      <c r="I15" s="54">
        <v>0</v>
      </c>
      <c r="J15" s="53">
        <v>0</v>
      </c>
      <c r="K15" s="53">
        <f>(F15+G15+J15)*K5</f>
        <v>1.22</v>
      </c>
      <c r="L15" s="53">
        <f>(F15+G15+J15+K15)*L5</f>
        <v>5.5998</v>
      </c>
      <c r="M15" s="55">
        <f t="shared" si="1"/>
        <v>67.8198</v>
      </c>
      <c r="N15" s="53">
        <f t="shared" si="2"/>
        <v>1763.3148</v>
      </c>
      <c r="O15" s="56" t="s">
        <v>531</v>
      </c>
    </row>
    <row r="16" s="19" customFormat="1" ht="48.95" customHeight="1" spans="1:15">
      <c r="A16" s="47">
        <v>2.26</v>
      </c>
      <c r="B16" s="29" t="s">
        <v>543</v>
      </c>
      <c r="C16" s="29" t="s">
        <v>555</v>
      </c>
      <c r="D16" s="27" t="s">
        <v>298</v>
      </c>
      <c r="E16" s="50">
        <v>8</v>
      </c>
      <c r="F16" s="30">
        <v>3</v>
      </c>
      <c r="G16" s="31">
        <f t="shared" si="0"/>
        <v>155</v>
      </c>
      <c r="H16" s="30">
        <v>155</v>
      </c>
      <c r="I16" s="54">
        <v>0</v>
      </c>
      <c r="J16" s="53">
        <v>0</v>
      </c>
      <c r="K16" s="53">
        <f>(F16+G16+J16)*K5</f>
        <v>3.16</v>
      </c>
      <c r="L16" s="53">
        <f>(F16+G16+J16+K16)*L5</f>
        <v>14.5044</v>
      </c>
      <c r="M16" s="55">
        <f t="shared" si="1"/>
        <v>175.6644</v>
      </c>
      <c r="N16" s="53">
        <f t="shared" si="2"/>
        <v>1405.3152</v>
      </c>
      <c r="O16" s="56" t="s">
        <v>531</v>
      </c>
    </row>
    <row r="17" s="19" customFormat="1" ht="48.95" customHeight="1" spans="1:15">
      <c r="A17" s="27">
        <v>2.27</v>
      </c>
      <c r="B17" s="29" t="s">
        <v>543</v>
      </c>
      <c r="C17" s="29" t="s">
        <v>556</v>
      </c>
      <c r="D17" s="27" t="s">
        <v>298</v>
      </c>
      <c r="E17" s="50">
        <v>8</v>
      </c>
      <c r="F17" s="30">
        <v>15</v>
      </c>
      <c r="G17" s="31">
        <f t="shared" si="0"/>
        <v>300</v>
      </c>
      <c r="H17" s="30">
        <v>300</v>
      </c>
      <c r="I17" s="54">
        <v>0</v>
      </c>
      <c r="J17" s="53">
        <v>0</v>
      </c>
      <c r="K17" s="53">
        <f>(F17+G17+J17)*K5</f>
        <v>6.3</v>
      </c>
      <c r="L17" s="53">
        <f>(F17+G17+J17+K17)*L5</f>
        <v>28.917</v>
      </c>
      <c r="M17" s="55">
        <f t="shared" si="1"/>
        <v>350.217</v>
      </c>
      <c r="N17" s="53">
        <f t="shared" si="2"/>
        <v>2801.736</v>
      </c>
      <c r="O17" s="56" t="s">
        <v>531</v>
      </c>
    </row>
    <row r="18" s="19" customFormat="1" ht="48.95" customHeight="1" spans="1:15">
      <c r="A18" s="47">
        <v>2.28</v>
      </c>
      <c r="B18" s="29" t="s">
        <v>543</v>
      </c>
      <c r="C18" s="29" t="s">
        <v>557</v>
      </c>
      <c r="D18" s="27" t="s">
        <v>298</v>
      </c>
      <c r="E18" s="50">
        <v>9</v>
      </c>
      <c r="F18" s="30">
        <v>3</v>
      </c>
      <c r="G18" s="31">
        <f t="shared" si="0"/>
        <v>75</v>
      </c>
      <c r="H18" s="30">
        <v>75</v>
      </c>
      <c r="I18" s="54">
        <v>0</v>
      </c>
      <c r="J18" s="53">
        <v>0</v>
      </c>
      <c r="K18" s="53">
        <f>(F18+G18+J18)*K5</f>
        <v>1.56</v>
      </c>
      <c r="L18" s="53">
        <f>(F18+G18+J18+K18)*L5</f>
        <v>7.1604</v>
      </c>
      <c r="M18" s="55">
        <f t="shared" si="1"/>
        <v>86.7204</v>
      </c>
      <c r="N18" s="53">
        <f t="shared" si="2"/>
        <v>780.4836</v>
      </c>
      <c r="O18" s="56" t="s">
        <v>531</v>
      </c>
    </row>
    <row r="19" s="19" customFormat="1" ht="48.95" customHeight="1" spans="1:15">
      <c r="A19" s="47">
        <v>2.3</v>
      </c>
      <c r="B19" s="29" t="s">
        <v>543</v>
      </c>
      <c r="C19" s="29" t="s">
        <v>558</v>
      </c>
      <c r="D19" s="27" t="s">
        <v>298</v>
      </c>
      <c r="E19" s="50">
        <v>10</v>
      </c>
      <c r="F19" s="30">
        <v>3</v>
      </c>
      <c r="G19" s="31">
        <f t="shared" si="0"/>
        <v>60</v>
      </c>
      <c r="H19" s="30">
        <v>60</v>
      </c>
      <c r="I19" s="54">
        <v>0</v>
      </c>
      <c r="J19" s="53">
        <v>0</v>
      </c>
      <c r="K19" s="53">
        <f>(F19+G19+J19)*K5</f>
        <v>1.26</v>
      </c>
      <c r="L19" s="53">
        <f>(F19+G19+J19+K19)*L5</f>
        <v>5.7834</v>
      </c>
      <c r="M19" s="55">
        <f t="shared" si="1"/>
        <v>70.0434</v>
      </c>
      <c r="N19" s="53">
        <f t="shared" si="2"/>
        <v>700.434</v>
      </c>
      <c r="O19" s="56" t="s">
        <v>531</v>
      </c>
    </row>
    <row r="20" s="19" customFormat="1" ht="48" customHeight="1" spans="1:15">
      <c r="A20" s="27"/>
      <c r="B20" s="29" t="s">
        <v>616</v>
      </c>
      <c r="C20" s="29" t="s">
        <v>617</v>
      </c>
      <c r="D20" s="27" t="s">
        <v>336</v>
      </c>
      <c r="E20" s="50">
        <v>2</v>
      </c>
      <c r="F20" s="30">
        <v>3</v>
      </c>
      <c r="G20" s="31">
        <f t="shared" si="0"/>
        <v>85</v>
      </c>
      <c r="H20" s="30">
        <v>85</v>
      </c>
      <c r="I20" s="54">
        <v>0</v>
      </c>
      <c r="J20" s="53">
        <v>0</v>
      </c>
      <c r="K20" s="53">
        <f>(F20+G20+J20)*K5</f>
        <v>1.76</v>
      </c>
      <c r="L20" s="53">
        <f>(F20+G20+J20+K20)*L5</f>
        <v>8.0784</v>
      </c>
      <c r="M20" s="55">
        <f t="shared" si="1"/>
        <v>97.8384</v>
      </c>
      <c r="N20" s="53">
        <f t="shared" si="2"/>
        <v>195.6768</v>
      </c>
      <c r="O20" s="56" t="s">
        <v>531</v>
      </c>
    </row>
    <row r="21" s="19" customFormat="1" ht="48" customHeight="1" spans="1:15">
      <c r="A21" s="27"/>
      <c r="B21" s="29" t="s">
        <v>618</v>
      </c>
      <c r="C21" s="29" t="s">
        <v>619</v>
      </c>
      <c r="D21" s="27" t="s">
        <v>336</v>
      </c>
      <c r="E21" s="50">
        <v>2</v>
      </c>
      <c r="F21" s="30">
        <v>50</v>
      </c>
      <c r="G21" s="31">
        <f t="shared" si="0"/>
        <v>4600</v>
      </c>
      <c r="H21" s="30">
        <v>4600</v>
      </c>
      <c r="I21" s="54">
        <v>0</v>
      </c>
      <c r="J21" s="53">
        <v>0</v>
      </c>
      <c r="K21" s="53">
        <f>(F21+G21+J21)*K5</f>
        <v>93</v>
      </c>
      <c r="L21" s="53">
        <f>(F21+G21+J21+K21)*L5</f>
        <v>426.87</v>
      </c>
      <c r="M21" s="55">
        <f t="shared" si="1"/>
        <v>5169.87</v>
      </c>
      <c r="N21" s="53">
        <f t="shared" si="2"/>
        <v>10339.74</v>
      </c>
      <c r="O21" s="56" t="s">
        <v>531</v>
      </c>
    </row>
    <row r="22" s="19" customFormat="1" ht="48" customHeight="1" spans="1:15">
      <c r="A22" s="27"/>
      <c r="B22" s="29" t="s">
        <v>620</v>
      </c>
      <c r="C22" s="29" t="s">
        <v>621</v>
      </c>
      <c r="D22" s="27" t="s">
        <v>336</v>
      </c>
      <c r="E22" s="50">
        <v>4</v>
      </c>
      <c r="F22" s="30">
        <v>50</v>
      </c>
      <c r="G22" s="31">
        <f t="shared" si="0"/>
        <v>460</v>
      </c>
      <c r="H22" s="30">
        <v>460</v>
      </c>
      <c r="I22" s="54">
        <v>0</v>
      </c>
      <c r="J22" s="53">
        <v>0</v>
      </c>
      <c r="K22" s="53">
        <f>(F22+G22+J22)*K5</f>
        <v>10.2</v>
      </c>
      <c r="L22" s="53">
        <f>(F22+G22+J22+K22)*L5</f>
        <v>46.818</v>
      </c>
      <c r="M22" s="55">
        <f t="shared" si="1"/>
        <v>567.018</v>
      </c>
      <c r="N22" s="53">
        <f t="shared" si="2"/>
        <v>2268.072</v>
      </c>
      <c r="O22" s="56" t="s">
        <v>531</v>
      </c>
    </row>
    <row r="23" s="19" customFormat="1" ht="48" customHeight="1" spans="1:15">
      <c r="A23" s="27"/>
      <c r="B23" s="29" t="s">
        <v>622</v>
      </c>
      <c r="C23" s="29" t="s">
        <v>623</v>
      </c>
      <c r="D23" s="27" t="s">
        <v>336</v>
      </c>
      <c r="E23" s="50">
        <v>1</v>
      </c>
      <c r="F23" s="30">
        <v>100</v>
      </c>
      <c r="G23" s="31">
        <f t="shared" si="0"/>
        <v>1896</v>
      </c>
      <c r="H23" s="30">
        <v>1896</v>
      </c>
      <c r="I23" s="54">
        <v>0</v>
      </c>
      <c r="J23" s="53">
        <v>0</v>
      </c>
      <c r="K23" s="53">
        <f>(F23+G23+J23)*K5</f>
        <v>39.92</v>
      </c>
      <c r="L23" s="53">
        <f>(F23+G23+J23+K23)*L5</f>
        <v>183.2328</v>
      </c>
      <c r="M23" s="55">
        <f t="shared" si="1"/>
        <v>2219.1528</v>
      </c>
      <c r="N23" s="53">
        <f t="shared" si="2"/>
        <v>2219.1528</v>
      </c>
      <c r="O23" s="56" t="s">
        <v>531</v>
      </c>
    </row>
    <row r="24" s="19" customFormat="1" ht="48" customHeight="1" spans="1:15">
      <c r="A24" s="27"/>
      <c r="B24" s="29" t="s">
        <v>624</v>
      </c>
      <c r="C24" s="29" t="s">
        <v>625</v>
      </c>
      <c r="D24" s="27" t="s">
        <v>336</v>
      </c>
      <c r="E24" s="50">
        <v>2</v>
      </c>
      <c r="F24" s="30">
        <v>0</v>
      </c>
      <c r="G24" s="31">
        <f t="shared" si="0"/>
        <v>380</v>
      </c>
      <c r="H24" s="30">
        <v>380</v>
      </c>
      <c r="I24" s="54">
        <v>0</v>
      </c>
      <c r="J24" s="53">
        <v>0</v>
      </c>
      <c r="K24" s="53">
        <f>(F24+G24+J24)*K5</f>
        <v>7.6</v>
      </c>
      <c r="L24" s="53">
        <f>(F24+G24+J24+K24)*L5</f>
        <v>34.884</v>
      </c>
      <c r="M24" s="55">
        <f t="shared" si="1"/>
        <v>422.484</v>
      </c>
      <c r="N24" s="53">
        <f t="shared" si="2"/>
        <v>844.968</v>
      </c>
      <c r="O24" s="56" t="s">
        <v>626</v>
      </c>
    </row>
    <row r="25" s="19" customFormat="1" ht="48" customHeight="1" spans="1:15">
      <c r="A25" s="27"/>
      <c r="B25" s="29" t="s">
        <v>627</v>
      </c>
      <c r="C25" s="29" t="s">
        <v>628</v>
      </c>
      <c r="D25" s="27" t="s">
        <v>336</v>
      </c>
      <c r="E25" s="50">
        <v>3</v>
      </c>
      <c r="F25" s="30">
        <v>20</v>
      </c>
      <c r="G25" s="31">
        <f t="shared" si="0"/>
        <v>280</v>
      </c>
      <c r="H25" s="30">
        <v>280</v>
      </c>
      <c r="I25" s="54">
        <v>0</v>
      </c>
      <c r="J25" s="53">
        <v>0</v>
      </c>
      <c r="K25" s="53">
        <f>(F25+G25+J25)*K5</f>
        <v>6</v>
      </c>
      <c r="L25" s="53">
        <f>(F25+G25+J25+K25)*L5</f>
        <v>27.54</v>
      </c>
      <c r="M25" s="55">
        <f t="shared" si="1"/>
        <v>333.54</v>
      </c>
      <c r="N25" s="53">
        <f t="shared" si="2"/>
        <v>1000.62</v>
      </c>
      <c r="O25" s="56" t="s">
        <v>531</v>
      </c>
    </row>
    <row r="26" s="19" customFormat="1" ht="48" customHeight="1" spans="1:15">
      <c r="A26" s="27"/>
      <c r="B26" s="29" t="s">
        <v>629</v>
      </c>
      <c r="C26" s="29" t="s">
        <v>630</v>
      </c>
      <c r="D26" s="27" t="s">
        <v>35</v>
      </c>
      <c r="E26" s="50">
        <v>1</v>
      </c>
      <c r="F26" s="30">
        <v>600</v>
      </c>
      <c r="G26" s="31">
        <f t="shared" si="0"/>
        <v>1200</v>
      </c>
      <c r="H26" s="30">
        <v>1200</v>
      </c>
      <c r="I26" s="54">
        <v>0</v>
      </c>
      <c r="J26" s="53">
        <v>0</v>
      </c>
      <c r="K26" s="53">
        <f>(F26+G26+J26)*K5</f>
        <v>36</v>
      </c>
      <c r="L26" s="53">
        <f>(F26+G26+J26+K26)*L5</f>
        <v>165.24</v>
      </c>
      <c r="M26" s="55">
        <f t="shared" si="1"/>
        <v>2001.24</v>
      </c>
      <c r="N26" s="53">
        <f t="shared" si="2"/>
        <v>2001.24</v>
      </c>
      <c r="O26" s="56"/>
    </row>
    <row r="27" s="19" customFormat="1" ht="48" customHeight="1" spans="1:15">
      <c r="A27" s="27"/>
      <c r="B27" s="29" t="s">
        <v>631</v>
      </c>
      <c r="C27" s="29" t="s">
        <v>632</v>
      </c>
      <c r="D27" s="27" t="s">
        <v>336</v>
      </c>
      <c r="E27" s="50">
        <v>4</v>
      </c>
      <c r="F27" s="30">
        <v>20</v>
      </c>
      <c r="G27" s="31">
        <v>485</v>
      </c>
      <c r="H27" s="30">
        <v>485</v>
      </c>
      <c r="I27" s="54">
        <v>0</v>
      </c>
      <c r="J27" s="53">
        <v>0</v>
      </c>
      <c r="K27" s="53">
        <f>(F27+G27+J27)*K5</f>
        <v>10.1</v>
      </c>
      <c r="L27" s="53">
        <f>(F27+G27+J27+K27)*L5</f>
        <v>46.359</v>
      </c>
      <c r="M27" s="55">
        <f t="shared" ref="M27:M41" si="3">F27+G27+J27+K27+L27</f>
        <v>561.459</v>
      </c>
      <c r="N27" s="53">
        <f t="shared" ref="N27:N41" si="4">E27*M27</f>
        <v>2245.836</v>
      </c>
      <c r="O27" s="56" t="s">
        <v>633</v>
      </c>
    </row>
    <row r="28" s="19" customFormat="1" ht="56" customHeight="1" spans="1:15">
      <c r="A28" s="27"/>
      <c r="B28" s="29" t="s">
        <v>634</v>
      </c>
      <c r="C28" s="29" t="s">
        <v>635</v>
      </c>
      <c r="D28" s="27" t="s">
        <v>336</v>
      </c>
      <c r="E28" s="50">
        <v>4</v>
      </c>
      <c r="F28" s="30">
        <v>20</v>
      </c>
      <c r="G28" s="31">
        <f t="shared" ref="G28:G30" si="5">H28*(1+I28)</f>
        <v>430</v>
      </c>
      <c r="H28" s="30">
        <v>430</v>
      </c>
      <c r="I28" s="54">
        <v>0</v>
      </c>
      <c r="J28" s="53">
        <v>0</v>
      </c>
      <c r="K28" s="53">
        <f>(F28+G28+J28)*K5</f>
        <v>9</v>
      </c>
      <c r="L28" s="53">
        <f>(F28+G28+J28+K28)*L5</f>
        <v>41.31</v>
      </c>
      <c r="M28" s="55">
        <f t="shared" si="3"/>
        <v>500.31</v>
      </c>
      <c r="N28" s="53">
        <f t="shared" si="4"/>
        <v>2001.24</v>
      </c>
      <c r="O28" s="56" t="s">
        <v>633</v>
      </c>
    </row>
    <row r="29" s="19" customFormat="1" ht="48" customHeight="1" spans="1:15">
      <c r="A29" s="27"/>
      <c r="B29" s="29" t="s">
        <v>636</v>
      </c>
      <c r="C29" s="29" t="s">
        <v>637</v>
      </c>
      <c r="D29" s="27" t="s">
        <v>336</v>
      </c>
      <c r="E29" s="50">
        <v>2</v>
      </c>
      <c r="F29" s="30">
        <v>50</v>
      </c>
      <c r="G29" s="31">
        <f t="shared" si="5"/>
        <v>860</v>
      </c>
      <c r="H29" s="30">
        <v>860</v>
      </c>
      <c r="I29" s="54">
        <v>0</v>
      </c>
      <c r="J29" s="53">
        <v>0</v>
      </c>
      <c r="K29" s="53">
        <f t="shared" ref="K29:K31" si="6">(F29+G29+J29)*K5</f>
        <v>18.2</v>
      </c>
      <c r="L29" s="53">
        <f t="shared" ref="L29:L31" si="7">(F29+G29+J29+K29)*L5</f>
        <v>83.538</v>
      </c>
      <c r="M29" s="55">
        <f t="shared" si="3"/>
        <v>1011.738</v>
      </c>
      <c r="N29" s="53">
        <f t="shared" si="4"/>
        <v>2023.476</v>
      </c>
      <c r="O29" s="56" t="s">
        <v>638</v>
      </c>
    </row>
    <row r="30" s="19" customFormat="1" ht="48" customHeight="1" spans="1:15">
      <c r="A30" s="27"/>
      <c r="B30" s="29" t="s">
        <v>639</v>
      </c>
      <c r="C30" s="29" t="s">
        <v>640</v>
      </c>
      <c r="D30" s="27" t="s">
        <v>336</v>
      </c>
      <c r="E30" s="50">
        <v>1</v>
      </c>
      <c r="F30" s="30">
        <v>50</v>
      </c>
      <c r="G30" s="31">
        <f t="shared" si="5"/>
        <v>200</v>
      </c>
      <c r="H30" s="30">
        <v>200</v>
      </c>
      <c r="I30" s="54">
        <v>0</v>
      </c>
      <c r="J30" s="53">
        <v>0</v>
      </c>
      <c r="K30" s="53">
        <f t="shared" si="6"/>
        <v>0</v>
      </c>
      <c r="L30" s="53">
        <f t="shared" si="7"/>
        <v>0</v>
      </c>
      <c r="M30" s="55">
        <f t="shared" si="3"/>
        <v>250</v>
      </c>
      <c r="N30" s="53">
        <f t="shared" si="4"/>
        <v>250</v>
      </c>
      <c r="O30" s="56" t="s">
        <v>641</v>
      </c>
    </row>
    <row r="31" s="19" customFormat="1" ht="48" customHeight="1" spans="1:15">
      <c r="A31" s="27"/>
      <c r="B31" s="29" t="s">
        <v>642</v>
      </c>
      <c r="C31" s="29" t="s">
        <v>643</v>
      </c>
      <c r="D31" s="27" t="s">
        <v>336</v>
      </c>
      <c r="E31" s="50">
        <v>1</v>
      </c>
      <c r="F31" s="30">
        <v>50</v>
      </c>
      <c r="G31" s="31">
        <f t="shared" ref="G31:G41" si="8">H31*(1+I31)</f>
        <v>750</v>
      </c>
      <c r="H31" s="30">
        <v>750</v>
      </c>
      <c r="I31" s="54">
        <v>0</v>
      </c>
      <c r="J31" s="53">
        <v>0</v>
      </c>
      <c r="K31" s="53">
        <f>(F31+G31+J31)*K5</f>
        <v>16</v>
      </c>
      <c r="L31" s="53">
        <f>(F31+G31+J31+K31)*L5</f>
        <v>73.44</v>
      </c>
      <c r="M31" s="55">
        <f t="shared" si="3"/>
        <v>889.44</v>
      </c>
      <c r="N31" s="53">
        <f t="shared" si="4"/>
        <v>889.44</v>
      </c>
      <c r="O31" s="56" t="s">
        <v>644</v>
      </c>
    </row>
    <row r="32" s="19" customFormat="1" ht="48" customHeight="1" spans="1:15">
      <c r="A32" s="27"/>
      <c r="B32" s="29" t="s">
        <v>645</v>
      </c>
      <c r="C32" s="29" t="s">
        <v>646</v>
      </c>
      <c r="D32" s="27" t="s">
        <v>336</v>
      </c>
      <c r="E32" s="50">
        <v>4</v>
      </c>
      <c r="F32" s="30">
        <v>20</v>
      </c>
      <c r="G32" s="31">
        <f t="shared" si="8"/>
        <v>500</v>
      </c>
      <c r="H32" s="30">
        <v>500</v>
      </c>
      <c r="I32" s="54">
        <v>0</v>
      </c>
      <c r="J32" s="53">
        <v>0</v>
      </c>
      <c r="K32" s="53">
        <f>(F32+G32+J32)*K5</f>
        <v>10.4</v>
      </c>
      <c r="L32" s="53">
        <f>(F32+G32+J32+K32)*L5</f>
        <v>47.736</v>
      </c>
      <c r="M32" s="55">
        <f t="shared" si="3"/>
        <v>578.136</v>
      </c>
      <c r="N32" s="53">
        <f t="shared" si="4"/>
        <v>2312.544</v>
      </c>
      <c r="O32" s="56" t="s">
        <v>647</v>
      </c>
    </row>
    <row r="33" s="19" customFormat="1" ht="48" customHeight="1" spans="1:15">
      <c r="A33" s="27"/>
      <c r="B33" s="29" t="s">
        <v>648</v>
      </c>
      <c r="C33" s="29" t="s">
        <v>649</v>
      </c>
      <c r="D33" s="27" t="s">
        <v>336</v>
      </c>
      <c r="E33" s="50">
        <v>1</v>
      </c>
      <c r="F33" s="30">
        <v>50</v>
      </c>
      <c r="G33" s="31">
        <f t="shared" si="8"/>
        <v>360</v>
      </c>
      <c r="H33" s="30">
        <v>360</v>
      </c>
      <c r="I33" s="54">
        <v>0</v>
      </c>
      <c r="J33" s="53">
        <v>0</v>
      </c>
      <c r="K33" s="53">
        <f>(F33+G33+J33)*K5</f>
        <v>8.2</v>
      </c>
      <c r="L33" s="53">
        <f>(F33+G33+J33+K33)*L5</f>
        <v>37.638</v>
      </c>
      <c r="M33" s="55">
        <f t="shared" si="3"/>
        <v>455.838</v>
      </c>
      <c r="N33" s="53">
        <f t="shared" si="4"/>
        <v>455.838</v>
      </c>
      <c r="O33" s="56" t="s">
        <v>650</v>
      </c>
    </row>
    <row r="34" s="19" customFormat="1" ht="48" customHeight="1" spans="1:15">
      <c r="A34" s="27"/>
      <c r="B34" s="29" t="s">
        <v>651</v>
      </c>
      <c r="C34" s="29" t="s">
        <v>652</v>
      </c>
      <c r="D34" s="27" t="s">
        <v>336</v>
      </c>
      <c r="E34" s="50">
        <v>1</v>
      </c>
      <c r="F34" s="30">
        <v>50</v>
      </c>
      <c r="G34" s="31">
        <f t="shared" si="8"/>
        <v>1000</v>
      </c>
      <c r="H34" s="30">
        <v>1000</v>
      </c>
      <c r="I34" s="54">
        <v>0</v>
      </c>
      <c r="J34" s="53">
        <v>0</v>
      </c>
      <c r="K34" s="53">
        <f>(F34+G34+J34)*K5</f>
        <v>21</v>
      </c>
      <c r="L34" s="53">
        <f>(F34+G34+J34+K34)*L5</f>
        <v>96.39</v>
      </c>
      <c r="M34" s="55">
        <f t="shared" si="3"/>
        <v>1167.39</v>
      </c>
      <c r="N34" s="53">
        <f t="shared" si="4"/>
        <v>1167.39</v>
      </c>
      <c r="O34" s="56" t="s">
        <v>653</v>
      </c>
    </row>
    <row r="35" s="19" customFormat="1" ht="48" customHeight="1" spans="1:15">
      <c r="A35" s="27"/>
      <c r="B35" s="29" t="s">
        <v>654</v>
      </c>
      <c r="C35" s="29" t="s">
        <v>655</v>
      </c>
      <c r="D35" s="27" t="s">
        <v>336</v>
      </c>
      <c r="E35" s="50">
        <v>1</v>
      </c>
      <c r="F35" s="30">
        <v>150</v>
      </c>
      <c r="G35" s="31">
        <f t="shared" si="8"/>
        <v>380</v>
      </c>
      <c r="H35" s="30">
        <v>380</v>
      </c>
      <c r="I35" s="54">
        <v>0</v>
      </c>
      <c r="J35" s="53">
        <v>0</v>
      </c>
      <c r="K35" s="53">
        <f>(F35+G35+J35)*K5</f>
        <v>10.6</v>
      </c>
      <c r="L35" s="53">
        <f>(F35+G35+J35+K35)*L5</f>
        <v>48.654</v>
      </c>
      <c r="M35" s="55">
        <f t="shared" si="3"/>
        <v>589.254</v>
      </c>
      <c r="N35" s="53">
        <f t="shared" si="4"/>
        <v>589.254</v>
      </c>
      <c r="O35" s="56"/>
    </row>
    <row r="36" s="19" customFormat="1" ht="48" customHeight="1" spans="1:15">
      <c r="A36" s="27"/>
      <c r="B36" s="29" t="s">
        <v>656</v>
      </c>
      <c r="C36" s="49" t="s">
        <v>525</v>
      </c>
      <c r="D36" s="27" t="s">
        <v>518</v>
      </c>
      <c r="E36" s="50">
        <v>470</v>
      </c>
      <c r="F36" s="30">
        <v>10</v>
      </c>
      <c r="G36" s="31">
        <f t="shared" si="8"/>
        <v>15</v>
      </c>
      <c r="H36" s="30">
        <v>15</v>
      </c>
      <c r="I36" s="54">
        <v>0</v>
      </c>
      <c r="J36" s="53">
        <v>0</v>
      </c>
      <c r="K36" s="53">
        <f>(F36+G36+J36)*K5</f>
        <v>0.5</v>
      </c>
      <c r="L36" s="53">
        <f>(F36+G36+J36+K36)*L5</f>
        <v>2.295</v>
      </c>
      <c r="M36" s="55">
        <f t="shared" si="3"/>
        <v>27.795</v>
      </c>
      <c r="N36" s="53">
        <f t="shared" si="4"/>
        <v>13063.65</v>
      </c>
      <c r="O36" s="56" t="s">
        <v>657</v>
      </c>
    </row>
    <row r="37" s="19" customFormat="1" ht="48" customHeight="1" spans="1:15">
      <c r="A37" s="27"/>
      <c r="B37" s="29" t="s">
        <v>658</v>
      </c>
      <c r="C37" s="49" t="s">
        <v>659</v>
      </c>
      <c r="D37" s="27" t="s">
        <v>35</v>
      </c>
      <c r="E37" s="50">
        <v>1</v>
      </c>
      <c r="F37" s="30">
        <v>6500</v>
      </c>
      <c r="G37" s="31">
        <f t="shared" si="8"/>
        <v>0</v>
      </c>
      <c r="H37" s="30">
        <v>0</v>
      </c>
      <c r="I37" s="54">
        <v>0</v>
      </c>
      <c r="J37" s="53">
        <v>0</v>
      </c>
      <c r="K37" s="53">
        <f>(F37+G37+J37)*K5</f>
        <v>130</v>
      </c>
      <c r="L37" s="53">
        <f>(F37+G37+J37+K37)*L5</f>
        <v>596.7</v>
      </c>
      <c r="M37" s="55">
        <f t="shared" si="3"/>
        <v>7226.7</v>
      </c>
      <c r="N37" s="53">
        <f t="shared" si="4"/>
        <v>7226.7</v>
      </c>
      <c r="O37" s="56" t="s">
        <v>660</v>
      </c>
    </row>
    <row r="38" s="19" customFormat="1" ht="55" customHeight="1" spans="1:15">
      <c r="A38" s="27">
        <v>2.31</v>
      </c>
      <c r="B38" s="29" t="s">
        <v>543</v>
      </c>
      <c r="C38" s="29" t="s">
        <v>559</v>
      </c>
      <c r="D38" s="27" t="s">
        <v>336</v>
      </c>
      <c r="E38" s="50">
        <v>1</v>
      </c>
      <c r="F38" s="30">
        <v>100</v>
      </c>
      <c r="G38" s="31">
        <f t="shared" si="8"/>
        <v>900</v>
      </c>
      <c r="H38" s="30">
        <v>900</v>
      </c>
      <c r="I38" s="54">
        <v>0</v>
      </c>
      <c r="J38" s="53">
        <v>0</v>
      </c>
      <c r="K38" s="53">
        <f>(F38+G38+J38)*K5</f>
        <v>20</v>
      </c>
      <c r="L38" s="53">
        <f>(F38+G38+J38+K38)*L5</f>
        <v>91.8</v>
      </c>
      <c r="M38" s="55">
        <f t="shared" si="3"/>
        <v>1111.8</v>
      </c>
      <c r="N38" s="53">
        <f t="shared" si="4"/>
        <v>1111.8</v>
      </c>
      <c r="O38" s="56" t="s">
        <v>661</v>
      </c>
    </row>
    <row r="39" s="19" customFormat="1" ht="55" customHeight="1" spans="1:15">
      <c r="A39" s="47">
        <v>2.32</v>
      </c>
      <c r="B39" s="29" t="s">
        <v>543</v>
      </c>
      <c r="C39" s="29" t="s">
        <v>560</v>
      </c>
      <c r="D39" s="27" t="s">
        <v>336</v>
      </c>
      <c r="E39" s="50">
        <v>1</v>
      </c>
      <c r="F39" s="30">
        <v>100</v>
      </c>
      <c r="G39" s="31">
        <f t="shared" si="8"/>
        <v>1100</v>
      </c>
      <c r="H39" s="30">
        <v>1100</v>
      </c>
      <c r="I39" s="54">
        <v>0</v>
      </c>
      <c r="J39" s="53">
        <v>0</v>
      </c>
      <c r="K39" s="53">
        <f>(F39+G39+J39)*K5</f>
        <v>24</v>
      </c>
      <c r="L39" s="53">
        <f>(F39+G39+J39+K39)*L5</f>
        <v>110.16</v>
      </c>
      <c r="M39" s="55">
        <f t="shared" si="3"/>
        <v>1334.16</v>
      </c>
      <c r="N39" s="53">
        <f t="shared" si="4"/>
        <v>1334.16</v>
      </c>
      <c r="O39" s="56" t="s">
        <v>661</v>
      </c>
    </row>
    <row r="40" s="19" customFormat="1" ht="55" customHeight="1" spans="1:15">
      <c r="A40" s="27">
        <v>2.33</v>
      </c>
      <c r="B40" s="29" t="s">
        <v>543</v>
      </c>
      <c r="C40" s="29" t="s">
        <v>662</v>
      </c>
      <c r="D40" s="27" t="s">
        <v>336</v>
      </c>
      <c r="E40" s="50">
        <v>1</v>
      </c>
      <c r="F40" s="30">
        <v>100</v>
      </c>
      <c r="G40" s="31">
        <f t="shared" si="8"/>
        <v>1000</v>
      </c>
      <c r="H40" s="30">
        <v>1000</v>
      </c>
      <c r="I40" s="54">
        <v>0</v>
      </c>
      <c r="J40" s="53">
        <v>0</v>
      </c>
      <c r="K40" s="53">
        <f>(F40+G40+J40)*K5</f>
        <v>22</v>
      </c>
      <c r="L40" s="53">
        <f>(F40+G40+J40+K40)*L5</f>
        <v>100.98</v>
      </c>
      <c r="M40" s="55">
        <f t="shared" si="3"/>
        <v>1222.98</v>
      </c>
      <c r="N40" s="53">
        <f t="shared" si="4"/>
        <v>1222.98</v>
      </c>
      <c r="O40" s="56" t="s">
        <v>661</v>
      </c>
    </row>
    <row r="41" s="19" customFormat="1" ht="55" customHeight="1" spans="1:15">
      <c r="A41" s="47">
        <v>2.33999999999999</v>
      </c>
      <c r="B41" s="29" t="s">
        <v>543</v>
      </c>
      <c r="C41" s="29" t="s">
        <v>562</v>
      </c>
      <c r="D41" s="27" t="s">
        <v>336</v>
      </c>
      <c r="E41" s="50">
        <v>1</v>
      </c>
      <c r="F41" s="30">
        <v>100</v>
      </c>
      <c r="G41" s="31">
        <f t="shared" si="8"/>
        <v>900</v>
      </c>
      <c r="H41" s="30">
        <v>900</v>
      </c>
      <c r="I41" s="54">
        <v>0</v>
      </c>
      <c r="J41" s="53">
        <v>0</v>
      </c>
      <c r="K41" s="53">
        <f>(F41+G41+J41)*K5</f>
        <v>20</v>
      </c>
      <c r="L41" s="53">
        <f>(F41+G41+J41+K41)*L5</f>
        <v>91.8</v>
      </c>
      <c r="M41" s="55">
        <f t="shared" si="3"/>
        <v>1111.8</v>
      </c>
      <c r="N41" s="53">
        <f t="shared" si="4"/>
        <v>1111.8</v>
      </c>
      <c r="O41" s="56" t="s">
        <v>661</v>
      </c>
    </row>
    <row r="42" s="20" customFormat="1" ht="34" customHeight="1" spans="1:15">
      <c r="A42" s="44"/>
      <c r="B42" s="45" t="s">
        <v>574</v>
      </c>
      <c r="C42" s="45"/>
      <c r="D42" s="44"/>
      <c r="E42" s="44"/>
      <c r="F42" s="44"/>
      <c r="G42" s="44"/>
      <c r="H42" s="46"/>
      <c r="I42" s="44"/>
      <c r="J42" s="44"/>
      <c r="K42" s="44"/>
      <c r="L42" s="44"/>
      <c r="M42" s="44"/>
      <c r="N42" s="62">
        <f>SUM(N7:N41)</f>
        <v>83573.851</v>
      </c>
      <c r="O42" s="63"/>
    </row>
  </sheetData>
  <mergeCells count="16">
    <mergeCell ref="A1:O1"/>
    <mergeCell ref="A2:F2"/>
    <mergeCell ref="G2:M2"/>
    <mergeCell ref="N2:O2"/>
    <mergeCell ref="F3:L3"/>
    <mergeCell ref="B42:C42"/>
    <mergeCell ref="A3:A5"/>
    <mergeCell ref="B3:B5"/>
    <mergeCell ref="C3:C5"/>
    <mergeCell ref="D3:D5"/>
    <mergeCell ref="E3:E5"/>
    <mergeCell ref="F4:F5"/>
    <mergeCell ref="J4:J5"/>
    <mergeCell ref="M3:M5"/>
    <mergeCell ref="N3:N5"/>
    <mergeCell ref="O3:O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topLeftCell="A4" workbookViewId="0">
      <selection activeCell="A1" sqref="A1:O1"/>
    </sheetView>
  </sheetViews>
  <sheetFormatPr defaultColWidth="8.88888888888889" defaultRowHeight="13.2"/>
  <cols>
    <col min="1" max="1" width="6.13888888888889" customWidth="1"/>
    <col min="2" max="2" width="15.1388888888889" customWidth="1"/>
    <col min="3" max="3" width="36.1388888888889" customWidth="1"/>
    <col min="4" max="4" width="6.42592592592593" customWidth="1"/>
    <col min="5" max="5" width="6.72222222222222" customWidth="1"/>
    <col min="6" max="6" width="8.42592592592593" customWidth="1"/>
    <col min="7" max="7" width="10.1574074074074" customWidth="1"/>
    <col min="8" max="8" width="10.287037037037" customWidth="1"/>
    <col min="9" max="9" width="7.57407407407407" customWidth="1"/>
    <col min="10" max="10" width="9" customWidth="1"/>
    <col min="11" max="11" width="10.4259259259259" customWidth="1"/>
    <col min="12" max="12" width="9.86111111111111" customWidth="1"/>
    <col min="13" max="13" width="9.28703703703704" customWidth="1"/>
    <col min="14" max="14" width="11.7222222222222" customWidth="1"/>
    <col min="15" max="15" width="13.9814814814815" customWidth="1"/>
  </cols>
  <sheetData>
    <row r="1" s="18" customFormat="1" ht="35.1" customHeight="1" spans="1:15">
      <c r="A1" s="22" t="s">
        <v>463</v>
      </c>
      <c r="B1" s="22"/>
      <c r="C1" s="22"/>
      <c r="D1" s="22"/>
      <c r="E1" s="22"/>
      <c r="F1" s="22"/>
      <c r="G1" s="22"/>
      <c r="H1" s="22"/>
      <c r="I1" s="22"/>
      <c r="J1" s="22"/>
      <c r="K1" s="22"/>
      <c r="L1" s="22"/>
      <c r="M1" s="22"/>
      <c r="N1" s="51"/>
      <c r="O1" s="22"/>
    </row>
    <row r="2" s="18" customFormat="1" ht="18.95" customHeight="1" spans="1:15">
      <c r="A2" s="23" t="s">
        <v>464</v>
      </c>
      <c r="B2" s="23"/>
      <c r="C2" s="23"/>
      <c r="D2" s="23"/>
      <c r="E2" s="23"/>
      <c r="F2" s="23"/>
      <c r="G2" s="24"/>
      <c r="H2" s="24"/>
      <c r="I2" s="24"/>
      <c r="J2" s="24"/>
      <c r="K2" s="24"/>
      <c r="L2" s="24"/>
      <c r="M2" s="24"/>
      <c r="N2" s="52"/>
      <c r="O2" s="24"/>
    </row>
    <row r="3" s="18" customFormat="1" ht="10.8" spans="1:15">
      <c r="A3" s="25" t="s">
        <v>48</v>
      </c>
      <c r="B3" s="26" t="s">
        <v>49</v>
      </c>
      <c r="C3" s="26" t="s">
        <v>50</v>
      </c>
      <c r="D3" s="25" t="s">
        <v>30</v>
      </c>
      <c r="E3" s="25" t="s">
        <v>51</v>
      </c>
      <c r="F3" s="25" t="s">
        <v>52</v>
      </c>
      <c r="G3" s="25"/>
      <c r="H3" s="25"/>
      <c r="I3" s="25"/>
      <c r="J3" s="25"/>
      <c r="K3" s="25"/>
      <c r="L3" s="25"/>
      <c r="M3" s="25" t="s">
        <v>53</v>
      </c>
      <c r="N3" s="53" t="s">
        <v>54</v>
      </c>
      <c r="O3" s="25" t="s">
        <v>55</v>
      </c>
    </row>
    <row r="4" s="18" customFormat="1" ht="51" customHeight="1" spans="1:15">
      <c r="A4" s="25"/>
      <c r="B4" s="26"/>
      <c r="C4" s="26"/>
      <c r="D4" s="25"/>
      <c r="E4" s="25"/>
      <c r="F4" s="25" t="s">
        <v>56</v>
      </c>
      <c r="G4" s="25" t="s">
        <v>57</v>
      </c>
      <c r="H4" s="25" t="s">
        <v>58</v>
      </c>
      <c r="I4" s="25" t="s">
        <v>59</v>
      </c>
      <c r="J4" s="25" t="s">
        <v>60</v>
      </c>
      <c r="K4" s="25" t="s">
        <v>61</v>
      </c>
      <c r="L4" s="25" t="s">
        <v>62</v>
      </c>
      <c r="M4" s="25"/>
      <c r="N4" s="53"/>
      <c r="O4" s="25"/>
    </row>
    <row r="5" s="18" customFormat="1" ht="10.8" spans="1:15">
      <c r="A5" s="25"/>
      <c r="B5" s="26"/>
      <c r="C5" s="26"/>
      <c r="D5" s="25"/>
      <c r="E5" s="25"/>
      <c r="F5" s="25"/>
      <c r="G5" s="25" t="s">
        <v>63</v>
      </c>
      <c r="H5" s="25" t="s">
        <v>64</v>
      </c>
      <c r="I5" s="25" t="s">
        <v>65</v>
      </c>
      <c r="J5" s="25"/>
      <c r="K5" s="54">
        <v>0.02</v>
      </c>
      <c r="L5" s="54">
        <v>0.09</v>
      </c>
      <c r="M5" s="25"/>
      <c r="N5" s="53"/>
      <c r="O5" s="25"/>
    </row>
    <row r="6" s="19" customFormat="1" ht="23" customHeight="1" spans="1:15">
      <c r="A6" s="27">
        <v>2</v>
      </c>
      <c r="B6" s="28" t="s">
        <v>523</v>
      </c>
      <c r="C6" s="29"/>
      <c r="D6" s="27"/>
      <c r="E6" s="25"/>
      <c r="F6" s="30"/>
      <c r="G6" s="31">
        <f t="shared" ref="G6:G26" si="0">H6*(1+I6)</f>
        <v>0</v>
      </c>
      <c r="H6" s="30"/>
      <c r="I6" s="54"/>
      <c r="J6" s="53"/>
      <c r="K6" s="53"/>
      <c r="L6" s="53"/>
      <c r="M6" s="55">
        <f t="shared" ref="M6:M19" si="1">F6+G6+J6+K6+L6</f>
        <v>0</v>
      </c>
      <c r="N6" s="53">
        <f t="shared" ref="N6:N19" si="2">E6*M6</f>
        <v>0</v>
      </c>
      <c r="O6" s="56"/>
    </row>
    <row r="7" s="19" customFormat="1" ht="48.95" customHeight="1" spans="1:15">
      <c r="A7" s="47">
        <v>2.16</v>
      </c>
      <c r="B7" s="29" t="s">
        <v>543</v>
      </c>
      <c r="C7" s="29" t="s">
        <v>545</v>
      </c>
      <c r="D7" s="27" t="s">
        <v>298</v>
      </c>
      <c r="E7" s="50">
        <v>5</v>
      </c>
      <c r="F7" s="30">
        <v>3</v>
      </c>
      <c r="G7" s="31">
        <f t="shared" si="0"/>
        <v>45</v>
      </c>
      <c r="H7" s="30">
        <v>45</v>
      </c>
      <c r="I7" s="54">
        <v>0</v>
      </c>
      <c r="J7" s="53">
        <v>0</v>
      </c>
      <c r="K7" s="53">
        <f>(F7+G7+J7)*K5</f>
        <v>0.96</v>
      </c>
      <c r="L7" s="53">
        <f>(F7+G7+J7+K7)*L5</f>
        <v>4.4064</v>
      </c>
      <c r="M7" s="55">
        <f t="shared" si="1"/>
        <v>53.3664</v>
      </c>
      <c r="N7" s="53">
        <f t="shared" si="2"/>
        <v>266.832</v>
      </c>
      <c r="O7" s="56" t="s">
        <v>546</v>
      </c>
    </row>
    <row r="8" s="19" customFormat="1" ht="48.95" customHeight="1" spans="1:15">
      <c r="A8" s="27">
        <v>2.17</v>
      </c>
      <c r="B8" s="29" t="s">
        <v>543</v>
      </c>
      <c r="C8" s="29" t="s">
        <v>547</v>
      </c>
      <c r="D8" s="27" t="s">
        <v>298</v>
      </c>
      <c r="E8" s="50">
        <v>2</v>
      </c>
      <c r="F8" s="30">
        <v>3</v>
      </c>
      <c r="G8" s="31">
        <f t="shared" si="0"/>
        <v>55</v>
      </c>
      <c r="H8" s="30">
        <v>55</v>
      </c>
      <c r="I8" s="54">
        <v>0</v>
      </c>
      <c r="J8" s="53">
        <v>0</v>
      </c>
      <c r="K8" s="53">
        <f>(F8+G8+J8)*K5</f>
        <v>1.16</v>
      </c>
      <c r="L8" s="53">
        <f>(F8+G8+J8+K8)*L5</f>
        <v>5.3244</v>
      </c>
      <c r="M8" s="55">
        <f t="shared" si="1"/>
        <v>64.4844</v>
      </c>
      <c r="N8" s="53">
        <f t="shared" si="2"/>
        <v>128.9688</v>
      </c>
      <c r="O8" s="56" t="s">
        <v>546</v>
      </c>
    </row>
    <row r="9" s="19" customFormat="1" ht="54" customHeight="1" spans="1:15">
      <c r="A9" s="47">
        <v>2.18</v>
      </c>
      <c r="B9" s="29" t="s">
        <v>543</v>
      </c>
      <c r="C9" s="29" t="s">
        <v>548</v>
      </c>
      <c r="D9" s="27" t="s">
        <v>298</v>
      </c>
      <c r="E9" s="50">
        <v>12</v>
      </c>
      <c r="F9" s="30">
        <v>3</v>
      </c>
      <c r="G9" s="31">
        <f t="shared" si="0"/>
        <v>78</v>
      </c>
      <c r="H9" s="30">
        <v>78</v>
      </c>
      <c r="I9" s="54">
        <v>0</v>
      </c>
      <c r="J9" s="53">
        <v>0</v>
      </c>
      <c r="K9" s="53">
        <f>(F9+G9+J9)*K5</f>
        <v>1.62</v>
      </c>
      <c r="L9" s="53">
        <f>(F9+G9+J9+K9)*L5</f>
        <v>7.4358</v>
      </c>
      <c r="M9" s="55">
        <f t="shared" si="1"/>
        <v>90.0558</v>
      </c>
      <c r="N9" s="53">
        <f t="shared" si="2"/>
        <v>1080.6696</v>
      </c>
      <c r="O9" s="56" t="s">
        <v>546</v>
      </c>
    </row>
    <row r="10" s="19" customFormat="1" ht="48.95" customHeight="1" spans="1:15">
      <c r="A10" s="27">
        <v>2.19</v>
      </c>
      <c r="B10" s="29" t="s">
        <v>543</v>
      </c>
      <c r="C10" s="29" t="s">
        <v>549</v>
      </c>
      <c r="D10" s="27" t="s">
        <v>298</v>
      </c>
      <c r="E10" s="50">
        <v>6</v>
      </c>
      <c r="F10" s="30">
        <v>3</v>
      </c>
      <c r="G10" s="31">
        <f t="shared" si="0"/>
        <v>88</v>
      </c>
      <c r="H10" s="30">
        <v>88</v>
      </c>
      <c r="I10" s="54">
        <v>0</v>
      </c>
      <c r="J10" s="53">
        <v>0</v>
      </c>
      <c r="K10" s="53">
        <f>(F10+G10+J10)*K5</f>
        <v>1.82</v>
      </c>
      <c r="L10" s="53">
        <f>(F10+G10+J10+K10)*L5</f>
        <v>8.3538</v>
      </c>
      <c r="M10" s="55">
        <f t="shared" si="1"/>
        <v>101.1738</v>
      </c>
      <c r="N10" s="53">
        <f t="shared" si="2"/>
        <v>607.0428</v>
      </c>
      <c r="O10" s="56" t="s">
        <v>546</v>
      </c>
    </row>
    <row r="11" s="19" customFormat="1" ht="48.95" customHeight="1" spans="1:15">
      <c r="A11" s="47">
        <v>2.2</v>
      </c>
      <c r="B11" s="29" t="s">
        <v>543</v>
      </c>
      <c r="C11" s="29" t="s">
        <v>550</v>
      </c>
      <c r="D11" s="27" t="s">
        <v>298</v>
      </c>
      <c r="E11" s="50">
        <v>7</v>
      </c>
      <c r="F11" s="30">
        <v>3</v>
      </c>
      <c r="G11" s="31">
        <f t="shared" si="0"/>
        <v>98</v>
      </c>
      <c r="H11" s="30">
        <v>98</v>
      </c>
      <c r="I11" s="54">
        <v>0</v>
      </c>
      <c r="J11" s="53">
        <v>0</v>
      </c>
      <c r="K11" s="53">
        <f>(F11+G11+J11)*K5</f>
        <v>2.02</v>
      </c>
      <c r="L11" s="53">
        <f>(F11+G11+J11+K11)*L5</f>
        <v>9.2718</v>
      </c>
      <c r="M11" s="55">
        <f t="shared" si="1"/>
        <v>112.2918</v>
      </c>
      <c r="N11" s="53">
        <f t="shared" si="2"/>
        <v>786.0426</v>
      </c>
      <c r="O11" s="56" t="s">
        <v>546</v>
      </c>
    </row>
    <row r="12" s="19" customFormat="1" ht="60" customHeight="1" spans="1:15">
      <c r="A12" s="27">
        <v>2.21</v>
      </c>
      <c r="B12" s="29" t="s">
        <v>543</v>
      </c>
      <c r="C12" s="29" t="s">
        <v>551</v>
      </c>
      <c r="D12" s="27" t="s">
        <v>298</v>
      </c>
      <c r="E12" s="50">
        <v>21</v>
      </c>
      <c r="F12" s="30">
        <v>3</v>
      </c>
      <c r="G12" s="31">
        <f t="shared" si="0"/>
        <v>110</v>
      </c>
      <c r="H12" s="30">
        <v>110</v>
      </c>
      <c r="I12" s="54">
        <v>0</v>
      </c>
      <c r="J12" s="53">
        <v>0</v>
      </c>
      <c r="K12" s="53">
        <f>(F12+G12+J12)*K5</f>
        <v>2.26</v>
      </c>
      <c r="L12" s="53">
        <f>(F12+G12+J12+K12)*L5</f>
        <v>10.3734</v>
      </c>
      <c r="M12" s="55">
        <f t="shared" si="1"/>
        <v>125.6334</v>
      </c>
      <c r="N12" s="53">
        <f t="shared" si="2"/>
        <v>2638.3014</v>
      </c>
      <c r="O12" s="56" t="s">
        <v>546</v>
      </c>
    </row>
    <row r="13" s="19" customFormat="1" ht="48.95" customHeight="1" spans="1:15">
      <c r="A13" s="27">
        <v>2.23</v>
      </c>
      <c r="B13" s="29" t="s">
        <v>543</v>
      </c>
      <c r="C13" s="29" t="s">
        <v>552</v>
      </c>
      <c r="D13" s="27" t="s">
        <v>298</v>
      </c>
      <c r="E13" s="50">
        <v>95</v>
      </c>
      <c r="F13" s="30">
        <v>3</v>
      </c>
      <c r="G13" s="31">
        <f t="shared" si="0"/>
        <v>52</v>
      </c>
      <c r="H13" s="30">
        <v>52</v>
      </c>
      <c r="I13" s="54">
        <v>0</v>
      </c>
      <c r="J13" s="53">
        <v>0</v>
      </c>
      <c r="K13" s="53">
        <f>(F13+G13+J13)*K5</f>
        <v>1.1</v>
      </c>
      <c r="L13" s="53">
        <f>(F13+G13+J13+K13)*L5</f>
        <v>5.049</v>
      </c>
      <c r="M13" s="55">
        <f t="shared" si="1"/>
        <v>61.149</v>
      </c>
      <c r="N13" s="53">
        <f t="shared" si="2"/>
        <v>5809.155</v>
      </c>
      <c r="O13" s="56" t="s">
        <v>546</v>
      </c>
    </row>
    <row r="14" s="19" customFormat="1" ht="48.95" customHeight="1" spans="1:15">
      <c r="A14" s="47">
        <v>2.24</v>
      </c>
      <c r="B14" s="29" t="s">
        <v>543</v>
      </c>
      <c r="C14" s="29" t="s">
        <v>553</v>
      </c>
      <c r="D14" s="27" t="s">
        <v>298</v>
      </c>
      <c r="E14" s="50">
        <v>17</v>
      </c>
      <c r="F14" s="30">
        <v>3</v>
      </c>
      <c r="G14" s="31">
        <f t="shared" si="0"/>
        <v>92</v>
      </c>
      <c r="H14" s="30">
        <v>92</v>
      </c>
      <c r="I14" s="54">
        <v>0</v>
      </c>
      <c r="J14" s="53">
        <v>0</v>
      </c>
      <c r="K14" s="53">
        <f>(F14+G14+J14)*K5</f>
        <v>1.9</v>
      </c>
      <c r="L14" s="53">
        <f>(F14+G14+J14+K14)*L5</f>
        <v>8.721</v>
      </c>
      <c r="M14" s="55">
        <f t="shared" si="1"/>
        <v>105.621</v>
      </c>
      <c r="N14" s="53">
        <f t="shared" si="2"/>
        <v>1795.557</v>
      </c>
      <c r="O14" s="56" t="s">
        <v>546</v>
      </c>
    </row>
    <row r="15" s="19" customFormat="1" ht="48.95" customHeight="1" spans="1:15">
      <c r="A15" s="27">
        <v>2.25</v>
      </c>
      <c r="B15" s="29" t="s">
        <v>543</v>
      </c>
      <c r="C15" s="29" t="s">
        <v>554</v>
      </c>
      <c r="D15" s="27" t="s">
        <v>298</v>
      </c>
      <c r="E15" s="50">
        <f>21+4+1</f>
        <v>26</v>
      </c>
      <c r="F15" s="30">
        <v>3</v>
      </c>
      <c r="G15" s="31">
        <f t="shared" si="0"/>
        <v>72</v>
      </c>
      <c r="H15" s="30">
        <v>72</v>
      </c>
      <c r="I15" s="54">
        <v>0</v>
      </c>
      <c r="J15" s="53">
        <v>0</v>
      </c>
      <c r="K15" s="53">
        <f>(F15+G15+J15)*K5</f>
        <v>1.5</v>
      </c>
      <c r="L15" s="53">
        <f>(F15+G15+J15+K15)*L5</f>
        <v>6.885</v>
      </c>
      <c r="M15" s="55">
        <f t="shared" si="1"/>
        <v>83.385</v>
      </c>
      <c r="N15" s="53">
        <f t="shared" si="2"/>
        <v>2168.01</v>
      </c>
      <c r="O15" s="56" t="s">
        <v>546</v>
      </c>
    </row>
    <row r="16" s="19" customFormat="1" ht="48.95" customHeight="1" spans="1:15">
      <c r="A16" s="47">
        <v>2.26</v>
      </c>
      <c r="B16" s="29" t="s">
        <v>543</v>
      </c>
      <c r="C16" s="29" t="s">
        <v>555</v>
      </c>
      <c r="D16" s="27" t="s">
        <v>298</v>
      </c>
      <c r="E16" s="50">
        <v>8</v>
      </c>
      <c r="F16" s="30">
        <v>3</v>
      </c>
      <c r="G16" s="31">
        <f t="shared" si="0"/>
        <v>200</v>
      </c>
      <c r="H16" s="30">
        <v>200</v>
      </c>
      <c r="I16" s="54">
        <v>0</v>
      </c>
      <c r="J16" s="53">
        <v>0</v>
      </c>
      <c r="K16" s="53">
        <f>(F16+G16+J16)*K5</f>
        <v>4.06</v>
      </c>
      <c r="L16" s="53">
        <f>(F16+G16+J16+K16)*L5</f>
        <v>18.6354</v>
      </c>
      <c r="M16" s="55">
        <f t="shared" si="1"/>
        <v>225.6954</v>
      </c>
      <c r="N16" s="53">
        <f t="shared" si="2"/>
        <v>1805.5632</v>
      </c>
      <c r="O16" s="56" t="s">
        <v>546</v>
      </c>
    </row>
    <row r="17" s="19" customFormat="1" ht="48.95" customHeight="1" spans="1:15">
      <c r="A17" s="27">
        <v>2.27</v>
      </c>
      <c r="B17" s="29" t="s">
        <v>543</v>
      </c>
      <c r="C17" s="29" t="s">
        <v>556</v>
      </c>
      <c r="D17" s="27" t="s">
        <v>298</v>
      </c>
      <c r="E17" s="50">
        <v>8</v>
      </c>
      <c r="F17" s="30">
        <v>15</v>
      </c>
      <c r="G17" s="31">
        <f t="shared" si="0"/>
        <v>300</v>
      </c>
      <c r="H17" s="30">
        <v>300</v>
      </c>
      <c r="I17" s="54">
        <v>0</v>
      </c>
      <c r="J17" s="53">
        <v>0</v>
      </c>
      <c r="K17" s="53">
        <f>(F17+G17+J17)*K5</f>
        <v>6.3</v>
      </c>
      <c r="L17" s="53">
        <f>(F17+G17+J17+K17)*L5</f>
        <v>28.917</v>
      </c>
      <c r="M17" s="55">
        <f t="shared" si="1"/>
        <v>350.217</v>
      </c>
      <c r="N17" s="53">
        <f t="shared" si="2"/>
        <v>2801.736</v>
      </c>
      <c r="O17" s="56"/>
    </row>
    <row r="18" s="19" customFormat="1" ht="48.95" customHeight="1" spans="1:15">
      <c r="A18" s="47">
        <v>2.28</v>
      </c>
      <c r="B18" s="29" t="s">
        <v>543</v>
      </c>
      <c r="C18" s="29" t="s">
        <v>557</v>
      </c>
      <c r="D18" s="27" t="s">
        <v>298</v>
      </c>
      <c r="E18" s="50">
        <v>9</v>
      </c>
      <c r="F18" s="30">
        <v>3</v>
      </c>
      <c r="G18" s="31">
        <f t="shared" si="0"/>
        <v>75</v>
      </c>
      <c r="H18" s="30">
        <v>75</v>
      </c>
      <c r="I18" s="54">
        <v>0</v>
      </c>
      <c r="J18" s="53">
        <v>0</v>
      </c>
      <c r="K18" s="53">
        <f>(F18+G18+J18)*K5</f>
        <v>1.56</v>
      </c>
      <c r="L18" s="53">
        <f>(F18+G18+J18+K18)*L5</f>
        <v>7.1604</v>
      </c>
      <c r="M18" s="55">
        <f t="shared" si="1"/>
        <v>86.7204</v>
      </c>
      <c r="N18" s="53">
        <f t="shared" si="2"/>
        <v>780.4836</v>
      </c>
      <c r="O18" s="56" t="s">
        <v>546</v>
      </c>
    </row>
    <row r="19" s="19" customFormat="1" ht="48.95" customHeight="1" spans="1:15">
      <c r="A19" s="47">
        <v>2.3</v>
      </c>
      <c r="B19" s="29" t="s">
        <v>543</v>
      </c>
      <c r="C19" s="29" t="s">
        <v>558</v>
      </c>
      <c r="D19" s="27" t="s">
        <v>298</v>
      </c>
      <c r="E19" s="50">
        <v>10</v>
      </c>
      <c r="F19" s="30">
        <v>3</v>
      </c>
      <c r="G19" s="31">
        <f t="shared" si="0"/>
        <v>75</v>
      </c>
      <c r="H19" s="30">
        <v>75</v>
      </c>
      <c r="I19" s="54">
        <v>0</v>
      </c>
      <c r="J19" s="53">
        <v>0</v>
      </c>
      <c r="K19" s="53">
        <f>(F19+G19+J19)*K5</f>
        <v>1.56</v>
      </c>
      <c r="L19" s="53">
        <f>(F19+G19+J19+K19)*L5</f>
        <v>7.1604</v>
      </c>
      <c r="M19" s="55">
        <f t="shared" si="1"/>
        <v>86.7204</v>
      </c>
      <c r="N19" s="53">
        <f t="shared" si="2"/>
        <v>867.204</v>
      </c>
      <c r="O19" s="56" t="s">
        <v>546</v>
      </c>
    </row>
    <row r="20" s="20" customFormat="1" ht="34" customHeight="1" spans="1:15">
      <c r="A20" s="44"/>
      <c r="B20" s="45" t="s">
        <v>574</v>
      </c>
      <c r="C20" s="45"/>
      <c r="D20" s="44"/>
      <c r="E20" s="44"/>
      <c r="F20" s="44"/>
      <c r="G20" s="44"/>
      <c r="H20" s="46"/>
      <c r="I20" s="44"/>
      <c r="J20" s="44"/>
      <c r="K20" s="44"/>
      <c r="L20" s="44"/>
      <c r="M20" s="44"/>
      <c r="N20" s="62">
        <f>SUM(N7:N19)</f>
        <v>21535.566</v>
      </c>
      <c r="O20" s="63"/>
    </row>
  </sheetData>
  <mergeCells count="16">
    <mergeCell ref="A1:O1"/>
    <mergeCell ref="A2:F2"/>
    <mergeCell ref="G2:M2"/>
    <mergeCell ref="N2:O2"/>
    <mergeCell ref="F3:L3"/>
    <mergeCell ref="B20:C20"/>
    <mergeCell ref="A3:A5"/>
    <mergeCell ref="B3:B5"/>
    <mergeCell ref="C3:C5"/>
    <mergeCell ref="D3:D5"/>
    <mergeCell ref="E3:E5"/>
    <mergeCell ref="F4:F5"/>
    <mergeCell ref="J4:J5"/>
    <mergeCell ref="M3:M5"/>
    <mergeCell ref="N3:N5"/>
    <mergeCell ref="O3:O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selection activeCell="B7" sqref="B7"/>
    </sheetView>
  </sheetViews>
  <sheetFormatPr defaultColWidth="8.88888888888889" defaultRowHeight="13.2"/>
  <cols>
    <col min="2" max="2" width="21.1111111111111" customWidth="1"/>
    <col min="4" max="4" width="12.7777777777778" customWidth="1"/>
    <col min="5" max="5" width="15" customWidth="1"/>
    <col min="6" max="6" width="24.3333333333333" customWidth="1"/>
    <col min="14" max="14" width="11.8888888888889"/>
  </cols>
  <sheetData>
    <row r="1" s="18" customFormat="1" ht="35.1" customHeight="1" spans="1:15">
      <c r="A1" s="22" t="s">
        <v>663</v>
      </c>
      <c r="B1" s="22"/>
      <c r="C1" s="22"/>
      <c r="D1" s="22"/>
      <c r="E1" s="22"/>
      <c r="F1" s="22"/>
      <c r="G1" s="22"/>
      <c r="H1" s="22"/>
      <c r="I1" s="22"/>
      <c r="J1" s="22"/>
      <c r="K1" s="22"/>
      <c r="L1" s="22"/>
      <c r="M1" s="22"/>
      <c r="N1" s="51"/>
      <c r="O1" s="22"/>
    </row>
    <row r="2" s="18" customFormat="1" ht="18.95" customHeight="1" spans="1:15">
      <c r="A2" s="23" t="s">
        <v>464</v>
      </c>
      <c r="B2" s="23"/>
      <c r="C2" s="23"/>
      <c r="D2" s="23"/>
      <c r="E2" s="23"/>
      <c r="F2" s="23"/>
      <c r="G2" s="24"/>
      <c r="H2" s="24"/>
      <c r="I2" s="24"/>
      <c r="J2" s="24"/>
      <c r="K2" s="24"/>
      <c r="L2" s="24"/>
      <c r="M2" s="24"/>
      <c r="N2" s="52"/>
      <c r="O2" s="24"/>
    </row>
    <row r="3" s="18" customFormat="1" ht="10.8" spans="1:15">
      <c r="A3" s="25" t="s">
        <v>48</v>
      </c>
      <c r="B3" s="26" t="s">
        <v>49</v>
      </c>
      <c r="C3" s="26" t="s">
        <v>50</v>
      </c>
      <c r="D3" s="25" t="s">
        <v>30</v>
      </c>
      <c r="E3" s="25" t="s">
        <v>51</v>
      </c>
      <c r="F3" s="25" t="s">
        <v>52</v>
      </c>
      <c r="G3" s="25"/>
      <c r="H3" s="25"/>
      <c r="I3" s="25"/>
      <c r="J3" s="25"/>
      <c r="K3" s="25"/>
      <c r="L3" s="25"/>
      <c r="M3" s="25" t="s">
        <v>53</v>
      </c>
      <c r="N3" s="53" t="s">
        <v>54</v>
      </c>
      <c r="O3" s="25" t="s">
        <v>55</v>
      </c>
    </row>
    <row r="4" s="18" customFormat="1" ht="51" customHeight="1" spans="1:15">
      <c r="A4" s="25"/>
      <c r="B4" s="26"/>
      <c r="C4" s="26"/>
      <c r="D4" s="25"/>
      <c r="E4" s="25"/>
      <c r="F4" s="25" t="s">
        <v>56</v>
      </c>
      <c r="G4" s="25" t="s">
        <v>57</v>
      </c>
      <c r="H4" s="25" t="s">
        <v>58</v>
      </c>
      <c r="I4" s="25" t="s">
        <v>59</v>
      </c>
      <c r="J4" s="25" t="s">
        <v>60</v>
      </c>
      <c r="K4" s="25" t="s">
        <v>61</v>
      </c>
      <c r="L4" s="25" t="s">
        <v>62</v>
      </c>
      <c r="M4" s="25"/>
      <c r="N4" s="53"/>
      <c r="O4" s="25"/>
    </row>
    <row r="5" s="18" customFormat="1" ht="21.6" spans="1:15">
      <c r="A5" s="25"/>
      <c r="B5" s="26"/>
      <c r="C5" s="26"/>
      <c r="D5" s="25"/>
      <c r="E5" s="25"/>
      <c r="F5" s="25"/>
      <c r="G5" s="25" t="s">
        <v>63</v>
      </c>
      <c r="H5" s="25" t="s">
        <v>64</v>
      </c>
      <c r="I5" s="25" t="s">
        <v>65</v>
      </c>
      <c r="J5" s="25"/>
      <c r="K5" s="54">
        <v>0.02</v>
      </c>
      <c r="L5" s="54">
        <v>0.09</v>
      </c>
      <c r="M5" s="25"/>
      <c r="N5" s="53"/>
      <c r="O5" s="25"/>
    </row>
    <row r="6" s="19" customFormat="1" ht="23" customHeight="1" spans="1:15">
      <c r="A6" s="27"/>
      <c r="B6" s="28" t="s">
        <v>664</v>
      </c>
      <c r="C6" s="29"/>
      <c r="D6" s="27"/>
      <c r="E6" s="25"/>
      <c r="F6" s="30"/>
      <c r="G6" s="31">
        <f>H6*(1+I6)</f>
        <v>0</v>
      </c>
      <c r="H6" s="30"/>
      <c r="I6" s="54"/>
      <c r="J6" s="53"/>
      <c r="K6" s="53"/>
      <c r="L6" s="53"/>
      <c r="M6" s="55">
        <f>F6+G6+J6+K6+L6</f>
        <v>0</v>
      </c>
      <c r="N6" s="53">
        <f>E6*M6</f>
        <v>0</v>
      </c>
      <c r="O6" s="56"/>
    </row>
    <row r="7" customFormat="1" ht="32" customHeight="1" spans="1:15">
      <c r="A7" s="25">
        <v>127</v>
      </c>
      <c r="B7" s="32" t="s">
        <v>289</v>
      </c>
      <c r="C7" s="33"/>
      <c r="D7" s="33"/>
      <c r="E7" s="33"/>
      <c r="F7" s="30"/>
      <c r="G7" s="31">
        <f t="shared" ref="G7:G9" si="0">H7*(1+I7)</f>
        <v>0</v>
      </c>
      <c r="H7" s="30"/>
      <c r="I7" s="54"/>
      <c r="J7" s="53"/>
      <c r="K7" s="53"/>
      <c r="L7" s="53"/>
      <c r="M7" s="55">
        <f t="shared" ref="M7:M9" si="1">F7+G7+J7+K7+L7</f>
        <v>0</v>
      </c>
      <c r="N7" s="53">
        <f t="shared" ref="N7:N9" si="2">E7*M7</f>
        <v>0</v>
      </c>
      <c r="O7" s="33"/>
    </row>
    <row r="8" customFormat="1" ht="30" customHeight="1" spans="1:15">
      <c r="A8" s="25">
        <v>128</v>
      </c>
      <c r="B8" s="26" t="s">
        <v>290</v>
      </c>
      <c r="C8" s="26" t="s">
        <v>291</v>
      </c>
      <c r="D8" s="25" t="s">
        <v>292</v>
      </c>
      <c r="E8" s="34">
        <v>138.8</v>
      </c>
      <c r="F8" s="30">
        <v>80</v>
      </c>
      <c r="G8" s="31">
        <f t="shared" si="0"/>
        <v>100</v>
      </c>
      <c r="H8" s="30">
        <v>100</v>
      </c>
      <c r="I8" s="54">
        <v>0</v>
      </c>
      <c r="J8" s="53">
        <v>10</v>
      </c>
      <c r="K8" s="53">
        <f>(F8+G8+J8)*K5</f>
        <v>3.8</v>
      </c>
      <c r="L8" s="53">
        <f>(F8+G8+J8+K8)*L5</f>
        <v>17.442</v>
      </c>
      <c r="M8" s="55">
        <f t="shared" si="1"/>
        <v>211.242</v>
      </c>
      <c r="N8" s="53">
        <f t="shared" si="2"/>
        <v>29320.3896</v>
      </c>
      <c r="O8" s="33"/>
    </row>
    <row r="9" customFormat="1" ht="30" customHeight="1" spans="1:15">
      <c r="A9" s="25">
        <v>129</v>
      </c>
      <c r="B9" s="35" t="s">
        <v>293</v>
      </c>
      <c r="C9" s="26" t="s">
        <v>294</v>
      </c>
      <c r="D9" s="36" t="s">
        <v>85</v>
      </c>
      <c r="E9" s="37">
        <v>6</v>
      </c>
      <c r="F9" s="30">
        <v>100</v>
      </c>
      <c r="G9" s="31">
        <f t="shared" si="0"/>
        <v>120</v>
      </c>
      <c r="H9" s="30">
        <v>120</v>
      </c>
      <c r="I9" s="54">
        <v>0</v>
      </c>
      <c r="J9" s="53">
        <v>15</v>
      </c>
      <c r="K9" s="53">
        <f>(F9+G9+J9)*K5</f>
        <v>4.7</v>
      </c>
      <c r="L9" s="53">
        <f>(F9+G9+J9+K9)*L5</f>
        <v>21.573</v>
      </c>
      <c r="M9" s="55">
        <f t="shared" si="1"/>
        <v>261.273</v>
      </c>
      <c r="N9" s="53">
        <f t="shared" si="2"/>
        <v>1567.638</v>
      </c>
      <c r="O9" s="33"/>
    </row>
    <row r="10" customFormat="1" ht="30" customHeight="1" spans="1:15">
      <c r="A10" s="34" t="s">
        <v>295</v>
      </c>
      <c r="B10" s="38" t="s">
        <v>296</v>
      </c>
      <c r="C10" s="38" t="s">
        <v>297</v>
      </c>
      <c r="D10" s="34" t="s">
        <v>298</v>
      </c>
      <c r="E10" s="34"/>
      <c r="F10" s="39"/>
      <c r="G10" s="40"/>
      <c r="H10" s="39"/>
      <c r="I10" s="57"/>
      <c r="J10" s="58"/>
      <c r="K10" s="58"/>
      <c r="L10" s="58"/>
      <c r="M10" s="59"/>
      <c r="N10" s="58"/>
      <c r="O10" s="33"/>
    </row>
    <row r="11" customFormat="1" ht="30" customHeight="1" spans="1:15">
      <c r="A11" s="34" t="s">
        <v>299</v>
      </c>
      <c r="B11" s="38" t="s">
        <v>300</v>
      </c>
      <c r="C11" s="38" t="s">
        <v>665</v>
      </c>
      <c r="D11" s="34" t="s">
        <v>292</v>
      </c>
      <c r="E11" s="34">
        <v>31</v>
      </c>
      <c r="F11" s="39">
        <v>90</v>
      </c>
      <c r="G11" s="40">
        <f t="shared" ref="G11:G18" si="3">H11*(1+I11)</f>
        <v>0</v>
      </c>
      <c r="H11" s="39">
        <v>0</v>
      </c>
      <c r="I11" s="57">
        <v>0</v>
      </c>
      <c r="J11" s="58">
        <v>10</v>
      </c>
      <c r="K11" s="58">
        <f>(F11+G11+J11)*K5</f>
        <v>2</v>
      </c>
      <c r="L11" s="58">
        <f>(F11+G11+J11+K11)</f>
        <v>102</v>
      </c>
      <c r="M11" s="59">
        <f t="shared" ref="M11:M18" si="4">F11+G11+J11+K11+L11</f>
        <v>204</v>
      </c>
      <c r="N11" s="58">
        <f t="shared" ref="N11:N18" si="5">E11*M11</f>
        <v>6324</v>
      </c>
      <c r="O11" s="33"/>
    </row>
    <row r="12" customFormat="1" ht="30" customHeight="1" spans="1:15">
      <c r="A12" s="34" t="s">
        <v>302</v>
      </c>
      <c r="B12" s="38" t="s">
        <v>303</v>
      </c>
      <c r="C12" s="38" t="s">
        <v>666</v>
      </c>
      <c r="D12" s="37" t="s">
        <v>35</v>
      </c>
      <c r="E12" s="37">
        <v>1</v>
      </c>
      <c r="F12" s="39">
        <v>2500</v>
      </c>
      <c r="G12" s="40">
        <f t="shared" si="3"/>
        <v>4500</v>
      </c>
      <c r="H12" s="39">
        <v>4500</v>
      </c>
      <c r="I12" s="57">
        <v>0</v>
      </c>
      <c r="J12" s="58">
        <v>1000</v>
      </c>
      <c r="K12" s="58">
        <f>(F12+G12+J12)*K5</f>
        <v>160</v>
      </c>
      <c r="L12" s="58">
        <f>(F12+G12+J12+K12)*L5</f>
        <v>734.4</v>
      </c>
      <c r="M12" s="59">
        <f t="shared" si="4"/>
        <v>8894.4</v>
      </c>
      <c r="N12" s="58">
        <f t="shared" si="5"/>
        <v>8894.4</v>
      </c>
      <c r="O12" s="60" t="s">
        <v>305</v>
      </c>
    </row>
    <row r="13" customFormat="1" ht="30" customHeight="1" spans="1:15">
      <c r="A13" s="34" t="s">
        <v>306</v>
      </c>
      <c r="B13" s="38" t="s">
        <v>307</v>
      </c>
      <c r="C13" s="38" t="s">
        <v>667</v>
      </c>
      <c r="D13" s="34" t="s">
        <v>292</v>
      </c>
      <c r="E13" s="34">
        <v>36.5</v>
      </c>
      <c r="F13" s="39">
        <v>150</v>
      </c>
      <c r="G13" s="40">
        <f t="shared" si="3"/>
        <v>0</v>
      </c>
      <c r="H13" s="39">
        <v>0</v>
      </c>
      <c r="I13" s="57">
        <v>0</v>
      </c>
      <c r="J13" s="58">
        <v>20</v>
      </c>
      <c r="K13" s="58">
        <f>(F13+G13+J13)*K5</f>
        <v>3.4</v>
      </c>
      <c r="L13" s="58">
        <f>(F13+G13+J13+K13)*L5</f>
        <v>15.606</v>
      </c>
      <c r="M13" s="59">
        <f t="shared" si="4"/>
        <v>189.006</v>
      </c>
      <c r="N13" s="58">
        <f t="shared" si="5"/>
        <v>6898.719</v>
      </c>
      <c r="O13" s="33"/>
    </row>
    <row r="14" customFormat="1" ht="30" customHeight="1" spans="1:15">
      <c r="A14" s="34" t="s">
        <v>309</v>
      </c>
      <c r="B14" s="41" t="s">
        <v>310</v>
      </c>
      <c r="C14" s="38" t="s">
        <v>311</v>
      </c>
      <c r="D14" s="37" t="s">
        <v>35</v>
      </c>
      <c r="E14" s="37">
        <v>1</v>
      </c>
      <c r="F14" s="39">
        <v>2200</v>
      </c>
      <c r="G14" s="40">
        <f t="shared" si="3"/>
        <v>6000</v>
      </c>
      <c r="H14" s="39">
        <v>6000</v>
      </c>
      <c r="I14" s="57">
        <v>0</v>
      </c>
      <c r="J14" s="58">
        <v>1000</v>
      </c>
      <c r="K14" s="58">
        <f>(F14+G14+J14)*K5</f>
        <v>184</v>
      </c>
      <c r="L14" s="58">
        <f>(F14+G14+J14+K14)*L5</f>
        <v>844.56</v>
      </c>
      <c r="M14" s="59">
        <f t="shared" si="4"/>
        <v>10228.56</v>
      </c>
      <c r="N14" s="58">
        <f t="shared" si="5"/>
        <v>10228.56</v>
      </c>
      <c r="O14" s="60" t="s">
        <v>305</v>
      </c>
    </row>
    <row r="15" s="4" customFormat="1" ht="29" customHeight="1" spans="1:15">
      <c r="A15" s="25">
        <v>254</v>
      </c>
      <c r="B15" s="42" t="s">
        <v>668</v>
      </c>
      <c r="C15" s="33"/>
      <c r="D15" s="33"/>
      <c r="E15" s="33"/>
      <c r="F15" s="30"/>
      <c r="G15" s="31">
        <f t="shared" si="3"/>
        <v>0</v>
      </c>
      <c r="H15" s="30"/>
      <c r="I15" s="54"/>
      <c r="J15" s="53"/>
      <c r="K15" s="53"/>
      <c r="L15" s="53"/>
      <c r="M15" s="55">
        <f t="shared" si="4"/>
        <v>0</v>
      </c>
      <c r="N15" s="53">
        <f t="shared" si="5"/>
        <v>0</v>
      </c>
      <c r="O15" s="61"/>
    </row>
    <row r="16" s="4" customFormat="1" ht="47" customHeight="1" spans="1:15">
      <c r="A16" s="25">
        <v>255</v>
      </c>
      <c r="B16" s="43" t="s">
        <v>442</v>
      </c>
      <c r="C16" s="26" t="s">
        <v>443</v>
      </c>
      <c r="D16" s="36" t="s">
        <v>444</v>
      </c>
      <c r="E16" s="36">
        <v>21</v>
      </c>
      <c r="F16" s="30">
        <v>90</v>
      </c>
      <c r="G16" s="31">
        <f t="shared" si="3"/>
        <v>0</v>
      </c>
      <c r="H16" s="30">
        <v>0</v>
      </c>
      <c r="I16" s="54">
        <v>0</v>
      </c>
      <c r="J16" s="53">
        <v>10</v>
      </c>
      <c r="K16" s="53">
        <f>(F16+G16+J16)*K5</f>
        <v>2</v>
      </c>
      <c r="L16" s="53">
        <f>(F16+G16+J16+K16)*L5</f>
        <v>9.18</v>
      </c>
      <c r="M16" s="55">
        <f t="shared" si="4"/>
        <v>111.18</v>
      </c>
      <c r="N16" s="53">
        <f t="shared" si="5"/>
        <v>2334.78</v>
      </c>
      <c r="O16" s="61"/>
    </row>
    <row r="17" s="4" customFormat="1" ht="47" customHeight="1" spans="1:15">
      <c r="A17" s="25">
        <v>256</v>
      </c>
      <c r="B17" s="41" t="s">
        <v>293</v>
      </c>
      <c r="C17" s="38" t="s">
        <v>294</v>
      </c>
      <c r="D17" s="37" t="s">
        <v>85</v>
      </c>
      <c r="E17" s="37">
        <v>2</v>
      </c>
      <c r="F17" s="39">
        <v>100</v>
      </c>
      <c r="G17" s="40">
        <f t="shared" si="3"/>
        <v>120</v>
      </c>
      <c r="H17" s="39">
        <v>120</v>
      </c>
      <c r="I17" s="57">
        <v>0</v>
      </c>
      <c r="J17" s="58">
        <v>15</v>
      </c>
      <c r="K17" s="58">
        <f>(F17+G17+J17)*K5</f>
        <v>4.7</v>
      </c>
      <c r="L17" s="58">
        <f>(F17+G17+J17+K17)*L5</f>
        <v>21.573</v>
      </c>
      <c r="M17" s="59">
        <f t="shared" si="4"/>
        <v>261.273</v>
      </c>
      <c r="N17" s="58">
        <f t="shared" si="5"/>
        <v>522.546</v>
      </c>
      <c r="O17" s="61"/>
    </row>
    <row r="18" customFormat="1" ht="30" customHeight="1" spans="1:15">
      <c r="A18" s="25">
        <v>257</v>
      </c>
      <c r="B18" s="38" t="s">
        <v>290</v>
      </c>
      <c r="C18" s="38" t="s">
        <v>291</v>
      </c>
      <c r="D18" s="34" t="s">
        <v>292</v>
      </c>
      <c r="E18" s="34">
        <v>51</v>
      </c>
      <c r="F18" s="39">
        <v>80</v>
      </c>
      <c r="G18" s="40">
        <f t="shared" si="3"/>
        <v>100</v>
      </c>
      <c r="H18" s="39">
        <v>100</v>
      </c>
      <c r="I18" s="57">
        <v>0</v>
      </c>
      <c r="J18" s="58">
        <v>10</v>
      </c>
      <c r="K18" s="58">
        <f>(F18+G18+J18)*K5</f>
        <v>3.8</v>
      </c>
      <c r="L18" s="58">
        <f>(F18+G18+J18+K18)*L5</f>
        <v>17.442</v>
      </c>
      <c r="M18" s="59">
        <f t="shared" si="4"/>
        <v>211.242</v>
      </c>
      <c r="N18" s="58">
        <f t="shared" si="5"/>
        <v>10773.342</v>
      </c>
      <c r="O18" s="61"/>
    </row>
    <row r="19" customFormat="1" ht="30" customHeight="1" spans="1:15">
      <c r="A19" s="25">
        <v>258</v>
      </c>
      <c r="B19" s="38" t="s">
        <v>296</v>
      </c>
      <c r="C19" s="38" t="s">
        <v>297</v>
      </c>
      <c r="D19" s="34"/>
      <c r="E19" s="34"/>
      <c r="F19" s="39"/>
      <c r="G19" s="40"/>
      <c r="H19" s="39"/>
      <c r="I19" s="57"/>
      <c r="J19" s="58"/>
      <c r="K19" s="58"/>
      <c r="L19" s="58"/>
      <c r="M19" s="59"/>
      <c r="N19" s="58"/>
      <c r="O19" s="61"/>
    </row>
    <row r="20" s="4" customFormat="1" ht="30" customHeight="1" spans="1:15">
      <c r="A20" s="25">
        <v>259</v>
      </c>
      <c r="B20" s="41" t="s">
        <v>445</v>
      </c>
      <c r="C20" s="38" t="s">
        <v>446</v>
      </c>
      <c r="D20" s="34" t="s">
        <v>298</v>
      </c>
      <c r="E20" s="37">
        <v>6</v>
      </c>
      <c r="F20" s="39">
        <v>150</v>
      </c>
      <c r="G20" s="40">
        <f t="shared" ref="G20:G22" si="6">H20*(1+I20)</f>
        <v>0</v>
      </c>
      <c r="H20" s="39">
        <v>0</v>
      </c>
      <c r="I20" s="57">
        <v>0</v>
      </c>
      <c r="J20" s="58">
        <v>10</v>
      </c>
      <c r="K20" s="58">
        <f>(F20+G20+J20)*K5</f>
        <v>3.2</v>
      </c>
      <c r="L20" s="58">
        <f>(F20+G20+J20+K20)*L5</f>
        <v>14.688</v>
      </c>
      <c r="M20" s="59">
        <f t="shared" ref="M20:M22" si="7">F20+G20+J20+K20+L20</f>
        <v>177.888</v>
      </c>
      <c r="N20" s="58">
        <f t="shared" ref="N20:N22" si="8">E20*M20</f>
        <v>1067.328</v>
      </c>
      <c r="O20" s="61"/>
    </row>
    <row r="21" s="4" customFormat="1" ht="30" customHeight="1" spans="1:15">
      <c r="A21" s="25">
        <v>260</v>
      </c>
      <c r="B21" s="41" t="s">
        <v>447</v>
      </c>
      <c r="C21" s="38" t="s">
        <v>448</v>
      </c>
      <c r="D21" s="37" t="s">
        <v>35</v>
      </c>
      <c r="E21" s="37">
        <v>1</v>
      </c>
      <c r="F21" s="39">
        <v>1500</v>
      </c>
      <c r="G21" s="40">
        <f t="shared" si="6"/>
        <v>0</v>
      </c>
      <c r="H21" s="39">
        <v>0</v>
      </c>
      <c r="I21" s="57">
        <v>0</v>
      </c>
      <c r="J21" s="58">
        <v>10</v>
      </c>
      <c r="K21" s="58">
        <f>(F21+G21+J21)*K5</f>
        <v>30.2</v>
      </c>
      <c r="L21" s="58">
        <f>(F21+G21+J21+K21)*L5</f>
        <v>138.618</v>
      </c>
      <c r="M21" s="59">
        <f t="shared" si="7"/>
        <v>1678.818</v>
      </c>
      <c r="N21" s="58">
        <f t="shared" si="8"/>
        <v>1678.818</v>
      </c>
      <c r="O21" s="61"/>
    </row>
    <row r="22" s="4" customFormat="1" ht="40" customHeight="1" spans="1:15">
      <c r="A22" s="25">
        <v>261</v>
      </c>
      <c r="B22" s="41" t="s">
        <v>449</v>
      </c>
      <c r="C22" s="38" t="s">
        <v>450</v>
      </c>
      <c r="D22" s="37" t="s">
        <v>35</v>
      </c>
      <c r="E22" s="37">
        <v>1</v>
      </c>
      <c r="F22" s="39">
        <v>1500</v>
      </c>
      <c r="G22" s="40">
        <f t="shared" si="6"/>
        <v>2000</v>
      </c>
      <c r="H22" s="39">
        <v>2000</v>
      </c>
      <c r="I22" s="57">
        <v>0</v>
      </c>
      <c r="J22" s="58">
        <v>500</v>
      </c>
      <c r="K22" s="58">
        <f>(F22+G22+J22)*K5</f>
        <v>80</v>
      </c>
      <c r="L22" s="58">
        <f>(F22+G22+J22+K22)*L5</f>
        <v>367.2</v>
      </c>
      <c r="M22" s="59">
        <f t="shared" si="7"/>
        <v>4447.2</v>
      </c>
      <c r="N22" s="58">
        <f t="shared" si="8"/>
        <v>4447.2</v>
      </c>
      <c r="O22" s="61"/>
    </row>
    <row r="23" s="20" customFormat="1" ht="34" customHeight="1" spans="1:15">
      <c r="A23" s="44"/>
      <c r="B23" s="45" t="s">
        <v>669</v>
      </c>
      <c r="C23" s="45"/>
      <c r="D23" s="44"/>
      <c r="E23" s="44"/>
      <c r="F23" s="44"/>
      <c r="G23" s="44"/>
      <c r="H23" s="46"/>
      <c r="I23" s="44"/>
      <c r="J23" s="44"/>
      <c r="K23" s="44"/>
      <c r="L23" s="44"/>
      <c r="M23" s="44"/>
      <c r="N23" s="62">
        <f>SUM(N8:N22)</f>
        <v>84057.7206</v>
      </c>
      <c r="O23" s="63"/>
    </row>
    <row r="24" s="19" customFormat="1" ht="23" customHeight="1" spans="1:15">
      <c r="A24" s="27"/>
      <c r="B24" s="28" t="s">
        <v>670</v>
      </c>
      <c r="C24" s="29"/>
      <c r="D24" s="27"/>
      <c r="E24" s="25"/>
      <c r="F24" s="30"/>
      <c r="G24" s="31">
        <f t="shared" ref="G24:G29" si="9">H24*(1+I24)</f>
        <v>0</v>
      </c>
      <c r="H24" s="30"/>
      <c r="I24" s="54"/>
      <c r="J24" s="53"/>
      <c r="K24" s="53"/>
      <c r="L24" s="53"/>
      <c r="M24" s="55">
        <f t="shared" ref="M24:M29" si="10">F24+G24+J24+K24+L24</f>
        <v>0</v>
      </c>
      <c r="N24" s="53">
        <f t="shared" ref="N24:N29" si="11">E24*M24</f>
        <v>0</v>
      </c>
      <c r="O24" s="56"/>
    </row>
    <row r="25" s="21" customFormat="1" ht="31" customHeight="1" spans="1:15">
      <c r="A25" s="47">
        <v>1.18</v>
      </c>
      <c r="B25" s="26" t="s">
        <v>516</v>
      </c>
      <c r="C25" s="26" t="s">
        <v>517</v>
      </c>
      <c r="D25" s="27" t="s">
        <v>518</v>
      </c>
      <c r="E25" s="34">
        <v>470</v>
      </c>
      <c r="F25" s="30">
        <v>20</v>
      </c>
      <c r="G25" s="31">
        <f t="shared" si="9"/>
        <v>35</v>
      </c>
      <c r="H25" s="30">
        <v>35</v>
      </c>
      <c r="I25" s="54">
        <v>0</v>
      </c>
      <c r="J25" s="53">
        <v>5</v>
      </c>
      <c r="K25" s="53">
        <f>(F25+G25+J25)*K5</f>
        <v>1.2</v>
      </c>
      <c r="L25" s="53">
        <f>(F25+G25+J25+K25)*L5</f>
        <v>5.508</v>
      </c>
      <c r="M25" s="55">
        <f t="shared" si="10"/>
        <v>66.708</v>
      </c>
      <c r="N25" s="53">
        <f t="shared" si="11"/>
        <v>31352.76</v>
      </c>
      <c r="O25" s="64" t="s">
        <v>519</v>
      </c>
    </row>
    <row r="26" s="21" customFormat="1" ht="80" customHeight="1" spans="1:15">
      <c r="A26" s="48">
        <v>1.19</v>
      </c>
      <c r="B26" s="29" t="s">
        <v>520</v>
      </c>
      <c r="C26" s="29" t="s">
        <v>521</v>
      </c>
      <c r="D26" s="27" t="s">
        <v>69</v>
      </c>
      <c r="E26" s="34">
        <v>357</v>
      </c>
      <c r="F26" s="30">
        <v>40</v>
      </c>
      <c r="G26" s="31">
        <f t="shared" si="9"/>
        <v>95</v>
      </c>
      <c r="H26" s="30">
        <v>95</v>
      </c>
      <c r="I26" s="54">
        <v>0</v>
      </c>
      <c r="J26" s="53">
        <v>10</v>
      </c>
      <c r="K26" s="53">
        <f>(F26+G26+J26)*K5</f>
        <v>2.9</v>
      </c>
      <c r="L26" s="53">
        <f>(F26+G26+J26+K26)*L5</f>
        <v>13.311</v>
      </c>
      <c r="M26" s="55">
        <f t="shared" si="10"/>
        <v>161.211</v>
      </c>
      <c r="N26" s="53">
        <f t="shared" si="11"/>
        <v>57552.327</v>
      </c>
      <c r="O26" s="64" t="s">
        <v>522</v>
      </c>
    </row>
    <row r="27" s="19" customFormat="1" ht="48" customHeight="1" spans="1:15">
      <c r="A27" s="27">
        <v>2.1</v>
      </c>
      <c r="B27" s="49" t="s">
        <v>524</v>
      </c>
      <c r="C27" s="49" t="s">
        <v>525</v>
      </c>
      <c r="D27" s="27" t="s">
        <v>518</v>
      </c>
      <c r="E27" s="34">
        <v>470</v>
      </c>
      <c r="F27" s="30">
        <v>50</v>
      </c>
      <c r="G27" s="31">
        <f t="shared" si="9"/>
        <v>110</v>
      </c>
      <c r="H27" s="30">
        <v>110</v>
      </c>
      <c r="I27" s="54">
        <v>0</v>
      </c>
      <c r="J27" s="53">
        <v>20</v>
      </c>
      <c r="K27" s="53">
        <f>(F27+G27+J27)*K5</f>
        <v>3.6</v>
      </c>
      <c r="L27" s="53">
        <f>(F27+G27+J27+K27)*L5</f>
        <v>16.524</v>
      </c>
      <c r="M27" s="55">
        <f t="shared" si="10"/>
        <v>200.124</v>
      </c>
      <c r="N27" s="53">
        <f t="shared" si="11"/>
        <v>94058.28</v>
      </c>
      <c r="O27" s="65" t="s">
        <v>526</v>
      </c>
    </row>
    <row r="28" s="19" customFormat="1" ht="48" customHeight="1" spans="1:15">
      <c r="A28" s="27"/>
      <c r="B28" s="29" t="s">
        <v>629</v>
      </c>
      <c r="C28" s="29" t="s">
        <v>630</v>
      </c>
      <c r="D28" s="27" t="s">
        <v>35</v>
      </c>
      <c r="E28" s="50">
        <v>1</v>
      </c>
      <c r="F28" s="30">
        <v>600</v>
      </c>
      <c r="G28" s="31">
        <f t="shared" si="9"/>
        <v>1200</v>
      </c>
      <c r="H28" s="30">
        <v>1200</v>
      </c>
      <c r="I28" s="54">
        <v>0</v>
      </c>
      <c r="J28" s="53">
        <v>0</v>
      </c>
      <c r="K28" s="53">
        <f>(F28+G28+J28)*K5</f>
        <v>36</v>
      </c>
      <c r="L28" s="53">
        <f>(F28+G28+J28+K28)*L5</f>
        <v>165.24</v>
      </c>
      <c r="M28" s="55">
        <f t="shared" si="10"/>
        <v>2001.24</v>
      </c>
      <c r="N28" s="53">
        <f t="shared" si="11"/>
        <v>2001.24</v>
      </c>
      <c r="O28" s="56"/>
    </row>
    <row r="29" s="19" customFormat="1" ht="48" customHeight="1" spans="1:15">
      <c r="A29" s="27"/>
      <c r="B29" s="29" t="s">
        <v>656</v>
      </c>
      <c r="C29" s="49" t="s">
        <v>525</v>
      </c>
      <c r="D29" s="27" t="s">
        <v>518</v>
      </c>
      <c r="E29" s="50">
        <v>470</v>
      </c>
      <c r="F29" s="30">
        <v>10</v>
      </c>
      <c r="G29" s="31">
        <f t="shared" si="9"/>
        <v>15</v>
      </c>
      <c r="H29" s="30">
        <v>15</v>
      </c>
      <c r="I29" s="54">
        <v>0</v>
      </c>
      <c r="J29" s="53">
        <v>0</v>
      </c>
      <c r="K29" s="53">
        <f>(F29+G29+J29)*K5</f>
        <v>0.5</v>
      </c>
      <c r="L29" s="53">
        <f>(F29+G29+J29+K29)*L5</f>
        <v>2.295</v>
      </c>
      <c r="M29" s="55">
        <f t="shared" si="10"/>
        <v>27.795</v>
      </c>
      <c r="N29" s="53">
        <f t="shared" si="11"/>
        <v>13063.65</v>
      </c>
      <c r="O29" s="56" t="s">
        <v>657</v>
      </c>
    </row>
    <row r="30" s="20" customFormat="1" ht="34" customHeight="1" spans="1:15">
      <c r="A30" s="44"/>
      <c r="B30" s="45" t="s">
        <v>669</v>
      </c>
      <c r="C30" s="45"/>
      <c r="D30" s="44"/>
      <c r="E30" s="44"/>
      <c r="F30" s="44"/>
      <c r="G30" s="44"/>
      <c r="H30" s="46"/>
      <c r="I30" s="44"/>
      <c r="J30" s="44"/>
      <c r="K30" s="44"/>
      <c r="L30" s="44"/>
      <c r="M30" s="44"/>
      <c r="N30" s="62">
        <f>SUM(N25:N29)</f>
        <v>198028.257</v>
      </c>
      <c r="O30" s="63"/>
    </row>
    <row r="31" s="20" customFormat="1" ht="34" customHeight="1" spans="1:15">
      <c r="A31" s="44"/>
      <c r="B31" s="45" t="s">
        <v>669</v>
      </c>
      <c r="C31" s="45"/>
      <c r="D31" s="44"/>
      <c r="E31" s="44"/>
      <c r="F31" s="44"/>
      <c r="G31" s="44"/>
      <c r="H31" s="46"/>
      <c r="I31" s="44"/>
      <c r="J31" s="44"/>
      <c r="K31" s="44"/>
      <c r="L31" s="44"/>
      <c r="M31" s="44"/>
      <c r="N31" s="66">
        <f>N30+N23</f>
        <v>282085.9776</v>
      </c>
      <c r="O31" s="63"/>
    </row>
    <row r="32" ht="37" customHeight="1" spans="12:12">
      <c r="L32" s="67"/>
    </row>
  </sheetData>
  <mergeCells count="18">
    <mergeCell ref="A1:O1"/>
    <mergeCell ref="A2:F2"/>
    <mergeCell ref="G2:M2"/>
    <mergeCell ref="N2:O2"/>
    <mergeCell ref="F3:L3"/>
    <mergeCell ref="B23:C23"/>
    <mergeCell ref="B30:C30"/>
    <mergeCell ref="B31:C31"/>
    <mergeCell ref="A3:A5"/>
    <mergeCell ref="B3:B5"/>
    <mergeCell ref="C3:C5"/>
    <mergeCell ref="D3:D5"/>
    <mergeCell ref="E3:E5"/>
    <mergeCell ref="F4:F5"/>
    <mergeCell ref="J4:J5"/>
    <mergeCell ref="M3:M5"/>
    <mergeCell ref="N3:N5"/>
    <mergeCell ref="O3:O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F15" sqref="F15"/>
    </sheetView>
  </sheetViews>
  <sheetFormatPr defaultColWidth="9.13888888888889" defaultRowHeight="13.2"/>
  <cols>
    <col min="1" max="1" width="8" style="3" customWidth="1"/>
    <col min="2" max="2" width="27.1388888888889" style="4"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5" t="s">
        <v>671</v>
      </c>
      <c r="B1" s="6"/>
      <c r="C1" s="5"/>
      <c r="D1" s="5"/>
      <c r="E1" s="5"/>
      <c r="F1" s="5"/>
      <c r="G1" s="5"/>
      <c r="I1" s="5" t="s">
        <v>672</v>
      </c>
      <c r="J1" s="6"/>
      <c r="K1" s="5"/>
      <c r="L1" s="5"/>
      <c r="M1" s="5"/>
      <c r="N1" s="5"/>
      <c r="O1" s="5"/>
      <c r="Q1" s="5" t="s">
        <v>673</v>
      </c>
      <c r="R1" s="6"/>
      <c r="S1" s="5"/>
      <c r="T1" s="5"/>
      <c r="U1" s="5"/>
      <c r="V1" s="5"/>
      <c r="W1" s="5"/>
      <c r="Y1" s="5" t="s">
        <v>674</v>
      </c>
      <c r="Z1" s="6"/>
      <c r="AA1" s="5"/>
      <c r="AB1" s="5"/>
      <c r="AC1" s="5"/>
      <c r="AD1" s="5"/>
      <c r="AE1" s="5"/>
    </row>
    <row r="2" s="1" customFormat="1" ht="38.1" customHeight="1" spans="1:31">
      <c r="A2" s="7" t="s">
        <v>48</v>
      </c>
      <c r="B2" s="8" t="s">
        <v>29</v>
      </c>
      <c r="C2" s="7" t="s">
        <v>30</v>
      </c>
      <c r="D2" s="7" t="s">
        <v>675</v>
      </c>
      <c r="E2" s="7" t="s">
        <v>676</v>
      </c>
      <c r="F2" s="7" t="s">
        <v>462</v>
      </c>
      <c r="G2" s="7" t="s">
        <v>32</v>
      </c>
      <c r="I2" s="7" t="s">
        <v>48</v>
      </c>
      <c r="J2" s="8" t="s">
        <v>29</v>
      </c>
      <c r="K2" s="7" t="s">
        <v>30</v>
      </c>
      <c r="L2" s="7" t="s">
        <v>675</v>
      </c>
      <c r="M2" s="7" t="s">
        <v>676</v>
      </c>
      <c r="N2" s="7" t="s">
        <v>462</v>
      </c>
      <c r="O2" s="7" t="s">
        <v>32</v>
      </c>
      <c r="Q2" s="7" t="s">
        <v>48</v>
      </c>
      <c r="R2" s="8" t="s">
        <v>29</v>
      </c>
      <c r="S2" s="7" t="s">
        <v>30</v>
      </c>
      <c r="T2" s="7" t="s">
        <v>675</v>
      </c>
      <c r="U2" s="7" t="s">
        <v>676</v>
      </c>
      <c r="V2" s="7" t="s">
        <v>462</v>
      </c>
      <c r="W2" s="7" t="s">
        <v>32</v>
      </c>
      <c r="Y2" s="7" t="s">
        <v>48</v>
      </c>
      <c r="Z2" s="8" t="s">
        <v>29</v>
      </c>
      <c r="AA2" s="7" t="s">
        <v>30</v>
      </c>
      <c r="AB2" s="7" t="s">
        <v>675</v>
      </c>
      <c r="AC2" s="7" t="s">
        <v>676</v>
      </c>
      <c r="AD2" s="7" t="s">
        <v>462</v>
      </c>
      <c r="AE2" s="7" t="s">
        <v>32</v>
      </c>
    </row>
    <row r="3" s="2" customFormat="1" ht="38.1" customHeight="1" spans="1:31">
      <c r="A3" s="7"/>
      <c r="B3" s="9" t="s">
        <v>677</v>
      </c>
      <c r="C3" s="10"/>
      <c r="D3" s="10"/>
      <c r="E3" s="10"/>
      <c r="F3" s="10"/>
      <c r="G3" s="10"/>
      <c r="I3" s="7"/>
      <c r="J3" s="9" t="s">
        <v>677</v>
      </c>
      <c r="K3" s="10"/>
      <c r="L3" s="10"/>
      <c r="M3" s="10"/>
      <c r="N3" s="10"/>
      <c r="O3" s="10"/>
      <c r="Q3" s="7"/>
      <c r="R3" s="9" t="s">
        <v>677</v>
      </c>
      <c r="S3" s="10"/>
      <c r="T3" s="10"/>
      <c r="U3" s="10"/>
      <c r="V3" s="10"/>
      <c r="W3" s="10"/>
      <c r="Y3" s="7"/>
      <c r="Z3" s="9" t="s">
        <v>677</v>
      </c>
      <c r="AA3" s="10"/>
      <c r="AB3" s="10"/>
      <c r="AC3" s="10"/>
      <c r="AD3" s="10"/>
      <c r="AE3" s="10"/>
    </row>
    <row r="4" ht="48.95" customHeight="1" spans="1:31">
      <c r="A4" s="11">
        <v>1</v>
      </c>
      <c r="B4" s="12" t="s">
        <v>678</v>
      </c>
      <c r="C4" s="13" t="s">
        <v>679</v>
      </c>
      <c r="D4" s="14">
        <v>2</v>
      </c>
      <c r="E4" s="14"/>
      <c r="F4" s="14"/>
      <c r="G4" s="14"/>
      <c r="I4" s="11">
        <v>1</v>
      </c>
      <c r="J4" s="12" t="s">
        <v>678</v>
      </c>
      <c r="K4" s="13" t="s">
        <v>679</v>
      </c>
      <c r="L4" s="14">
        <v>2</v>
      </c>
      <c r="M4" s="14"/>
      <c r="N4" s="14"/>
      <c r="O4" s="14"/>
      <c r="Q4" s="11">
        <v>1</v>
      </c>
      <c r="R4" s="12" t="s">
        <v>678</v>
      </c>
      <c r="S4" s="13" t="s">
        <v>679</v>
      </c>
      <c r="T4" s="14">
        <v>2</v>
      </c>
      <c r="U4" s="14"/>
      <c r="V4" s="14"/>
      <c r="W4" s="14"/>
      <c r="Y4" s="11">
        <v>1</v>
      </c>
      <c r="Z4" s="12" t="s">
        <v>678</v>
      </c>
      <c r="AA4" s="13" t="s">
        <v>679</v>
      </c>
      <c r="AB4" s="14">
        <v>2</v>
      </c>
      <c r="AC4" s="14"/>
      <c r="AD4" s="14"/>
      <c r="AE4" s="14"/>
    </row>
    <row r="5" ht="48.95" customHeight="1" spans="1:31">
      <c r="A5" s="11">
        <v>3</v>
      </c>
      <c r="B5" s="15" t="s">
        <v>680</v>
      </c>
      <c r="C5" s="14" t="s">
        <v>85</v>
      </c>
      <c r="D5" s="14">
        <f>5.17*2</f>
        <v>10.34</v>
      </c>
      <c r="E5" s="14">
        <v>30.62</v>
      </c>
      <c r="F5" s="14">
        <f>E5*D5</f>
        <v>316.6108</v>
      </c>
      <c r="G5" s="14"/>
      <c r="I5" s="11">
        <v>3</v>
      </c>
      <c r="J5" s="15" t="s">
        <v>680</v>
      </c>
      <c r="K5" s="14" t="s">
        <v>85</v>
      </c>
      <c r="L5" s="14">
        <f>5.17*2</f>
        <v>10.34</v>
      </c>
      <c r="M5" s="14">
        <v>30.62</v>
      </c>
      <c r="N5" s="14">
        <f>M5*L5</f>
        <v>316.6108</v>
      </c>
      <c r="O5" s="14"/>
      <c r="Q5" s="11">
        <v>3</v>
      </c>
      <c r="R5" s="15" t="s">
        <v>680</v>
      </c>
      <c r="S5" s="14" t="s">
        <v>85</v>
      </c>
      <c r="T5" s="14">
        <f>5.17*2</f>
        <v>10.34</v>
      </c>
      <c r="U5" s="14">
        <v>30.62</v>
      </c>
      <c r="V5" s="14">
        <f>U5*T5</f>
        <v>316.6108</v>
      </c>
      <c r="W5" s="14"/>
      <c r="Y5" s="11">
        <v>3</v>
      </c>
      <c r="Z5" s="15" t="s">
        <v>680</v>
      </c>
      <c r="AA5" s="14" t="s">
        <v>85</v>
      </c>
      <c r="AB5" s="14">
        <f>5.17*2</f>
        <v>10.34</v>
      </c>
      <c r="AC5" s="14">
        <v>30.62</v>
      </c>
      <c r="AD5" s="14">
        <f>AC5*AB5</f>
        <v>316.6108</v>
      </c>
      <c r="AE5" s="14"/>
    </row>
    <row r="6" ht="48.95" customHeight="1" spans="1:31">
      <c r="A6" s="11">
        <v>4</v>
      </c>
      <c r="B6" s="15" t="s">
        <v>681</v>
      </c>
      <c r="C6" s="14" t="s">
        <v>85</v>
      </c>
      <c r="D6" s="14">
        <f>5.17*8</f>
        <v>41.36</v>
      </c>
      <c r="E6" s="14">
        <v>8</v>
      </c>
      <c r="F6" s="14">
        <f>E6*D6</f>
        <v>330.88</v>
      </c>
      <c r="G6" s="14"/>
      <c r="I6" s="11">
        <v>4</v>
      </c>
      <c r="J6" s="15" t="s">
        <v>681</v>
      </c>
      <c r="K6" s="14" t="s">
        <v>85</v>
      </c>
      <c r="L6" s="14">
        <f>5.17*8</f>
        <v>41.36</v>
      </c>
      <c r="M6" s="14">
        <v>8</v>
      </c>
      <c r="N6" s="14">
        <f>M6*L6</f>
        <v>330.88</v>
      </c>
      <c r="O6" s="14"/>
      <c r="Q6" s="11">
        <v>4</v>
      </c>
      <c r="R6" s="15" t="s">
        <v>681</v>
      </c>
      <c r="S6" s="14" t="s">
        <v>85</v>
      </c>
      <c r="T6" s="14">
        <f>5.17*8</f>
        <v>41.36</v>
      </c>
      <c r="U6" s="14">
        <v>8</v>
      </c>
      <c r="V6" s="14">
        <f>U6*T6</f>
        <v>330.88</v>
      </c>
      <c r="W6" s="14"/>
      <c r="Y6" s="11">
        <v>4</v>
      </c>
      <c r="Z6" s="15" t="s">
        <v>681</v>
      </c>
      <c r="AA6" s="14" t="s">
        <v>85</v>
      </c>
      <c r="AB6" s="14">
        <f>5.17*8</f>
        <v>41.36</v>
      </c>
      <c r="AC6" s="14">
        <v>8</v>
      </c>
      <c r="AD6" s="14">
        <f>AC6*AB6</f>
        <v>330.88</v>
      </c>
      <c r="AE6" s="14"/>
    </row>
    <row r="7" ht="48.95" customHeight="1" spans="1:31">
      <c r="A7" s="11">
        <v>5</v>
      </c>
      <c r="B7" s="15" t="s">
        <v>682</v>
      </c>
      <c r="C7" s="14" t="s">
        <v>85</v>
      </c>
      <c r="D7" s="14">
        <f>(0.575+0.495+0.858+0.11+0.19+0.787+0.148+0.148+0.475+0.675+0.495+0.855)*6</f>
        <v>34.866</v>
      </c>
      <c r="E7" s="14">
        <v>3.06</v>
      </c>
      <c r="F7" s="14">
        <f t="shared" ref="F7:F21" si="0">E7*D7</f>
        <v>106.68996</v>
      </c>
      <c r="G7" s="14"/>
      <c r="I7" s="11">
        <v>5</v>
      </c>
      <c r="J7" s="15" t="s">
        <v>682</v>
      </c>
      <c r="K7" s="14" t="s">
        <v>85</v>
      </c>
      <c r="L7" s="14">
        <f>(0.575+0.495+0.858+0.11+0.19+0.787+0.148+0.148+0.475+0.675+0.495+0.855)*6</f>
        <v>34.866</v>
      </c>
      <c r="M7" s="14">
        <v>3.06</v>
      </c>
      <c r="N7" s="14">
        <f t="shared" ref="N7:N16" si="1">M7*L7</f>
        <v>106.68996</v>
      </c>
      <c r="O7" s="14"/>
      <c r="Q7" s="11">
        <v>5</v>
      </c>
      <c r="R7" s="15" t="s">
        <v>682</v>
      </c>
      <c r="S7" s="14" t="s">
        <v>85</v>
      </c>
      <c r="T7" s="14">
        <f>(0.575+0.495+0.858+0.11+0.19+0.787+0.148+0.148+0.475+0.675+0.495+0.855)*6</f>
        <v>34.866</v>
      </c>
      <c r="U7" s="14">
        <v>3.06</v>
      </c>
      <c r="V7" s="14">
        <f t="shared" ref="V7:V16" si="2">U7*T7</f>
        <v>106.68996</v>
      </c>
      <c r="W7" s="14"/>
      <c r="Y7" s="11">
        <v>5</v>
      </c>
      <c r="Z7" s="15" t="s">
        <v>682</v>
      </c>
      <c r="AA7" s="14" t="s">
        <v>85</v>
      </c>
      <c r="AB7" s="14">
        <f>(0.575+0.495+0.858+0.11+0.19+0.787+0.148+0.148+0.475+0.675+0.495+0.855)*6</f>
        <v>34.866</v>
      </c>
      <c r="AC7" s="14">
        <v>3.06</v>
      </c>
      <c r="AD7" s="14">
        <f t="shared" ref="AD7:AD16" si="3">AC7*AB7</f>
        <v>106.68996</v>
      </c>
      <c r="AE7" s="14"/>
    </row>
    <row r="8" ht="48.95" customHeight="1" spans="1:31">
      <c r="A8" s="11">
        <v>6</v>
      </c>
      <c r="B8" s="15" t="s">
        <v>683</v>
      </c>
      <c r="C8" s="14" t="s">
        <v>85</v>
      </c>
      <c r="D8" s="14">
        <f>(0.185*2+0.085*2+0.11*2+0.135+0.11*2+0.185*2+0.085*2+0.135)*6</f>
        <v>10.74</v>
      </c>
      <c r="E8" s="14">
        <v>10</v>
      </c>
      <c r="F8" s="14">
        <f t="shared" si="0"/>
        <v>107.4</v>
      </c>
      <c r="G8" s="14"/>
      <c r="I8" s="11">
        <v>6</v>
      </c>
      <c r="J8" s="15" t="s">
        <v>683</v>
      </c>
      <c r="K8" s="14" t="s">
        <v>85</v>
      </c>
      <c r="L8" s="14">
        <f>(0.185*2+0.085*2+0.11*2+0.135+0.11*2+0.185*2+0.085*2+0.135)*6</f>
        <v>10.74</v>
      </c>
      <c r="M8" s="14">
        <v>10</v>
      </c>
      <c r="N8" s="14">
        <f t="shared" si="1"/>
        <v>107.4</v>
      </c>
      <c r="O8" s="14"/>
      <c r="Q8" s="11">
        <v>6</v>
      </c>
      <c r="R8" s="15" t="s">
        <v>683</v>
      </c>
      <c r="S8" s="14" t="s">
        <v>85</v>
      </c>
      <c r="T8" s="14">
        <f>(0.185*2+0.085*2+0.11*2+0.135+0.11*2+0.185*2+0.085*2+0.135)*6</f>
        <v>10.74</v>
      </c>
      <c r="U8" s="14">
        <v>10</v>
      </c>
      <c r="V8" s="14">
        <f t="shared" si="2"/>
        <v>107.4</v>
      </c>
      <c r="W8" s="14"/>
      <c r="Y8" s="11">
        <v>6</v>
      </c>
      <c r="Z8" s="15" t="s">
        <v>683</v>
      </c>
      <c r="AA8" s="14" t="s">
        <v>85</v>
      </c>
      <c r="AB8" s="14">
        <f>(0.185*2+0.085*2+0.11*2+0.135+0.11*2+0.185*2+0.085*2+0.135)*6</f>
        <v>10.74</v>
      </c>
      <c r="AC8" s="14">
        <v>10</v>
      </c>
      <c r="AD8" s="14">
        <f t="shared" si="3"/>
        <v>107.4</v>
      </c>
      <c r="AE8" s="14"/>
    </row>
    <row r="9" ht="78" customHeight="1" spans="1:31">
      <c r="A9" s="11">
        <v>7</v>
      </c>
      <c r="B9" s="12" t="s">
        <v>684</v>
      </c>
      <c r="C9" s="13" t="s">
        <v>679</v>
      </c>
      <c r="D9" s="14">
        <f>6*6</f>
        <v>36</v>
      </c>
      <c r="E9" s="14"/>
      <c r="F9" s="14">
        <f t="shared" si="0"/>
        <v>0</v>
      </c>
      <c r="G9" s="14"/>
      <c r="I9" s="11">
        <v>7</v>
      </c>
      <c r="J9" s="12" t="s">
        <v>684</v>
      </c>
      <c r="K9" s="13" t="s">
        <v>679</v>
      </c>
      <c r="L9" s="14">
        <f>6*6</f>
        <v>36</v>
      </c>
      <c r="M9" s="14"/>
      <c r="N9" s="14">
        <f t="shared" si="1"/>
        <v>0</v>
      </c>
      <c r="O9" s="14"/>
      <c r="Q9" s="11">
        <v>7</v>
      </c>
      <c r="R9" s="12" t="s">
        <v>684</v>
      </c>
      <c r="S9" s="13" t="s">
        <v>679</v>
      </c>
      <c r="T9" s="14">
        <f>6*6</f>
        <v>36</v>
      </c>
      <c r="U9" s="14"/>
      <c r="V9" s="14">
        <f t="shared" si="2"/>
        <v>0</v>
      </c>
      <c r="W9" s="14"/>
      <c r="Y9" s="11">
        <v>7</v>
      </c>
      <c r="Z9" s="12" t="s">
        <v>684</v>
      </c>
      <c r="AA9" s="13" t="s">
        <v>679</v>
      </c>
      <c r="AB9" s="14">
        <f>6*6</f>
        <v>36</v>
      </c>
      <c r="AC9" s="14"/>
      <c r="AD9" s="14">
        <f t="shared" si="3"/>
        <v>0</v>
      </c>
      <c r="AE9" s="14"/>
    </row>
    <row r="10" ht="78" customHeight="1" spans="1:31">
      <c r="A10" s="11"/>
      <c r="B10" s="12" t="s">
        <v>685</v>
      </c>
      <c r="C10" s="13"/>
      <c r="D10" s="14">
        <f>0.21*7</f>
        <v>1.47</v>
      </c>
      <c r="E10" s="14">
        <v>3.06</v>
      </c>
      <c r="F10" s="14">
        <f t="shared" si="0"/>
        <v>4.4982</v>
      </c>
      <c r="G10" s="14"/>
      <c r="I10" s="11"/>
      <c r="J10" s="12" t="s">
        <v>685</v>
      </c>
      <c r="K10" s="13"/>
      <c r="L10" s="14">
        <f>0.21*7</f>
        <v>1.47</v>
      </c>
      <c r="M10" s="14">
        <v>3.06</v>
      </c>
      <c r="N10" s="14">
        <f t="shared" si="1"/>
        <v>4.4982</v>
      </c>
      <c r="O10" s="14"/>
      <c r="Q10" s="11"/>
      <c r="R10" s="12" t="s">
        <v>685</v>
      </c>
      <c r="S10" s="13"/>
      <c r="T10" s="14">
        <f>0.21*7</f>
        <v>1.47</v>
      </c>
      <c r="U10" s="14">
        <v>3.06</v>
      </c>
      <c r="V10" s="14">
        <f t="shared" si="2"/>
        <v>4.4982</v>
      </c>
      <c r="W10" s="14"/>
      <c r="Y10" s="11"/>
      <c r="Z10" s="12" t="s">
        <v>685</v>
      </c>
      <c r="AA10" s="13"/>
      <c r="AB10" s="14">
        <f>0.21*7</f>
        <v>1.47</v>
      </c>
      <c r="AC10" s="14">
        <v>3.06</v>
      </c>
      <c r="AD10" s="14">
        <f t="shared" si="3"/>
        <v>4.4982</v>
      </c>
      <c r="AE10" s="14"/>
    </row>
    <row r="11" ht="42" customHeight="1" spans="1:31">
      <c r="A11" s="11"/>
      <c r="B11" s="16" t="s">
        <v>686</v>
      </c>
      <c r="C11" s="13"/>
      <c r="D11" s="14"/>
      <c r="E11" s="14"/>
      <c r="F11" s="14">
        <f t="shared" si="0"/>
        <v>0</v>
      </c>
      <c r="G11" s="14"/>
      <c r="I11" s="11"/>
      <c r="J11" s="16" t="s">
        <v>686</v>
      </c>
      <c r="K11" s="13"/>
      <c r="L11" s="14"/>
      <c r="M11" s="14"/>
      <c r="N11" s="14">
        <f t="shared" si="1"/>
        <v>0</v>
      </c>
      <c r="O11" s="14"/>
      <c r="Q11" s="11"/>
      <c r="R11" s="16" t="s">
        <v>686</v>
      </c>
      <c r="S11" s="13"/>
      <c r="T11" s="14"/>
      <c r="U11" s="14"/>
      <c r="V11" s="14">
        <f t="shared" si="2"/>
        <v>0</v>
      </c>
      <c r="W11" s="14"/>
      <c r="Y11" s="11"/>
      <c r="Z11" s="16" t="s">
        <v>686</v>
      </c>
      <c r="AA11" s="13"/>
      <c r="AB11" s="14"/>
      <c r="AC11" s="14"/>
      <c r="AD11" s="14">
        <f t="shared" si="3"/>
        <v>0</v>
      </c>
      <c r="AE11" s="14"/>
    </row>
    <row r="12" ht="48.95" customHeight="1" spans="1:31">
      <c r="A12" s="11">
        <v>1</v>
      </c>
      <c r="B12" s="15" t="s">
        <v>682</v>
      </c>
      <c r="C12" s="14" t="s">
        <v>85</v>
      </c>
      <c r="D12" s="14">
        <f>(0.547+0.156+0.686+1.112+1.137)*2+1.13*4+(0.547+0.156+0.686)*3*2+(1.55+1.7+1.055)*3</f>
        <v>33.045</v>
      </c>
      <c r="E12" s="14"/>
      <c r="F12" s="14">
        <f t="shared" si="0"/>
        <v>0</v>
      </c>
      <c r="G12" s="14"/>
      <c r="I12" s="11">
        <v>1</v>
      </c>
      <c r="J12" s="15" t="s">
        <v>682</v>
      </c>
      <c r="K12" s="14" t="s">
        <v>85</v>
      </c>
      <c r="L12" s="14">
        <f>(0.547+0.156+0.686+1.112+1.137)*2+1.13*4+(0.547+0.156+0.686)*3*2+(1.55+1.7+1.055)*3</f>
        <v>33.045</v>
      </c>
      <c r="M12" s="14">
        <f>M10</f>
        <v>3.06</v>
      </c>
      <c r="N12" s="14">
        <f t="shared" si="1"/>
        <v>101.1177</v>
      </c>
      <c r="O12" s="14"/>
      <c r="Q12" s="11">
        <v>1</v>
      </c>
      <c r="R12" s="15" t="s">
        <v>682</v>
      </c>
      <c r="S12" s="14" t="s">
        <v>85</v>
      </c>
      <c r="T12" s="14">
        <f>(0.547+0.156+0.686+1.112+1.137)*2+1.13*4+(0.547+0.156+0.686)*3*2+(1.55+1.7+1.055)*3</f>
        <v>33.045</v>
      </c>
      <c r="U12" s="14">
        <f>U10</f>
        <v>3.06</v>
      </c>
      <c r="V12" s="14">
        <f t="shared" si="2"/>
        <v>101.1177</v>
      </c>
      <c r="W12" s="14"/>
      <c r="Y12" s="11">
        <v>1</v>
      </c>
      <c r="Z12" s="15" t="s">
        <v>682</v>
      </c>
      <c r="AA12" s="14" t="s">
        <v>85</v>
      </c>
      <c r="AB12" s="14">
        <f>(0.547+0.156+0.686+1.112)*2+(0.547+0.156+0.686)*3*2+(1.55+1.055)*3</f>
        <v>21.151</v>
      </c>
      <c r="AC12" s="14">
        <f>AC10</f>
        <v>3.06</v>
      </c>
      <c r="AD12" s="14">
        <f t="shared" si="3"/>
        <v>64.72206</v>
      </c>
      <c r="AE12" s="14"/>
    </row>
    <row r="13" ht="48.95" customHeight="1" spans="1:31">
      <c r="A13" s="11"/>
      <c r="B13" s="12" t="s">
        <v>687</v>
      </c>
      <c r="C13" s="13" t="s">
        <v>679</v>
      </c>
      <c r="D13" s="14">
        <f>3*2</f>
        <v>6</v>
      </c>
      <c r="E13" s="14"/>
      <c r="F13" s="14">
        <f t="shared" si="0"/>
        <v>0</v>
      </c>
      <c r="G13" s="14"/>
      <c r="I13" s="11"/>
      <c r="J13" s="12" t="s">
        <v>687</v>
      </c>
      <c r="K13" s="13" t="s">
        <v>679</v>
      </c>
      <c r="L13" s="14">
        <f>3*2</f>
        <v>6</v>
      </c>
      <c r="M13" s="14"/>
      <c r="N13" s="14">
        <f t="shared" si="1"/>
        <v>0</v>
      </c>
      <c r="O13" s="14"/>
      <c r="Q13" s="11"/>
      <c r="R13" s="12" t="s">
        <v>687</v>
      </c>
      <c r="S13" s="13" t="s">
        <v>679</v>
      </c>
      <c r="T13" s="14">
        <f>3*2</f>
        <v>6</v>
      </c>
      <c r="U13" s="14"/>
      <c r="V13" s="14">
        <f t="shared" si="2"/>
        <v>0</v>
      </c>
      <c r="W13" s="14"/>
      <c r="Y13" s="11"/>
      <c r="Z13" s="12" t="s">
        <v>687</v>
      </c>
      <c r="AA13" s="13" t="s">
        <v>679</v>
      </c>
      <c r="AB13" s="14">
        <f>3*2</f>
        <v>6</v>
      </c>
      <c r="AC13" s="14"/>
      <c r="AD13" s="14">
        <f t="shared" si="3"/>
        <v>0</v>
      </c>
      <c r="AE13" s="14"/>
    </row>
    <row r="14" ht="48.95" customHeight="1" spans="1:31">
      <c r="A14" s="11"/>
      <c r="B14" s="16" t="s">
        <v>688</v>
      </c>
      <c r="C14" s="14"/>
      <c r="D14" s="14"/>
      <c r="E14" s="14"/>
      <c r="F14" s="14">
        <f t="shared" si="0"/>
        <v>0</v>
      </c>
      <c r="G14" s="14"/>
      <c r="I14" s="11"/>
      <c r="J14" s="16" t="s">
        <v>688</v>
      </c>
      <c r="K14" s="14"/>
      <c r="L14" s="14"/>
      <c r="M14" s="14"/>
      <c r="N14" s="14">
        <f t="shared" si="1"/>
        <v>0</v>
      </c>
      <c r="O14" s="14"/>
      <c r="Q14" s="11"/>
      <c r="R14" s="16" t="s">
        <v>688</v>
      </c>
      <c r="S14" s="14"/>
      <c r="T14" s="14"/>
      <c r="U14" s="14"/>
      <c r="V14" s="14">
        <f t="shared" si="2"/>
        <v>0</v>
      </c>
      <c r="W14" s="14"/>
      <c r="Y14" s="11"/>
      <c r="Z14" s="16" t="s">
        <v>688</v>
      </c>
      <c r="AA14" s="14"/>
      <c r="AB14" s="14"/>
      <c r="AC14" s="14"/>
      <c r="AD14" s="14">
        <f t="shared" si="3"/>
        <v>0</v>
      </c>
      <c r="AE14" s="14"/>
    </row>
    <row r="15" ht="48.95" customHeight="1" spans="1:31">
      <c r="A15" s="11"/>
      <c r="B15" s="15" t="s">
        <v>682</v>
      </c>
      <c r="C15" s="14" t="s">
        <v>85</v>
      </c>
      <c r="D15" s="14">
        <f>(0.543+0.156+0.686+1.112+1.133*2+0.296*3)*3+3.98*3+(1.55+1.7+1.055)*3</f>
        <v>41.808</v>
      </c>
      <c r="E15" s="14">
        <v>3.06</v>
      </c>
      <c r="F15" s="14">
        <f t="shared" si="0"/>
        <v>127.93248</v>
      </c>
      <c r="G15" s="14"/>
      <c r="I15" s="11"/>
      <c r="J15" s="15" t="s">
        <v>682</v>
      </c>
      <c r="K15" s="14" t="s">
        <v>85</v>
      </c>
      <c r="L15" s="14">
        <f>(0.543+0.156+0.686+1.112+1.133*2+0.296*3)*3+3.98*3+(1.55+1.7+1.055)*3</f>
        <v>41.808</v>
      </c>
      <c r="M15" s="14">
        <v>3.06</v>
      </c>
      <c r="N15" s="14">
        <f t="shared" si="1"/>
        <v>127.93248</v>
      </c>
      <c r="O15" s="14"/>
      <c r="Q15" s="11"/>
      <c r="R15" s="15" t="s">
        <v>682</v>
      </c>
      <c r="S15" s="14" t="s">
        <v>85</v>
      </c>
      <c r="T15" s="14">
        <f>(0.543+0.156+0.686+1.112+1.133*2+0.296*3)*3+3.98*3+(1.55+1.7+1.055)*3</f>
        <v>41.808</v>
      </c>
      <c r="U15" s="14">
        <v>3.06</v>
      </c>
      <c r="V15" s="14">
        <f t="shared" si="2"/>
        <v>127.93248</v>
      </c>
      <c r="W15" s="14"/>
      <c r="Y15" s="11"/>
      <c r="Z15" s="15" t="s">
        <v>682</v>
      </c>
      <c r="AA15" s="14" t="s">
        <v>85</v>
      </c>
      <c r="AB15" s="14">
        <f>(0.543+0.156+0.686+1.112+1.133*2+0.296*3)*3+3.98*3+(1.55+1.7+1.055)*3</f>
        <v>41.808</v>
      </c>
      <c r="AC15" s="14">
        <v>3.06</v>
      </c>
      <c r="AD15" s="14">
        <f t="shared" si="3"/>
        <v>127.93248</v>
      </c>
      <c r="AE15" s="14"/>
    </row>
    <row r="16" ht="48.95" customHeight="1" spans="1:31">
      <c r="A16" s="11"/>
      <c r="B16" s="12" t="s">
        <v>689</v>
      </c>
      <c r="C16" s="13" t="s">
        <v>679</v>
      </c>
      <c r="D16" s="14">
        <f>5*3</f>
        <v>15</v>
      </c>
      <c r="E16" s="14"/>
      <c r="F16" s="14">
        <f t="shared" si="0"/>
        <v>0</v>
      </c>
      <c r="G16" s="14"/>
      <c r="I16" s="11"/>
      <c r="J16" s="12" t="s">
        <v>689</v>
      </c>
      <c r="K16" s="13" t="s">
        <v>679</v>
      </c>
      <c r="L16" s="14">
        <f>5*3</f>
        <v>15</v>
      </c>
      <c r="M16" s="14"/>
      <c r="N16" s="14">
        <f t="shared" si="1"/>
        <v>0</v>
      </c>
      <c r="O16" s="14"/>
      <c r="Q16" s="11"/>
      <c r="R16" s="12" t="s">
        <v>689</v>
      </c>
      <c r="S16" s="13" t="s">
        <v>679</v>
      </c>
      <c r="T16" s="14">
        <f>5*3</f>
        <v>15</v>
      </c>
      <c r="U16" s="14"/>
      <c r="V16" s="14">
        <f t="shared" si="2"/>
        <v>0</v>
      </c>
      <c r="W16" s="14"/>
      <c r="Y16" s="11"/>
      <c r="Z16" s="12" t="s">
        <v>689</v>
      </c>
      <c r="AA16" s="13" t="s">
        <v>679</v>
      </c>
      <c r="AB16" s="14">
        <f>5*3</f>
        <v>15</v>
      </c>
      <c r="AC16" s="14"/>
      <c r="AD16" s="14">
        <f t="shared" si="3"/>
        <v>0</v>
      </c>
      <c r="AE16" s="14"/>
    </row>
    <row r="17" ht="48.95" customHeight="1" spans="1:31">
      <c r="A17" s="11"/>
      <c r="B17" s="17" t="s">
        <v>690</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691</v>
      </c>
      <c r="C18" s="14" t="s">
        <v>85</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692</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693</v>
      </c>
      <c r="C20" s="13" t="s">
        <v>679</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694</v>
      </c>
      <c r="C21" s="14" t="s">
        <v>85</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462</v>
      </c>
      <c r="C22" s="14" t="s">
        <v>695</v>
      </c>
      <c r="D22" s="14"/>
      <c r="E22" s="14"/>
      <c r="F22" s="14">
        <f>SUM(F3:F21)</f>
        <v>1343.13132</v>
      </c>
      <c r="G22" s="14"/>
      <c r="I22" s="11"/>
      <c r="J22" s="17" t="s">
        <v>462</v>
      </c>
      <c r="K22" s="14" t="s">
        <v>695</v>
      </c>
      <c r="L22" s="14"/>
      <c r="M22" s="14"/>
      <c r="N22" s="14">
        <f>SUM(N3:N21)</f>
        <v>1095.12914</v>
      </c>
      <c r="O22" s="14"/>
      <c r="Q22" s="11"/>
      <c r="R22" s="17" t="s">
        <v>462</v>
      </c>
      <c r="S22" s="14" t="s">
        <v>695</v>
      </c>
      <c r="T22" s="14"/>
      <c r="U22" s="14"/>
      <c r="V22" s="14">
        <f>SUM(V3:V21)</f>
        <v>1095.12914</v>
      </c>
      <c r="W22" s="14"/>
      <c r="Y22" s="11"/>
      <c r="Z22" s="17" t="s">
        <v>462</v>
      </c>
      <c r="AA22" s="14" t="s">
        <v>695</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tabSelected="1" view="pageBreakPreview" zoomScaleNormal="100" workbookViewId="0">
      <selection activeCell="B25" sqref="B25"/>
    </sheetView>
  </sheetViews>
  <sheetFormatPr defaultColWidth="10" defaultRowHeight="15.6" outlineLevelCol="3"/>
  <cols>
    <col min="1" max="1" width="6.42592592592593" style="149" customWidth="1"/>
    <col min="2" max="2" width="93.8611111111111" style="149" customWidth="1"/>
    <col min="3" max="3" width="10.287037037037" style="149"/>
    <col min="4" max="4" width="10.287037037037" style="149" customWidth="1"/>
    <col min="5" max="31" width="10.287037037037" style="149"/>
    <col min="32" max="16384" width="10" style="149"/>
  </cols>
  <sheetData>
    <row r="1" ht="24.95" customHeight="1" spans="1:2">
      <c r="A1" s="165" t="s">
        <v>0</v>
      </c>
      <c r="B1" s="165"/>
    </row>
    <row r="2" s="164" customFormat="1" ht="17.1" customHeight="1" spans="1:4">
      <c r="A2" s="166" t="s">
        <v>1</v>
      </c>
      <c r="B2" s="167"/>
      <c r="D2" s="168"/>
    </row>
    <row r="3" s="164" customFormat="1" ht="23.1" customHeight="1" spans="1:4">
      <c r="A3" s="169">
        <v>1</v>
      </c>
      <c r="B3" s="170" t="s">
        <v>2</v>
      </c>
      <c r="D3" s="171"/>
    </row>
    <row r="4" s="164" customFormat="1" ht="72.95" customHeight="1" spans="1:4">
      <c r="A4" s="169">
        <v>2</v>
      </c>
      <c r="B4" s="172" t="s">
        <v>3</v>
      </c>
      <c r="D4" s="171"/>
    </row>
    <row r="5" s="164" customFormat="1" ht="17.1" customHeight="1" spans="1:4">
      <c r="A5" s="166" t="s">
        <v>4</v>
      </c>
      <c r="B5" s="167"/>
      <c r="D5" s="171"/>
    </row>
    <row r="6" s="164" customFormat="1" ht="71.1" customHeight="1" spans="1:4">
      <c r="A6" s="173">
        <v>1</v>
      </c>
      <c r="B6" s="174" t="s">
        <v>5</v>
      </c>
      <c r="D6" s="171"/>
    </row>
    <row r="7" s="164" customFormat="1" ht="57" customHeight="1" spans="1:4">
      <c r="A7" s="173">
        <v>2</v>
      </c>
      <c r="B7" s="174" t="s">
        <v>6</v>
      </c>
      <c r="D7" s="171"/>
    </row>
    <row r="8" s="164" customFormat="1" ht="45" customHeight="1" spans="1:4">
      <c r="A8" s="173">
        <v>3</v>
      </c>
      <c r="B8" s="174" t="s">
        <v>7</v>
      </c>
      <c r="D8" s="171"/>
    </row>
    <row r="9" s="164" customFormat="1" ht="66" customHeight="1" spans="1:4">
      <c r="A9" s="173">
        <v>4</v>
      </c>
      <c r="B9" s="174" t="s">
        <v>8</v>
      </c>
      <c r="D9" s="175"/>
    </row>
    <row r="10" ht="39" customHeight="1" spans="1:4">
      <c r="A10" s="173">
        <v>5</v>
      </c>
      <c r="B10" s="176" t="s">
        <v>9</v>
      </c>
      <c r="D10" s="175"/>
    </row>
    <row r="11" ht="54" customHeight="1" spans="1:4">
      <c r="A11" s="173">
        <v>6</v>
      </c>
      <c r="B11" s="177" t="s">
        <v>10</v>
      </c>
      <c r="D11" s="175"/>
    </row>
    <row r="12" ht="54" customHeight="1" spans="1:2">
      <c r="A12" s="173">
        <v>7</v>
      </c>
      <c r="B12" s="177" t="s">
        <v>11</v>
      </c>
    </row>
    <row r="13" ht="44.1" customHeight="1" spans="1:2">
      <c r="A13" s="173">
        <v>8</v>
      </c>
      <c r="B13" s="177" t="s">
        <v>12</v>
      </c>
    </row>
    <row r="14" ht="24" customHeight="1" spans="1:2">
      <c r="A14" s="173">
        <v>9</v>
      </c>
      <c r="B14" s="177" t="s">
        <v>13</v>
      </c>
    </row>
    <row r="15" ht="47.1" customHeight="1" spans="1:2">
      <c r="A15" s="173">
        <v>10</v>
      </c>
      <c r="B15" s="177" t="s">
        <v>14</v>
      </c>
    </row>
    <row r="16" ht="15.95" customHeight="1" spans="1:2">
      <c r="A16" s="166" t="s">
        <v>15</v>
      </c>
      <c r="B16" s="167"/>
    </row>
    <row r="17" ht="30.95" customHeight="1" spans="1:2">
      <c r="A17" s="173">
        <v>1</v>
      </c>
      <c r="B17" s="170" t="s">
        <v>16</v>
      </c>
    </row>
    <row r="18" ht="17" customHeight="1" spans="1:2">
      <c r="A18" s="173">
        <v>2</v>
      </c>
      <c r="B18" s="170" t="s">
        <v>17</v>
      </c>
    </row>
    <row r="19" ht="18" customHeight="1" spans="1:2">
      <c r="A19" s="166" t="s">
        <v>18</v>
      </c>
      <c r="B19" s="167"/>
    </row>
    <row r="20" ht="30" customHeight="1" spans="1:2">
      <c r="A20" s="178">
        <v>1</v>
      </c>
      <c r="B20" s="179" t="s">
        <v>19</v>
      </c>
    </row>
    <row r="21" ht="19" customHeight="1" spans="1:2">
      <c r="A21" s="180">
        <v>2</v>
      </c>
      <c r="B21" s="181" t="s">
        <v>20</v>
      </c>
    </row>
    <row r="22" ht="22" customHeight="1" spans="1:2">
      <c r="A22" s="182">
        <v>3</v>
      </c>
      <c r="B22" s="181" t="s">
        <v>21</v>
      </c>
    </row>
    <row r="23" ht="22" customHeight="1" spans="1:2">
      <c r="A23" s="183">
        <v>4</v>
      </c>
      <c r="B23" s="181" t="s">
        <v>22</v>
      </c>
    </row>
    <row r="24" ht="18" customHeight="1" spans="1:2">
      <c r="A24" s="166" t="s">
        <v>23</v>
      </c>
      <c r="B24" s="167"/>
    </row>
    <row r="25" ht="22" customHeight="1" spans="1:2">
      <c r="A25" s="184">
        <v>1</v>
      </c>
      <c r="B25" s="185" t="s">
        <v>24</v>
      </c>
    </row>
    <row r="26" ht="23" customHeight="1" spans="1:2">
      <c r="A26" s="184">
        <v>2</v>
      </c>
      <c r="B26" s="185" t="s">
        <v>25</v>
      </c>
    </row>
    <row r="27" ht="20" customHeight="1" spans="1:2">
      <c r="A27" s="186" t="s">
        <v>26</v>
      </c>
      <c r="B27" s="186"/>
    </row>
  </sheetData>
  <mergeCells count="7">
    <mergeCell ref="A1:B1"/>
    <mergeCell ref="A2:B2"/>
    <mergeCell ref="A5:B5"/>
    <mergeCell ref="A16:B16"/>
    <mergeCell ref="A19:B19"/>
    <mergeCell ref="A24:B24"/>
    <mergeCell ref="A27:B27"/>
  </mergeCells>
  <printOptions horizontalCentered="1"/>
  <pageMargins left="0.196527777777778" right="0.196527777777778" top="0.590277777777778" bottom="0.590277777777778" header="0.5" footer="0.5"/>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view="pageBreakPreview" zoomScaleNormal="100" workbookViewId="0">
      <selection activeCell="E15" sqref="E15"/>
    </sheetView>
  </sheetViews>
  <sheetFormatPr defaultColWidth="8.86111111111111" defaultRowHeight="13.2"/>
  <cols>
    <col min="1" max="1" width="8.86111111111111" style="4"/>
    <col min="2" max="2" width="20.5740740740741" style="125" customWidth="1"/>
    <col min="3" max="3" width="8.13888888888889" style="125" customWidth="1"/>
    <col min="4" max="4" width="20.4259259259259" style="4" customWidth="1"/>
    <col min="5" max="5" width="26.287037037037" style="4" customWidth="1"/>
    <col min="6" max="6" width="8.86111111111111" style="4"/>
    <col min="7" max="9" width="14.5740740740741" style="4"/>
    <col min="10" max="10" width="17.712962962963" style="4" customWidth="1"/>
    <col min="11" max="12" width="8.86111111111111" style="4"/>
    <col min="13" max="13" width="14.5740740740741" style="4"/>
    <col min="14" max="16384" width="8.86111111111111" style="4"/>
  </cols>
  <sheetData>
    <row r="1" s="149" customFormat="1" ht="48" customHeight="1" spans="1:5">
      <c r="A1" s="151" t="s">
        <v>27</v>
      </c>
      <c r="B1" s="151"/>
      <c r="C1" s="151"/>
      <c r="D1" s="151"/>
      <c r="E1" s="151"/>
    </row>
    <row r="2" s="149" customFormat="1" ht="30" customHeight="1" spans="1:5">
      <c r="A2" s="152" t="s">
        <v>28</v>
      </c>
      <c r="B2" s="152" t="s">
        <v>29</v>
      </c>
      <c r="C2" s="152" t="s">
        <v>30</v>
      </c>
      <c r="D2" s="153" t="s">
        <v>31</v>
      </c>
      <c r="E2" s="154" t="s">
        <v>32</v>
      </c>
    </row>
    <row r="3" s="149" customFormat="1" ht="30" customHeight="1" spans="1:10">
      <c r="A3" s="28" t="s">
        <v>33</v>
      </c>
      <c r="B3" s="28" t="s">
        <v>34</v>
      </c>
      <c r="C3" s="155" t="s">
        <v>35</v>
      </c>
      <c r="D3" s="153">
        <f>'02、样板间装饰工程'!N281</f>
        <v>1731440.57338872</v>
      </c>
      <c r="E3" s="156"/>
      <c r="I3" s="163"/>
      <c r="J3" s="163"/>
    </row>
    <row r="4" s="149" customFormat="1" ht="30" customHeight="1" spans="1:5">
      <c r="A4" s="28" t="s">
        <v>36</v>
      </c>
      <c r="B4" s="28" t="s">
        <v>37</v>
      </c>
      <c r="C4" s="155" t="s">
        <v>35</v>
      </c>
      <c r="D4" s="153">
        <f>'03、安装工程'!N66</f>
        <v>521992.8795</v>
      </c>
      <c r="E4" s="69" t="s">
        <v>38</v>
      </c>
    </row>
    <row r="5" s="150" customFormat="1" ht="33" customHeight="1" spans="1:5">
      <c r="A5" s="157" t="s">
        <v>39</v>
      </c>
      <c r="B5" s="157" t="s">
        <v>40</v>
      </c>
      <c r="C5" s="155" t="s">
        <v>35</v>
      </c>
      <c r="D5" s="158">
        <v>113625.96</v>
      </c>
      <c r="E5" s="159"/>
    </row>
    <row r="6" s="150" customFormat="1" ht="33" customHeight="1" spans="1:5">
      <c r="A6" s="28" t="s">
        <v>41</v>
      </c>
      <c r="B6" s="28" t="s">
        <v>42</v>
      </c>
      <c r="C6" s="155" t="s">
        <v>35</v>
      </c>
      <c r="D6" s="160">
        <v>83573.85</v>
      </c>
      <c r="E6" s="161"/>
    </row>
    <row r="7" s="150" customFormat="1" ht="33" customHeight="1" spans="1:5">
      <c r="A7" s="28" t="s">
        <v>43</v>
      </c>
      <c r="B7" s="28" t="s">
        <v>44</v>
      </c>
      <c r="C7" s="155" t="s">
        <v>35</v>
      </c>
      <c r="D7" s="160">
        <v>21535.57</v>
      </c>
      <c r="E7" s="161"/>
    </row>
    <row r="8" s="150" customFormat="1" ht="33" customHeight="1" spans="1:5">
      <c r="A8" s="28" t="s">
        <v>31</v>
      </c>
      <c r="B8" s="28"/>
      <c r="C8" s="28"/>
      <c r="D8" s="160">
        <f>D3+D4-D5+D6-D7</f>
        <v>2201845.77288872</v>
      </c>
      <c r="E8" s="161"/>
    </row>
    <row r="9" customFormat="1" ht="36" customHeight="1" spans="1:5">
      <c r="A9" s="162" t="s">
        <v>45</v>
      </c>
      <c r="B9" s="126"/>
      <c r="C9" s="126"/>
      <c r="D9" s="126"/>
      <c r="E9" s="126"/>
    </row>
  </sheetData>
  <mergeCells count="3">
    <mergeCell ref="A1:E1"/>
    <mergeCell ref="A8:B8"/>
    <mergeCell ref="A9:E9"/>
  </mergeCells>
  <pageMargins left="0.751388888888889" right="0.751388888888889" top="1" bottom="1" header="0.5" footer="0.5"/>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5" sqref="F15"/>
    </sheetView>
  </sheetViews>
  <sheetFormatPr defaultColWidth="9.13888888888889" defaultRowHeight="13.2"/>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281"/>
  <sheetViews>
    <sheetView view="pageBreakPreview" zoomScale="90" zoomScaleNormal="100" workbookViewId="0">
      <pane ySplit="5" topLeftCell="A64" activePane="bottomLeft" state="frozen"/>
      <selection/>
      <selection pane="bottomLeft" activeCell="B140" sqref="B140"/>
    </sheetView>
  </sheetViews>
  <sheetFormatPr defaultColWidth="9.13888888888889" defaultRowHeight="13.2"/>
  <cols>
    <col min="1" max="1" width="6.42592592592593" style="125" customWidth="1"/>
    <col min="2" max="2" width="16.4259259259259" style="126" customWidth="1"/>
    <col min="3" max="3" width="62.1388888888889" style="4" customWidth="1"/>
    <col min="4" max="4" width="5.13888888888889" style="4" customWidth="1"/>
    <col min="5" max="6" width="9.13888888888889" style="125"/>
    <col min="7" max="7" width="12.712962962963" style="127" customWidth="1"/>
    <col min="8" max="8" width="9.13888888888889" style="125"/>
    <col min="9" max="9" width="12.4259259259259" style="125" customWidth="1"/>
    <col min="10" max="10" width="12.287037037037" style="125" customWidth="1"/>
    <col min="11" max="11" width="13.8611111111111" style="125" customWidth="1"/>
    <col min="12" max="12" width="14.8611111111111" style="125" customWidth="1"/>
    <col min="13" max="13" width="10.1388888888889" style="128"/>
    <col min="14" max="14" width="14.4444444444444" style="4" customWidth="1"/>
    <col min="15" max="15" width="9.13888888888889" style="4"/>
    <col min="16" max="19" width="9.86111111111111" style="4" customWidth="1"/>
    <col min="20" max="16384" width="9.13888888888889" style="4"/>
  </cols>
  <sheetData>
    <row r="1" ht="37" customHeight="1" spans="1:15">
      <c r="A1" s="22" t="s">
        <v>46</v>
      </c>
      <c r="B1" s="129"/>
      <c r="C1" s="22"/>
      <c r="D1" s="22"/>
      <c r="E1" s="51"/>
      <c r="F1" s="22"/>
      <c r="G1" s="130"/>
      <c r="H1" s="22"/>
      <c r="I1" s="22"/>
      <c r="J1" s="22"/>
      <c r="K1" s="22"/>
      <c r="L1" s="22"/>
      <c r="M1" s="135"/>
      <c r="N1" s="22"/>
      <c r="O1" s="22"/>
    </row>
    <row r="2" ht="20" customHeight="1" spans="1:15">
      <c r="A2" s="23" t="s">
        <v>47</v>
      </c>
      <c r="B2" s="23"/>
      <c r="C2" s="23"/>
      <c r="D2" s="23"/>
      <c r="E2" s="52"/>
      <c r="F2" s="24"/>
      <c r="G2" s="131"/>
      <c r="H2" s="24"/>
      <c r="I2" s="24"/>
      <c r="J2" s="24"/>
      <c r="K2" s="24"/>
      <c r="L2" s="24"/>
      <c r="M2" s="136"/>
      <c r="N2" s="23"/>
      <c r="O2" s="23"/>
    </row>
    <row r="3" spans="1:15">
      <c r="A3" s="25" t="s">
        <v>48</v>
      </c>
      <c r="B3" s="25" t="s">
        <v>49</v>
      </c>
      <c r="C3" s="26" t="s">
        <v>50</v>
      </c>
      <c r="D3" s="26" t="s">
        <v>30</v>
      </c>
      <c r="E3" s="53" t="s">
        <v>51</v>
      </c>
      <c r="F3" s="25" t="s">
        <v>52</v>
      </c>
      <c r="G3" s="132"/>
      <c r="H3" s="25"/>
      <c r="I3" s="25"/>
      <c r="J3" s="25"/>
      <c r="K3" s="25"/>
      <c r="L3" s="25"/>
      <c r="M3" s="137" t="s">
        <v>53</v>
      </c>
      <c r="N3" s="26" t="s">
        <v>54</v>
      </c>
      <c r="O3" s="26" t="s">
        <v>55</v>
      </c>
    </row>
    <row r="4" ht="21.6" spans="1:15">
      <c r="A4" s="25"/>
      <c r="B4" s="25"/>
      <c r="C4" s="26"/>
      <c r="D4" s="26"/>
      <c r="E4" s="53"/>
      <c r="F4" s="25" t="s">
        <v>56</v>
      </c>
      <c r="G4" s="132" t="s">
        <v>57</v>
      </c>
      <c r="H4" s="25" t="s">
        <v>58</v>
      </c>
      <c r="I4" s="25" t="s">
        <v>59</v>
      </c>
      <c r="J4" s="25" t="s">
        <v>60</v>
      </c>
      <c r="K4" s="25" t="s">
        <v>61</v>
      </c>
      <c r="L4" s="25" t="s">
        <v>62</v>
      </c>
      <c r="M4" s="137"/>
      <c r="N4" s="26"/>
      <c r="O4" s="26"/>
    </row>
    <row r="5" ht="13" customHeight="1" spans="1:15">
      <c r="A5" s="25"/>
      <c r="B5" s="25"/>
      <c r="C5" s="26"/>
      <c r="D5" s="26"/>
      <c r="E5" s="53"/>
      <c r="F5" s="25"/>
      <c r="G5" s="132" t="s">
        <v>63</v>
      </c>
      <c r="H5" s="25" t="s">
        <v>64</v>
      </c>
      <c r="I5" s="25" t="s">
        <v>65</v>
      </c>
      <c r="J5" s="25"/>
      <c r="K5" s="54">
        <v>0.02</v>
      </c>
      <c r="L5" s="54">
        <v>0.09</v>
      </c>
      <c r="M5" s="137"/>
      <c r="N5" s="53"/>
      <c r="O5" s="26"/>
    </row>
    <row r="6" s="4" customFormat="1" ht="30" customHeight="1" spans="1:15">
      <c r="A6" s="25">
        <v>1</v>
      </c>
      <c r="B6" s="133" t="s">
        <v>66</v>
      </c>
      <c r="C6" s="26"/>
      <c r="D6" s="26"/>
      <c r="E6" s="53"/>
      <c r="F6" s="30"/>
      <c r="G6" s="31"/>
      <c r="H6" s="30"/>
      <c r="I6" s="138"/>
      <c r="J6" s="53"/>
      <c r="K6" s="53"/>
      <c r="L6" s="53"/>
      <c r="M6" s="55"/>
      <c r="N6" s="53">
        <f>E6*M6</f>
        <v>0</v>
      </c>
      <c r="O6" s="74"/>
    </row>
    <row r="7" customFormat="1" ht="81.75" customHeight="1" spans="1:17">
      <c r="A7" s="25">
        <v>2</v>
      </c>
      <c r="B7" s="26" t="s">
        <v>67</v>
      </c>
      <c r="C7" s="26" t="s">
        <v>68</v>
      </c>
      <c r="D7" s="26" t="s">
        <v>69</v>
      </c>
      <c r="E7" s="53">
        <f>12.93+13.97</f>
        <v>26.9</v>
      </c>
      <c r="F7" s="30">
        <v>40</v>
      </c>
      <c r="G7" s="31">
        <f t="shared" ref="G7:G31" si="0">H7*(1+I7)</f>
        <v>252</v>
      </c>
      <c r="H7" s="30">
        <v>240</v>
      </c>
      <c r="I7" s="54">
        <v>0.05</v>
      </c>
      <c r="J7" s="53">
        <v>82</v>
      </c>
      <c r="K7" s="53">
        <f>(F7+G7+J7)*K5</f>
        <v>7.48</v>
      </c>
      <c r="L7" s="53">
        <f>(F7+G7+J7+K7)*L5</f>
        <v>34.3332</v>
      </c>
      <c r="M7" s="55">
        <f t="shared" ref="M7:M31" si="1">F7+G7+J7+K7+L7</f>
        <v>415.8132</v>
      </c>
      <c r="N7" s="53">
        <f t="shared" ref="N6:N31" si="2">E7*M7</f>
        <v>11185.37508</v>
      </c>
      <c r="O7" s="73" t="s">
        <v>70</v>
      </c>
      <c r="Q7" s="4"/>
    </row>
    <row r="8" customFormat="1" ht="81.95" customHeight="1" spans="1:15">
      <c r="A8" s="25">
        <v>3</v>
      </c>
      <c r="B8" s="26" t="s">
        <v>71</v>
      </c>
      <c r="C8" s="26" t="s">
        <v>72</v>
      </c>
      <c r="D8" s="26" t="s">
        <v>69</v>
      </c>
      <c r="E8" s="53">
        <f>29.15+74.65+5.61</f>
        <v>109.41</v>
      </c>
      <c r="F8" s="30">
        <v>95</v>
      </c>
      <c r="G8" s="31">
        <f t="shared" si="0"/>
        <v>483</v>
      </c>
      <c r="H8" s="30">
        <v>460</v>
      </c>
      <c r="I8" s="54">
        <v>0.05</v>
      </c>
      <c r="J8" s="53">
        <v>115</v>
      </c>
      <c r="K8" s="53">
        <f>(F8+G8+J8)*K5</f>
        <v>13.86</v>
      </c>
      <c r="L8" s="53">
        <f>(F8+G8+J8+K8)*L5</f>
        <v>63.6174</v>
      </c>
      <c r="M8" s="55">
        <f t="shared" si="1"/>
        <v>770.4774</v>
      </c>
      <c r="N8" s="53">
        <f t="shared" si="2"/>
        <v>84297.932334</v>
      </c>
      <c r="O8" s="73" t="s">
        <v>73</v>
      </c>
    </row>
    <row r="9" customFormat="1" ht="92.1" customHeight="1" spans="1:15">
      <c r="A9" s="25">
        <v>4</v>
      </c>
      <c r="B9" s="26" t="s">
        <v>74</v>
      </c>
      <c r="C9" s="26" t="s">
        <v>75</v>
      </c>
      <c r="D9" s="26" t="s">
        <v>69</v>
      </c>
      <c r="E9" s="53">
        <f>5.6+2.59</f>
        <v>8.19</v>
      </c>
      <c r="F9" s="30">
        <v>60</v>
      </c>
      <c r="G9" s="31">
        <f t="shared" si="0"/>
        <v>207.9</v>
      </c>
      <c r="H9" s="30">
        <v>198</v>
      </c>
      <c r="I9" s="54">
        <v>0.05</v>
      </c>
      <c r="J9" s="53">
        <v>60</v>
      </c>
      <c r="K9" s="53">
        <f>(F9+G9+J9)*K5</f>
        <v>6.558</v>
      </c>
      <c r="L9" s="53">
        <f>(F9+G9+J9+K9)*L5</f>
        <v>30.10122</v>
      </c>
      <c r="M9" s="55">
        <f t="shared" si="1"/>
        <v>364.55922</v>
      </c>
      <c r="N9" s="53">
        <f t="shared" si="2"/>
        <v>2985.7400118</v>
      </c>
      <c r="O9" s="73" t="s">
        <v>76</v>
      </c>
    </row>
    <row r="10" customFormat="1" ht="80.25" customHeight="1" spans="1:15">
      <c r="A10" s="25">
        <v>5</v>
      </c>
      <c r="B10" s="26" t="s">
        <v>77</v>
      </c>
      <c r="C10" s="26" t="s">
        <v>78</v>
      </c>
      <c r="D10" s="26" t="s">
        <v>69</v>
      </c>
      <c r="E10" s="53">
        <v>21.01</v>
      </c>
      <c r="F10" s="30">
        <v>30</v>
      </c>
      <c r="G10" s="31">
        <f t="shared" si="0"/>
        <v>420</v>
      </c>
      <c r="H10" s="30">
        <v>420</v>
      </c>
      <c r="I10" s="54">
        <v>0</v>
      </c>
      <c r="J10" s="53">
        <v>82</v>
      </c>
      <c r="K10" s="53">
        <f>(F10+G10+J10)*K5</f>
        <v>10.64</v>
      </c>
      <c r="L10" s="53">
        <f>(F10+G10+J10+K10)*L5</f>
        <v>48.8376</v>
      </c>
      <c r="M10" s="55">
        <f t="shared" si="1"/>
        <v>591.4776</v>
      </c>
      <c r="N10" s="53">
        <f t="shared" si="2"/>
        <v>12426.944376</v>
      </c>
      <c r="O10" s="73" t="s">
        <v>79</v>
      </c>
    </row>
    <row r="11" customFormat="1" ht="132.75" customHeight="1" spans="1:15">
      <c r="A11" s="25">
        <v>6</v>
      </c>
      <c r="B11" s="26" t="s">
        <v>80</v>
      </c>
      <c r="C11" s="26" t="s">
        <v>81</v>
      </c>
      <c r="D11" s="26" t="s">
        <v>69</v>
      </c>
      <c r="E11" s="53">
        <f>2.25+4.43+3.49</f>
        <v>10.17</v>
      </c>
      <c r="F11" s="30">
        <v>60</v>
      </c>
      <c r="G11" s="31">
        <f t="shared" si="0"/>
        <v>207.9</v>
      </c>
      <c r="H11" s="30">
        <v>198</v>
      </c>
      <c r="I11" s="54">
        <v>0.05</v>
      </c>
      <c r="J11" s="53">
        <v>155</v>
      </c>
      <c r="K11" s="53">
        <f>(F11+G11+J11)*K5</f>
        <v>8.458</v>
      </c>
      <c r="L11" s="53">
        <f>(F11+G11+J11+K11)*L5</f>
        <v>38.82222</v>
      </c>
      <c r="M11" s="55">
        <f t="shared" si="1"/>
        <v>470.18022</v>
      </c>
      <c r="N11" s="53">
        <f t="shared" si="2"/>
        <v>4781.7328374</v>
      </c>
      <c r="O11" s="73" t="s">
        <v>76</v>
      </c>
    </row>
    <row r="12" customFormat="1" ht="96" customHeight="1" spans="1:15">
      <c r="A12" s="25">
        <v>7</v>
      </c>
      <c r="B12" s="26" t="s">
        <v>80</v>
      </c>
      <c r="C12" s="26" t="s">
        <v>82</v>
      </c>
      <c r="D12" s="26" t="s">
        <v>69</v>
      </c>
      <c r="E12" s="53">
        <v>1.01</v>
      </c>
      <c r="F12" s="30">
        <v>60</v>
      </c>
      <c r="G12" s="31">
        <f t="shared" si="0"/>
        <v>207.9</v>
      </c>
      <c r="H12" s="30">
        <v>198</v>
      </c>
      <c r="I12" s="54">
        <v>0.05</v>
      </c>
      <c r="J12" s="53">
        <v>200</v>
      </c>
      <c r="K12" s="53">
        <f>(F12+G12+J12)*K5</f>
        <v>9.358</v>
      </c>
      <c r="L12" s="53">
        <f>(F12+G12+J12+K12)*L5</f>
        <v>42.95322</v>
      </c>
      <c r="M12" s="55">
        <f t="shared" si="1"/>
        <v>520.21122</v>
      </c>
      <c r="N12" s="53">
        <f t="shared" si="2"/>
        <v>525.4133322</v>
      </c>
      <c r="O12" s="73" t="s">
        <v>76</v>
      </c>
    </row>
    <row r="13" customFormat="1" ht="63" customHeight="1" spans="1:15">
      <c r="A13" s="25">
        <v>8</v>
      </c>
      <c r="B13" s="26" t="s">
        <v>83</v>
      </c>
      <c r="C13" s="26" t="s">
        <v>84</v>
      </c>
      <c r="D13" s="26" t="s">
        <v>85</v>
      </c>
      <c r="E13" s="53">
        <f>1.18*2</f>
        <v>2.36</v>
      </c>
      <c r="F13" s="30">
        <v>10</v>
      </c>
      <c r="G13" s="31">
        <f t="shared" si="0"/>
        <v>55</v>
      </c>
      <c r="H13" s="30">
        <v>55</v>
      </c>
      <c r="I13" s="54">
        <v>0</v>
      </c>
      <c r="J13" s="53">
        <v>7</v>
      </c>
      <c r="K13" s="53">
        <f>(F13+G13+J13)*K5</f>
        <v>1.44</v>
      </c>
      <c r="L13" s="53">
        <f>(F13+G13+J13+K13)*L5</f>
        <v>6.6096</v>
      </c>
      <c r="M13" s="55">
        <f t="shared" si="1"/>
        <v>80.0496</v>
      </c>
      <c r="N13" s="53">
        <f t="shared" si="2"/>
        <v>188.917056</v>
      </c>
      <c r="O13" s="74"/>
    </row>
    <row r="14" customFormat="1" ht="80.25" customHeight="1" spans="1:15">
      <c r="A14" s="25">
        <v>9</v>
      </c>
      <c r="B14" s="26" t="s">
        <v>86</v>
      </c>
      <c r="C14" s="26" t="s">
        <v>87</v>
      </c>
      <c r="D14" s="26" t="s">
        <v>69</v>
      </c>
      <c r="E14" s="53">
        <f>5.55*2</f>
        <v>11.1</v>
      </c>
      <c r="F14" s="30">
        <v>260</v>
      </c>
      <c r="G14" s="31">
        <f t="shared" si="0"/>
        <v>630</v>
      </c>
      <c r="H14" s="30">
        <v>600</v>
      </c>
      <c r="I14" s="54">
        <v>0.05</v>
      </c>
      <c r="J14" s="53">
        <v>150</v>
      </c>
      <c r="K14" s="53">
        <f>(F14+G14+J14)*K5</f>
        <v>20.8</v>
      </c>
      <c r="L14" s="53">
        <f>(F14+G14+J14+K14)*L5</f>
        <v>95.472</v>
      </c>
      <c r="M14" s="55">
        <f t="shared" si="1"/>
        <v>1156.272</v>
      </c>
      <c r="N14" s="53">
        <f t="shared" si="2"/>
        <v>12834.6192</v>
      </c>
      <c r="O14" s="73" t="s">
        <v>73</v>
      </c>
    </row>
    <row r="15" s="4" customFormat="1" ht="80.25" customHeight="1" spans="1:15">
      <c r="A15" s="25">
        <v>10</v>
      </c>
      <c r="B15" s="26" t="s">
        <v>88</v>
      </c>
      <c r="C15" s="26" t="s">
        <v>89</v>
      </c>
      <c r="D15" s="26" t="s">
        <v>69</v>
      </c>
      <c r="E15" s="53">
        <f>0.17+0.17+0.12+0.11+0.16+0.19+0.17+0.28+0.11</f>
        <v>1.48</v>
      </c>
      <c r="F15" s="30">
        <v>200</v>
      </c>
      <c r="G15" s="31">
        <f t="shared" si="0"/>
        <v>483</v>
      </c>
      <c r="H15" s="30">
        <v>460</v>
      </c>
      <c r="I15" s="54">
        <v>0.05</v>
      </c>
      <c r="J15" s="53">
        <v>90</v>
      </c>
      <c r="K15" s="53">
        <f>(F15+G15+J15)*K5</f>
        <v>15.46</v>
      </c>
      <c r="L15" s="53">
        <f>(F15+G15+J15+K15)*L5</f>
        <v>70.9614</v>
      </c>
      <c r="M15" s="55">
        <f t="shared" si="1"/>
        <v>859.4214</v>
      </c>
      <c r="N15" s="53">
        <f t="shared" si="2"/>
        <v>1271.943672</v>
      </c>
      <c r="O15" s="73" t="s">
        <v>73</v>
      </c>
    </row>
    <row r="16" customFormat="1" ht="21" customHeight="1" spans="1:15">
      <c r="A16" s="25">
        <v>11</v>
      </c>
      <c r="B16" s="133" t="s">
        <v>90</v>
      </c>
      <c r="C16" s="32"/>
      <c r="D16" s="32"/>
      <c r="E16" s="134"/>
      <c r="F16" s="30"/>
      <c r="G16" s="31">
        <f t="shared" si="0"/>
        <v>0</v>
      </c>
      <c r="H16" s="30"/>
      <c r="I16" s="54"/>
      <c r="J16" s="53"/>
      <c r="K16" s="53"/>
      <c r="L16" s="53"/>
      <c r="M16" s="55">
        <f t="shared" si="1"/>
        <v>0</v>
      </c>
      <c r="N16" s="53">
        <f t="shared" si="2"/>
        <v>0</v>
      </c>
      <c r="O16" s="139"/>
    </row>
    <row r="17" customFormat="1" ht="136.5" customHeight="1" spans="1:15">
      <c r="A17" s="25">
        <v>12</v>
      </c>
      <c r="B17" s="26" t="s">
        <v>91</v>
      </c>
      <c r="C17" s="26" t="s">
        <v>92</v>
      </c>
      <c r="D17" s="26" t="s">
        <v>69</v>
      </c>
      <c r="E17" s="53">
        <f>1.3*1.3*3.14</f>
        <v>5.3066</v>
      </c>
      <c r="F17" s="30">
        <v>130</v>
      </c>
      <c r="G17" s="31">
        <f t="shared" si="0"/>
        <v>170</v>
      </c>
      <c r="H17" s="30">
        <v>170</v>
      </c>
      <c r="I17" s="54">
        <v>0</v>
      </c>
      <c r="J17" s="53">
        <v>28</v>
      </c>
      <c r="K17" s="53">
        <f>(F17+G17+J17)*K5</f>
        <v>6.56</v>
      </c>
      <c r="L17" s="53">
        <f>(F17+G17+J17+K17)*L5</f>
        <v>30.1104</v>
      </c>
      <c r="M17" s="55">
        <f t="shared" si="1"/>
        <v>364.6704</v>
      </c>
      <c r="N17" s="53">
        <f t="shared" si="2"/>
        <v>1935.15994464</v>
      </c>
      <c r="O17" s="73" t="s">
        <v>93</v>
      </c>
    </row>
    <row r="18" customFormat="1" ht="146.25" customHeight="1" spans="1:15">
      <c r="A18" s="25">
        <v>13</v>
      </c>
      <c r="B18" s="26" t="s">
        <v>94</v>
      </c>
      <c r="C18" s="26" t="s">
        <v>95</v>
      </c>
      <c r="D18" s="26" t="s">
        <v>69</v>
      </c>
      <c r="E18" s="53">
        <v>119.195</v>
      </c>
      <c r="F18" s="30">
        <v>105</v>
      </c>
      <c r="G18" s="31">
        <f t="shared" si="0"/>
        <v>120</v>
      </c>
      <c r="H18" s="30">
        <v>120</v>
      </c>
      <c r="I18" s="54">
        <v>0</v>
      </c>
      <c r="J18" s="53">
        <v>23</v>
      </c>
      <c r="K18" s="53">
        <f>(F18+G18+J18)*K5</f>
        <v>4.96</v>
      </c>
      <c r="L18" s="53">
        <f>(F18+G18+J18+K18)*L5</f>
        <v>22.7664</v>
      </c>
      <c r="M18" s="55">
        <f t="shared" si="1"/>
        <v>275.7264</v>
      </c>
      <c r="N18" s="53">
        <f t="shared" si="2"/>
        <v>32865.208248</v>
      </c>
      <c r="O18" s="73" t="s">
        <v>93</v>
      </c>
    </row>
    <row r="19" customFormat="1" ht="128.25" customHeight="1" spans="1:15">
      <c r="A19" s="25">
        <v>14</v>
      </c>
      <c r="B19" s="26" t="s">
        <v>96</v>
      </c>
      <c r="C19" s="26" t="s">
        <v>97</v>
      </c>
      <c r="D19" s="26" t="s">
        <v>69</v>
      </c>
      <c r="E19" s="53">
        <v>14.59</v>
      </c>
      <c r="F19" s="30">
        <v>160</v>
      </c>
      <c r="G19" s="31">
        <f t="shared" si="0"/>
        <v>300</v>
      </c>
      <c r="H19" s="30">
        <v>300</v>
      </c>
      <c r="I19" s="54">
        <v>0</v>
      </c>
      <c r="J19" s="53">
        <v>35</v>
      </c>
      <c r="K19" s="53">
        <f>(F19+G19+J19)*K5</f>
        <v>9.9</v>
      </c>
      <c r="L19" s="53">
        <f>(F19+G19+J19+K19)*L5</f>
        <v>45.441</v>
      </c>
      <c r="M19" s="55">
        <f t="shared" si="1"/>
        <v>550.341</v>
      </c>
      <c r="N19" s="53">
        <f t="shared" si="2"/>
        <v>8029.47519</v>
      </c>
      <c r="O19" s="73" t="s">
        <v>93</v>
      </c>
    </row>
    <row r="20" customFormat="1" ht="128.25" customHeight="1" spans="1:15">
      <c r="A20" s="25">
        <v>15</v>
      </c>
      <c r="B20" s="26" t="s">
        <v>94</v>
      </c>
      <c r="C20" s="26" t="s">
        <v>98</v>
      </c>
      <c r="D20" s="26" t="s">
        <v>69</v>
      </c>
      <c r="E20" s="53">
        <f>3.92+0.46</f>
        <v>4.38</v>
      </c>
      <c r="F20" s="30">
        <v>105</v>
      </c>
      <c r="G20" s="31">
        <f t="shared" si="0"/>
        <v>120</v>
      </c>
      <c r="H20" s="30">
        <v>120</v>
      </c>
      <c r="I20" s="54">
        <v>0</v>
      </c>
      <c r="J20" s="53">
        <v>23</v>
      </c>
      <c r="K20" s="53">
        <f>(F20+G20+J20)*K5</f>
        <v>4.96</v>
      </c>
      <c r="L20" s="53">
        <f>(F20+G20+J20+K20)*L5</f>
        <v>22.7664</v>
      </c>
      <c r="M20" s="55">
        <f t="shared" si="1"/>
        <v>275.7264</v>
      </c>
      <c r="N20" s="53">
        <f t="shared" si="2"/>
        <v>1207.681632</v>
      </c>
      <c r="O20" s="73" t="s">
        <v>93</v>
      </c>
    </row>
    <row r="21" customFormat="1" ht="128.25" customHeight="1" spans="1:15">
      <c r="A21" s="25">
        <v>16</v>
      </c>
      <c r="B21" s="26" t="s">
        <v>99</v>
      </c>
      <c r="C21" s="26" t="s">
        <v>100</v>
      </c>
      <c r="D21" s="26" t="s">
        <v>69</v>
      </c>
      <c r="E21" s="53">
        <v>2.5</v>
      </c>
      <c r="F21" s="30">
        <v>150</v>
      </c>
      <c r="G21" s="31">
        <f t="shared" si="0"/>
        <v>580</v>
      </c>
      <c r="H21" s="30">
        <v>580</v>
      </c>
      <c r="I21" s="54">
        <v>0</v>
      </c>
      <c r="J21" s="53">
        <v>220</v>
      </c>
      <c r="K21" s="53">
        <f>(F21+G21+J21)*K5</f>
        <v>19</v>
      </c>
      <c r="L21" s="53">
        <f>(F21+G21+J21+K21)*L5</f>
        <v>87.21</v>
      </c>
      <c r="M21" s="55">
        <f t="shared" si="1"/>
        <v>1056.21</v>
      </c>
      <c r="N21" s="53">
        <f t="shared" si="2"/>
        <v>2640.525</v>
      </c>
      <c r="O21" s="73" t="s">
        <v>101</v>
      </c>
    </row>
    <row r="22" customFormat="1" ht="128.25" customHeight="1" spans="1:15">
      <c r="A22" s="25">
        <v>17</v>
      </c>
      <c r="B22" s="26" t="s">
        <v>102</v>
      </c>
      <c r="C22" s="26" t="s">
        <v>103</v>
      </c>
      <c r="D22" s="26" t="s">
        <v>69</v>
      </c>
      <c r="E22" s="53">
        <f>3.29+4.46+3.51</f>
        <v>11.26</v>
      </c>
      <c r="F22" s="30">
        <v>105</v>
      </c>
      <c r="G22" s="31">
        <f t="shared" si="0"/>
        <v>150</v>
      </c>
      <c r="H22" s="30">
        <v>150</v>
      </c>
      <c r="I22" s="54">
        <v>0</v>
      </c>
      <c r="J22" s="53">
        <v>23</v>
      </c>
      <c r="K22" s="53">
        <f>(F22+G22+J22)*K5</f>
        <v>5.56</v>
      </c>
      <c r="L22" s="53">
        <f>(F22+G22+J22+K22)*L5</f>
        <v>25.5204</v>
      </c>
      <c r="M22" s="55">
        <f t="shared" si="1"/>
        <v>309.0804</v>
      </c>
      <c r="N22" s="53">
        <f t="shared" si="2"/>
        <v>3480.245304</v>
      </c>
      <c r="O22" s="73" t="s">
        <v>93</v>
      </c>
    </row>
    <row r="23" customFormat="1" ht="128.25" customHeight="1" spans="1:15">
      <c r="A23" s="25">
        <v>18</v>
      </c>
      <c r="B23" s="26" t="s">
        <v>99</v>
      </c>
      <c r="C23" s="26" t="s">
        <v>104</v>
      </c>
      <c r="D23" s="26" t="s">
        <v>69</v>
      </c>
      <c r="E23" s="53">
        <v>2.5</v>
      </c>
      <c r="F23" s="30">
        <v>150</v>
      </c>
      <c r="G23" s="31">
        <f t="shared" si="0"/>
        <v>580</v>
      </c>
      <c r="H23" s="30">
        <v>580</v>
      </c>
      <c r="I23" s="54">
        <v>0</v>
      </c>
      <c r="J23" s="53">
        <v>220</v>
      </c>
      <c r="K23" s="53">
        <f>(F23+G23+J23)*K5</f>
        <v>19</v>
      </c>
      <c r="L23" s="53">
        <f>(F23+G23+J23+K23)*L5</f>
        <v>87.21</v>
      </c>
      <c r="M23" s="55">
        <f t="shared" si="1"/>
        <v>1056.21</v>
      </c>
      <c r="N23" s="53">
        <f t="shared" si="2"/>
        <v>2640.525</v>
      </c>
      <c r="O23" s="73" t="s">
        <v>101</v>
      </c>
    </row>
    <row r="24" customFormat="1" ht="96.75" customHeight="1" spans="1:15">
      <c r="A24" s="25">
        <v>19</v>
      </c>
      <c r="B24" s="26" t="s">
        <v>105</v>
      </c>
      <c r="C24" s="26" t="s">
        <v>106</v>
      </c>
      <c r="D24" s="26" t="s">
        <v>69</v>
      </c>
      <c r="E24" s="53">
        <v>17.854</v>
      </c>
      <c r="F24" s="30">
        <v>195</v>
      </c>
      <c r="G24" s="31">
        <f t="shared" si="0"/>
        <v>450</v>
      </c>
      <c r="H24" s="30">
        <v>450</v>
      </c>
      <c r="I24" s="54">
        <v>0</v>
      </c>
      <c r="J24" s="53">
        <v>60</v>
      </c>
      <c r="K24" s="53">
        <f>(F24+G24+J24)*K5</f>
        <v>14.1</v>
      </c>
      <c r="L24" s="53">
        <f>(F24+G24+J24+K24)*L5</f>
        <v>64.719</v>
      </c>
      <c r="M24" s="55">
        <f t="shared" si="1"/>
        <v>783.819</v>
      </c>
      <c r="N24" s="53">
        <f t="shared" si="2"/>
        <v>13994.304426</v>
      </c>
      <c r="O24" s="73" t="s">
        <v>107</v>
      </c>
    </row>
    <row r="25" customFormat="1" ht="76.5" customHeight="1" spans="1:15">
      <c r="A25" s="25">
        <v>20</v>
      </c>
      <c r="B25" s="26" t="s">
        <v>105</v>
      </c>
      <c r="C25" s="26" t="s">
        <v>108</v>
      </c>
      <c r="D25" s="26" t="s">
        <v>69</v>
      </c>
      <c r="E25" s="53">
        <v>6.48</v>
      </c>
      <c r="F25" s="30">
        <v>195</v>
      </c>
      <c r="G25" s="31">
        <f t="shared" si="0"/>
        <v>450</v>
      </c>
      <c r="H25" s="30">
        <v>450</v>
      </c>
      <c r="I25" s="54">
        <v>0</v>
      </c>
      <c r="J25" s="53">
        <v>60</v>
      </c>
      <c r="K25" s="53">
        <f>(F25+G25+J25)*K5</f>
        <v>14.1</v>
      </c>
      <c r="L25" s="53">
        <f>(F25+G25+J25+K25)*L5</f>
        <v>64.719</v>
      </c>
      <c r="M25" s="55">
        <f t="shared" si="1"/>
        <v>783.819</v>
      </c>
      <c r="N25" s="53">
        <f t="shared" si="2"/>
        <v>5079.14712</v>
      </c>
      <c r="O25" s="73" t="s">
        <v>107</v>
      </c>
    </row>
    <row r="26" customFormat="1" ht="43" customHeight="1" spans="1:15">
      <c r="A26" s="25">
        <v>21</v>
      </c>
      <c r="B26" s="26" t="s">
        <v>109</v>
      </c>
      <c r="C26" s="26" t="s">
        <v>110</v>
      </c>
      <c r="D26" s="26" t="s">
        <v>85</v>
      </c>
      <c r="E26" s="53">
        <f>14.721+10.83</f>
        <v>25.551</v>
      </c>
      <c r="F26" s="30">
        <v>30</v>
      </c>
      <c r="G26" s="31">
        <f t="shared" si="0"/>
        <v>60</v>
      </c>
      <c r="H26" s="30">
        <v>60</v>
      </c>
      <c r="I26" s="54">
        <v>0</v>
      </c>
      <c r="J26" s="53">
        <v>20</v>
      </c>
      <c r="K26" s="53">
        <f>(F26+G26+J26)*K5</f>
        <v>2.2</v>
      </c>
      <c r="L26" s="53">
        <f>(F26+G26+J26+K26)*L5</f>
        <v>10.098</v>
      </c>
      <c r="M26" s="55">
        <f t="shared" si="1"/>
        <v>122.298</v>
      </c>
      <c r="N26" s="53">
        <f t="shared" si="2"/>
        <v>3124.836198</v>
      </c>
      <c r="O26" s="73" t="s">
        <v>111</v>
      </c>
    </row>
    <row r="27" customFormat="1" ht="41" customHeight="1" spans="1:15">
      <c r="A27" s="25">
        <v>22</v>
      </c>
      <c r="B27" s="26" t="s">
        <v>112</v>
      </c>
      <c r="C27" s="26" t="s">
        <v>110</v>
      </c>
      <c r="D27" s="26" t="s">
        <v>85</v>
      </c>
      <c r="E27" s="53">
        <f>4.39+7.44*2</f>
        <v>19.27</v>
      </c>
      <c r="F27" s="30">
        <v>30</v>
      </c>
      <c r="G27" s="31">
        <f t="shared" si="0"/>
        <v>60</v>
      </c>
      <c r="H27" s="30">
        <v>60</v>
      </c>
      <c r="I27" s="54">
        <v>0</v>
      </c>
      <c r="J27" s="53">
        <v>20</v>
      </c>
      <c r="K27" s="53">
        <f>(F27+G27+J27)*K5</f>
        <v>2.2</v>
      </c>
      <c r="L27" s="53">
        <f>(F27+G27+J27+K27)*L5</f>
        <v>10.098</v>
      </c>
      <c r="M27" s="55">
        <f t="shared" si="1"/>
        <v>122.298</v>
      </c>
      <c r="N27" s="53">
        <f t="shared" si="2"/>
        <v>2356.68246</v>
      </c>
      <c r="O27" s="73" t="s">
        <v>111</v>
      </c>
    </row>
    <row r="28" customFormat="1" ht="90" customHeight="1" spans="1:15">
      <c r="A28" s="25">
        <v>23</v>
      </c>
      <c r="B28" s="26" t="s">
        <v>113</v>
      </c>
      <c r="C28" s="26" t="s">
        <v>114</v>
      </c>
      <c r="D28" s="26" t="s">
        <v>69</v>
      </c>
      <c r="E28" s="53">
        <f>0.64*7.44</f>
        <v>4.7616</v>
      </c>
      <c r="F28" s="30">
        <v>195</v>
      </c>
      <c r="G28" s="31">
        <f t="shared" si="0"/>
        <v>450</v>
      </c>
      <c r="H28" s="30">
        <v>450</v>
      </c>
      <c r="I28" s="54">
        <v>0</v>
      </c>
      <c r="J28" s="53">
        <v>60</v>
      </c>
      <c r="K28" s="53">
        <f>(F28+G28+J28)*K5</f>
        <v>14.1</v>
      </c>
      <c r="L28" s="53">
        <f>(F28+G28+J28+K28)*L5</f>
        <v>64.719</v>
      </c>
      <c r="M28" s="55">
        <f t="shared" si="1"/>
        <v>783.819</v>
      </c>
      <c r="N28" s="53">
        <f t="shared" si="2"/>
        <v>3732.2325504</v>
      </c>
      <c r="O28" s="73" t="s">
        <v>93</v>
      </c>
    </row>
    <row r="29" customFormat="1" ht="93" customHeight="1" spans="1:15">
      <c r="A29" s="25">
        <v>24</v>
      </c>
      <c r="B29" s="26" t="s">
        <v>115</v>
      </c>
      <c r="C29" s="26" t="s">
        <v>116</v>
      </c>
      <c r="D29" s="26" t="s">
        <v>69</v>
      </c>
      <c r="E29" s="53">
        <f>(0.3+0.13)*7.44</f>
        <v>3.1992</v>
      </c>
      <c r="F29" s="30">
        <v>195</v>
      </c>
      <c r="G29" s="31">
        <f t="shared" si="0"/>
        <v>450</v>
      </c>
      <c r="H29" s="30">
        <v>450</v>
      </c>
      <c r="I29" s="54">
        <v>0</v>
      </c>
      <c r="J29" s="53">
        <v>60</v>
      </c>
      <c r="K29" s="53">
        <f t="shared" ref="K29:K31" si="3">(F29+G29+J29)*K5</f>
        <v>14.1</v>
      </c>
      <c r="L29" s="53">
        <f t="shared" ref="L29:L31" si="4">(F29+G29+J29+K29)*L5</f>
        <v>64.719</v>
      </c>
      <c r="M29" s="55">
        <f t="shared" si="1"/>
        <v>783.819</v>
      </c>
      <c r="N29" s="53">
        <f t="shared" si="2"/>
        <v>2507.5937448</v>
      </c>
      <c r="O29" s="73" t="s">
        <v>93</v>
      </c>
    </row>
    <row r="30" customFormat="1" ht="73.5" customHeight="1" spans="1:15">
      <c r="A30" s="25">
        <v>25</v>
      </c>
      <c r="B30" s="26" t="s">
        <v>117</v>
      </c>
      <c r="C30" s="26" t="s">
        <v>118</v>
      </c>
      <c r="D30" s="26" t="s">
        <v>69</v>
      </c>
      <c r="E30" s="53">
        <f>0.15*(2.61*2+3.53)+0.26*(3.53+0.23*2)</f>
        <v>2.3499</v>
      </c>
      <c r="F30" s="30">
        <v>195</v>
      </c>
      <c r="G30" s="31">
        <f t="shared" si="0"/>
        <v>90</v>
      </c>
      <c r="H30" s="30">
        <v>90</v>
      </c>
      <c r="I30" s="54">
        <v>0</v>
      </c>
      <c r="J30" s="53">
        <v>23</v>
      </c>
      <c r="K30" s="53">
        <f>(F30+G30+J30)*K5</f>
        <v>6.16</v>
      </c>
      <c r="L30" s="53">
        <f>(F30+G30+J30+K30)*L5</f>
        <v>28.2744</v>
      </c>
      <c r="M30" s="55">
        <f t="shared" si="1"/>
        <v>342.4344</v>
      </c>
      <c r="N30" s="53">
        <f t="shared" si="2"/>
        <v>804.68659656</v>
      </c>
      <c r="O30" s="73" t="s">
        <v>93</v>
      </c>
    </row>
    <row r="31" customFormat="1" ht="73.5" customHeight="1" spans="1:15">
      <c r="A31" s="25">
        <v>26</v>
      </c>
      <c r="B31" s="26" t="s">
        <v>119</v>
      </c>
      <c r="C31" s="26" t="s">
        <v>120</v>
      </c>
      <c r="D31" s="26" t="s">
        <v>69</v>
      </c>
      <c r="E31" s="53">
        <f>0.35*11.97</f>
        <v>4.1895</v>
      </c>
      <c r="F31" s="30">
        <v>195</v>
      </c>
      <c r="G31" s="31">
        <f t="shared" si="0"/>
        <v>90</v>
      </c>
      <c r="H31" s="30">
        <v>90</v>
      </c>
      <c r="I31" s="54">
        <v>0</v>
      </c>
      <c r="J31" s="53">
        <v>23</v>
      </c>
      <c r="K31" s="53">
        <f>(F31+G31+J31)*K5</f>
        <v>6.16</v>
      </c>
      <c r="L31" s="53">
        <f>(F31+G31+J31+K31)*L5</f>
        <v>28.2744</v>
      </c>
      <c r="M31" s="55">
        <f t="shared" si="1"/>
        <v>342.4344</v>
      </c>
      <c r="N31" s="53">
        <f t="shared" si="2"/>
        <v>1434.6289188</v>
      </c>
      <c r="O31" s="73" t="s">
        <v>93</v>
      </c>
    </row>
    <row r="32" customFormat="1" ht="33.75" customHeight="1" spans="1:15">
      <c r="A32" s="25">
        <v>27</v>
      </c>
      <c r="B32" s="133" t="s">
        <v>121</v>
      </c>
      <c r="C32" s="26"/>
      <c r="D32" s="26"/>
      <c r="E32" s="53"/>
      <c r="F32" s="30"/>
      <c r="G32" s="31">
        <f t="shared" ref="G32:G71" si="5">H32*(1+I32)</f>
        <v>0</v>
      </c>
      <c r="H32" s="30"/>
      <c r="I32" s="54"/>
      <c r="J32" s="53"/>
      <c r="K32" s="53"/>
      <c r="L32" s="53"/>
      <c r="M32" s="55">
        <f t="shared" ref="M32:M96" si="6">F32+G32+J32+K32+L32</f>
        <v>0</v>
      </c>
      <c r="N32" s="53"/>
      <c r="O32" s="74"/>
    </row>
    <row r="33" customFormat="1" ht="24.75" customHeight="1" spans="1:15">
      <c r="A33" s="25">
        <v>28</v>
      </c>
      <c r="B33" s="32" t="s">
        <v>122</v>
      </c>
      <c r="C33" s="26"/>
      <c r="D33" s="26"/>
      <c r="E33" s="53"/>
      <c r="F33" s="30"/>
      <c r="G33" s="31">
        <f t="shared" si="5"/>
        <v>0</v>
      </c>
      <c r="H33" s="30"/>
      <c r="I33" s="54"/>
      <c r="J33" s="53"/>
      <c r="K33" s="53"/>
      <c r="L33" s="53"/>
      <c r="M33" s="55">
        <f t="shared" si="6"/>
        <v>0</v>
      </c>
      <c r="N33" s="53">
        <f t="shared" ref="N32:N97" si="7">E33*M33</f>
        <v>0</v>
      </c>
      <c r="O33" s="74"/>
    </row>
    <row r="34" customFormat="1" ht="56.25" customHeight="1" spans="1:15">
      <c r="A34" s="25">
        <v>29</v>
      </c>
      <c r="B34" s="26" t="s">
        <v>123</v>
      </c>
      <c r="C34" s="26" t="s">
        <v>124</v>
      </c>
      <c r="D34" s="26" t="s">
        <v>85</v>
      </c>
      <c r="E34" s="53">
        <v>32.83</v>
      </c>
      <c r="F34" s="30">
        <v>15</v>
      </c>
      <c r="G34" s="31">
        <f t="shared" si="5"/>
        <v>35</v>
      </c>
      <c r="H34" s="30">
        <v>35</v>
      </c>
      <c r="I34" s="54">
        <v>0</v>
      </c>
      <c r="J34" s="53">
        <v>5</v>
      </c>
      <c r="K34" s="53">
        <f>(F34+G34+J34)*K5</f>
        <v>1.1</v>
      </c>
      <c r="L34" s="53">
        <f>(F34+G34+J34+K34)*L5</f>
        <v>5.049</v>
      </c>
      <c r="M34" s="55">
        <f t="shared" si="6"/>
        <v>61.149</v>
      </c>
      <c r="N34" s="53">
        <f t="shared" si="7"/>
        <v>2007.52167</v>
      </c>
      <c r="O34" s="73" t="s">
        <v>125</v>
      </c>
    </row>
    <row r="35" customFormat="1" ht="48" customHeight="1" spans="1:15">
      <c r="A35" s="25">
        <v>30</v>
      </c>
      <c r="B35" s="26" t="s">
        <v>126</v>
      </c>
      <c r="C35" s="26" t="s">
        <v>127</v>
      </c>
      <c r="D35" s="26" t="s">
        <v>69</v>
      </c>
      <c r="E35" s="53">
        <v>36.35</v>
      </c>
      <c r="F35" s="30">
        <v>100</v>
      </c>
      <c r="G35" s="31">
        <f t="shared" si="5"/>
        <v>750</v>
      </c>
      <c r="H35" s="30">
        <v>750</v>
      </c>
      <c r="I35" s="54">
        <v>0</v>
      </c>
      <c r="J35" s="53">
        <v>155</v>
      </c>
      <c r="K35" s="53">
        <f>(F35+G35+J35)*K5</f>
        <v>20.1</v>
      </c>
      <c r="L35" s="53">
        <f>(F35+G35+J35+K35)*L5</f>
        <v>92.259</v>
      </c>
      <c r="M35" s="55">
        <f t="shared" si="6"/>
        <v>1117.359</v>
      </c>
      <c r="N35" s="53">
        <f t="shared" si="7"/>
        <v>40615.99965</v>
      </c>
      <c r="O35" s="73" t="s">
        <v>101</v>
      </c>
    </row>
    <row r="36" customFormat="1" ht="64.5" customHeight="1" spans="1:15">
      <c r="A36" s="25">
        <v>31</v>
      </c>
      <c r="B36" s="26" t="s">
        <v>128</v>
      </c>
      <c r="C36" s="26" t="s">
        <v>129</v>
      </c>
      <c r="D36" s="26" t="s">
        <v>69</v>
      </c>
      <c r="E36" s="53">
        <f>13.29-7.37</f>
        <v>5.92</v>
      </c>
      <c r="F36" s="30">
        <v>110</v>
      </c>
      <c r="G36" s="31">
        <f t="shared" si="5"/>
        <v>170</v>
      </c>
      <c r="H36" s="30">
        <v>170</v>
      </c>
      <c r="I36" s="54">
        <v>0</v>
      </c>
      <c r="J36" s="53">
        <v>20</v>
      </c>
      <c r="K36" s="53">
        <f>(F36+G36+J36)*K5</f>
        <v>6</v>
      </c>
      <c r="L36" s="53">
        <f>(F36+G36+J36+K36)*L5</f>
        <v>27.54</v>
      </c>
      <c r="M36" s="55">
        <f t="shared" si="6"/>
        <v>333.54</v>
      </c>
      <c r="N36" s="53">
        <f t="shared" si="7"/>
        <v>1974.5568</v>
      </c>
      <c r="O36" s="73" t="s">
        <v>93</v>
      </c>
    </row>
    <row r="37" customFormat="1" ht="53.25" customHeight="1" spans="1:15">
      <c r="A37" s="25">
        <v>32</v>
      </c>
      <c r="B37" s="26" t="s">
        <v>130</v>
      </c>
      <c r="C37" s="26" t="s">
        <v>131</v>
      </c>
      <c r="D37" s="26" t="s">
        <v>69</v>
      </c>
      <c r="E37" s="53">
        <f>2.14+8.34*0.04</f>
        <v>2.4736</v>
      </c>
      <c r="F37" s="30">
        <v>155</v>
      </c>
      <c r="G37" s="31">
        <f t="shared" si="5"/>
        <v>860</v>
      </c>
      <c r="H37" s="30">
        <v>860</v>
      </c>
      <c r="I37" s="54">
        <v>0</v>
      </c>
      <c r="J37" s="53">
        <v>295</v>
      </c>
      <c r="K37" s="53">
        <f>(F37+G37+J37)*K5</f>
        <v>26.2</v>
      </c>
      <c r="L37" s="53">
        <f>(F37+G37+J37+K37)*L5</f>
        <v>120.258</v>
      </c>
      <c r="M37" s="55">
        <f t="shared" si="6"/>
        <v>1456.458</v>
      </c>
      <c r="N37" s="53">
        <f t="shared" si="7"/>
        <v>3602.6945088</v>
      </c>
      <c r="O37" s="74"/>
    </row>
    <row r="38" customFormat="1" ht="56.25" customHeight="1" spans="1:15">
      <c r="A38" s="25">
        <v>33</v>
      </c>
      <c r="B38" s="26" t="s">
        <v>132</v>
      </c>
      <c r="C38" s="26" t="s">
        <v>133</v>
      </c>
      <c r="D38" s="26" t="s">
        <v>69</v>
      </c>
      <c r="E38" s="53">
        <v>8.458</v>
      </c>
      <c r="F38" s="30">
        <v>150</v>
      </c>
      <c r="G38" s="31">
        <f t="shared" si="5"/>
        <v>1600</v>
      </c>
      <c r="H38" s="30">
        <v>1600</v>
      </c>
      <c r="I38" s="54">
        <v>0</v>
      </c>
      <c r="J38" s="53">
        <v>20</v>
      </c>
      <c r="K38" s="53">
        <f>(F38+G38+J38)*K5</f>
        <v>35.4</v>
      </c>
      <c r="L38" s="53">
        <f>(F38+G38+J38+K38)*L5</f>
        <v>162.486</v>
      </c>
      <c r="M38" s="55">
        <f t="shared" si="6"/>
        <v>1967.886</v>
      </c>
      <c r="N38" s="53">
        <f t="shared" si="7"/>
        <v>16644.379788</v>
      </c>
      <c r="O38" s="73" t="s">
        <v>134</v>
      </c>
    </row>
    <row r="39" customFormat="1" ht="65.25" customHeight="1" spans="1:15">
      <c r="A39" s="25">
        <v>34</v>
      </c>
      <c r="B39" s="26" t="s">
        <v>135</v>
      </c>
      <c r="C39" s="26" t="s">
        <v>136</v>
      </c>
      <c r="D39" s="26" t="s">
        <v>69</v>
      </c>
      <c r="E39" s="53">
        <v>1.806</v>
      </c>
      <c r="F39" s="30">
        <v>155</v>
      </c>
      <c r="G39" s="31">
        <f t="shared" si="5"/>
        <v>860</v>
      </c>
      <c r="H39" s="30">
        <v>860</v>
      </c>
      <c r="I39" s="54">
        <v>0</v>
      </c>
      <c r="J39" s="53">
        <v>295</v>
      </c>
      <c r="K39" s="53">
        <f>(F39+G39+J39)*K5</f>
        <v>26.2</v>
      </c>
      <c r="L39" s="53">
        <f>(F39+G39+J39+K39)*L5</f>
        <v>120.258</v>
      </c>
      <c r="M39" s="55">
        <f t="shared" si="6"/>
        <v>1456.458</v>
      </c>
      <c r="N39" s="53">
        <f t="shared" si="7"/>
        <v>2630.363148</v>
      </c>
      <c r="O39" s="74"/>
    </row>
    <row r="40" customFormat="1" ht="59.25" customHeight="1" spans="1:15">
      <c r="A40" s="25">
        <v>35</v>
      </c>
      <c r="B40" s="26" t="s">
        <v>137</v>
      </c>
      <c r="C40" s="26" t="s">
        <v>138</v>
      </c>
      <c r="D40" s="26" t="s">
        <v>69</v>
      </c>
      <c r="E40" s="53">
        <v>2.027</v>
      </c>
      <c r="F40" s="30">
        <v>230</v>
      </c>
      <c r="G40" s="31">
        <f t="shared" si="5"/>
        <v>950</v>
      </c>
      <c r="H40" s="30">
        <v>950</v>
      </c>
      <c r="I40" s="54">
        <v>0</v>
      </c>
      <c r="J40" s="53">
        <v>95</v>
      </c>
      <c r="K40" s="53">
        <f>(F40+G40+J40)*K5</f>
        <v>25.5</v>
      </c>
      <c r="L40" s="53">
        <f>(F40+G40+J40+K40)*L5</f>
        <v>117.045</v>
      </c>
      <c r="M40" s="55">
        <f t="shared" si="6"/>
        <v>1417.545</v>
      </c>
      <c r="N40" s="53">
        <f t="shared" si="7"/>
        <v>2873.363715</v>
      </c>
      <c r="O40" s="74"/>
    </row>
    <row r="41" customFormat="1" ht="61.5" customHeight="1" spans="1:15">
      <c r="A41" s="25">
        <v>36</v>
      </c>
      <c r="B41" s="26" t="s">
        <v>139</v>
      </c>
      <c r="C41" s="26" t="s">
        <v>140</v>
      </c>
      <c r="D41" s="26" t="s">
        <v>69</v>
      </c>
      <c r="E41" s="53">
        <f>(0.22*6+0.35)*0.87+0.22*(1.48+1.18+0.35*2)+0.355*2*0.35</f>
        <v>2.4406</v>
      </c>
      <c r="F41" s="30">
        <v>130</v>
      </c>
      <c r="G41" s="31">
        <f t="shared" si="5"/>
        <v>450</v>
      </c>
      <c r="H41" s="30">
        <v>450</v>
      </c>
      <c r="I41" s="54">
        <v>0</v>
      </c>
      <c r="J41" s="53">
        <v>15</v>
      </c>
      <c r="K41" s="53">
        <f>(F41+G41+J41)*K5</f>
        <v>11.9</v>
      </c>
      <c r="L41" s="53">
        <f>(F41+G41+J41+K41)*L5</f>
        <v>54.621</v>
      </c>
      <c r="M41" s="55">
        <f t="shared" si="6"/>
        <v>661.521</v>
      </c>
      <c r="N41" s="53">
        <f t="shared" si="7"/>
        <v>1614.5081526</v>
      </c>
      <c r="O41" s="74"/>
    </row>
    <row r="42" customFormat="1" ht="39" customHeight="1" spans="1:15">
      <c r="A42" s="25">
        <v>37</v>
      </c>
      <c r="B42" s="38" t="s">
        <v>141</v>
      </c>
      <c r="C42" s="26" t="s">
        <v>142</v>
      </c>
      <c r="D42" s="26" t="s">
        <v>35</v>
      </c>
      <c r="E42" s="53">
        <v>1</v>
      </c>
      <c r="F42" s="30">
        <v>300</v>
      </c>
      <c r="G42" s="31">
        <f t="shared" si="5"/>
        <v>6000</v>
      </c>
      <c r="H42" s="30">
        <v>6000</v>
      </c>
      <c r="I42" s="54">
        <v>0</v>
      </c>
      <c r="J42" s="53">
        <v>100</v>
      </c>
      <c r="K42" s="53">
        <f>(F42+G42+J42)*K5</f>
        <v>128</v>
      </c>
      <c r="L42" s="53">
        <f>(F42+G42+J42+K42)*L5</f>
        <v>587.52</v>
      </c>
      <c r="M42" s="55">
        <f t="shared" si="6"/>
        <v>7115.52</v>
      </c>
      <c r="N42" s="53">
        <f t="shared" si="7"/>
        <v>7115.52</v>
      </c>
      <c r="O42" s="73" t="s">
        <v>143</v>
      </c>
    </row>
    <row r="43" customFormat="1" ht="74.25" customHeight="1" spans="1:15">
      <c r="A43" s="25">
        <v>38</v>
      </c>
      <c r="B43" s="26" t="s">
        <v>144</v>
      </c>
      <c r="C43" s="26" t="s">
        <v>145</v>
      </c>
      <c r="D43" s="26" t="s">
        <v>35</v>
      </c>
      <c r="E43" s="53">
        <v>1</v>
      </c>
      <c r="F43" s="30">
        <v>200</v>
      </c>
      <c r="G43" s="31">
        <f t="shared" si="5"/>
        <v>2600</v>
      </c>
      <c r="H43" s="30">
        <v>2600</v>
      </c>
      <c r="I43" s="54">
        <v>0</v>
      </c>
      <c r="J43" s="53">
        <v>950</v>
      </c>
      <c r="K43" s="53">
        <f>(F43+G43+J43)*K5</f>
        <v>75</v>
      </c>
      <c r="L43" s="53">
        <f>(F43+G43+J43+K43)*L5</f>
        <v>344.25</v>
      </c>
      <c r="M43" s="55">
        <f t="shared" si="6"/>
        <v>4169.25</v>
      </c>
      <c r="N43" s="53">
        <f t="shared" si="7"/>
        <v>4169.25</v>
      </c>
      <c r="O43" s="73" t="s">
        <v>134</v>
      </c>
    </row>
    <row r="44" customFormat="1" ht="74.25" customHeight="1" spans="1:15">
      <c r="A44" s="25">
        <v>39</v>
      </c>
      <c r="B44" s="26" t="s">
        <v>146</v>
      </c>
      <c r="C44" s="26" t="s">
        <v>147</v>
      </c>
      <c r="D44" s="26" t="s">
        <v>35</v>
      </c>
      <c r="E44" s="53">
        <v>1</v>
      </c>
      <c r="F44" s="30">
        <v>500</v>
      </c>
      <c r="G44" s="31">
        <f t="shared" si="5"/>
        <v>5600</v>
      </c>
      <c r="H44" s="30">
        <v>5600</v>
      </c>
      <c r="I44" s="54">
        <v>0</v>
      </c>
      <c r="J44" s="53">
        <v>100</v>
      </c>
      <c r="K44" s="53">
        <f>(F44+G44+J44)*K5</f>
        <v>124</v>
      </c>
      <c r="L44" s="53">
        <f>(F44+G44+J44+K44)*L5</f>
        <v>569.16</v>
      </c>
      <c r="M44" s="55">
        <f t="shared" si="6"/>
        <v>6893.16</v>
      </c>
      <c r="N44" s="53">
        <f t="shared" si="7"/>
        <v>6893.16</v>
      </c>
      <c r="O44" s="73" t="s">
        <v>134</v>
      </c>
    </row>
    <row r="45" customFormat="1" ht="74.25" customHeight="1" spans="1:15">
      <c r="A45" s="25">
        <v>40</v>
      </c>
      <c r="B45" s="26" t="s">
        <v>148</v>
      </c>
      <c r="C45" s="26" t="s">
        <v>149</v>
      </c>
      <c r="D45" s="26" t="s">
        <v>35</v>
      </c>
      <c r="E45" s="53">
        <v>1</v>
      </c>
      <c r="F45" s="30">
        <v>200</v>
      </c>
      <c r="G45" s="31">
        <f t="shared" si="5"/>
        <v>1900</v>
      </c>
      <c r="H45" s="30">
        <v>1900</v>
      </c>
      <c r="I45" s="54">
        <v>0</v>
      </c>
      <c r="J45" s="53">
        <v>950</v>
      </c>
      <c r="K45" s="53">
        <f>(F45+G45+J45)*K5</f>
        <v>61</v>
      </c>
      <c r="L45" s="53">
        <f>(F45+G45+J45+K45)*L5</f>
        <v>279.99</v>
      </c>
      <c r="M45" s="55">
        <f t="shared" si="6"/>
        <v>3390.99</v>
      </c>
      <c r="N45" s="53">
        <f t="shared" si="7"/>
        <v>3390.99</v>
      </c>
      <c r="O45" s="73" t="s">
        <v>134</v>
      </c>
    </row>
    <row r="46" customFormat="1" ht="74.25" customHeight="1" spans="1:15">
      <c r="A46" s="25">
        <v>41</v>
      </c>
      <c r="B46" s="26" t="s">
        <v>146</v>
      </c>
      <c r="C46" s="26" t="s">
        <v>150</v>
      </c>
      <c r="D46" s="26" t="s">
        <v>35</v>
      </c>
      <c r="E46" s="53">
        <v>1</v>
      </c>
      <c r="F46" s="30">
        <v>300</v>
      </c>
      <c r="G46" s="31">
        <f t="shared" si="5"/>
        <v>2000</v>
      </c>
      <c r="H46" s="30">
        <v>2000</v>
      </c>
      <c r="I46" s="54">
        <v>0</v>
      </c>
      <c r="J46" s="53">
        <v>100</v>
      </c>
      <c r="K46" s="53">
        <f>(F46+G46+J46)*K5</f>
        <v>48</v>
      </c>
      <c r="L46" s="53">
        <f>(F46+G46+J46+K46)*L5</f>
        <v>220.32</v>
      </c>
      <c r="M46" s="55">
        <f t="shared" si="6"/>
        <v>2668.32</v>
      </c>
      <c r="N46" s="53">
        <f t="shared" si="7"/>
        <v>2668.32</v>
      </c>
      <c r="O46" s="73" t="s">
        <v>134</v>
      </c>
    </row>
    <row r="47" customFormat="1" ht="74.25" customHeight="1" spans="1:15">
      <c r="A47" s="25">
        <v>42</v>
      </c>
      <c r="B47" s="26" t="s">
        <v>146</v>
      </c>
      <c r="C47" s="26" t="s">
        <v>151</v>
      </c>
      <c r="D47" s="26" t="s">
        <v>35</v>
      </c>
      <c r="E47" s="53">
        <v>1</v>
      </c>
      <c r="F47" s="30">
        <v>700</v>
      </c>
      <c r="G47" s="31">
        <f t="shared" si="5"/>
        <v>9800</v>
      </c>
      <c r="H47" s="30">
        <v>9800</v>
      </c>
      <c r="I47" s="54">
        <v>0</v>
      </c>
      <c r="J47" s="53">
        <v>500</v>
      </c>
      <c r="K47" s="53">
        <f>(F47+G47+J47)*K5</f>
        <v>220</v>
      </c>
      <c r="L47" s="53">
        <f>(F47+G47+J47+K47)*L5</f>
        <v>1009.8</v>
      </c>
      <c r="M47" s="55">
        <f t="shared" si="6"/>
        <v>12229.8</v>
      </c>
      <c r="N47" s="53">
        <f t="shared" si="7"/>
        <v>12229.8</v>
      </c>
      <c r="O47" s="73" t="s">
        <v>134</v>
      </c>
    </row>
    <row r="48" customFormat="1" ht="52.5" customHeight="1" spans="1:15">
      <c r="A48" s="25">
        <v>43</v>
      </c>
      <c r="B48" s="26" t="s">
        <v>152</v>
      </c>
      <c r="C48" s="26" t="s">
        <v>153</v>
      </c>
      <c r="D48" s="26" t="s">
        <v>35</v>
      </c>
      <c r="E48" s="53">
        <v>1</v>
      </c>
      <c r="F48" s="30">
        <v>500</v>
      </c>
      <c r="G48" s="31">
        <f t="shared" si="5"/>
        <v>19000</v>
      </c>
      <c r="H48" s="30">
        <v>19000</v>
      </c>
      <c r="I48" s="54">
        <v>0</v>
      </c>
      <c r="J48" s="53">
        <v>1600</v>
      </c>
      <c r="K48" s="53">
        <f>(F48+G48+J48)*K5</f>
        <v>422</v>
      </c>
      <c r="L48" s="53">
        <f>(F48+G48+J48+K48)*L5</f>
        <v>1936.98</v>
      </c>
      <c r="M48" s="55">
        <f t="shared" si="6"/>
        <v>23458.98</v>
      </c>
      <c r="N48" s="53">
        <f t="shared" si="7"/>
        <v>23458.98</v>
      </c>
      <c r="O48" s="73" t="s">
        <v>134</v>
      </c>
    </row>
    <row r="49" customFormat="1" ht="54.75" customHeight="1" spans="1:15">
      <c r="A49" s="25">
        <v>44</v>
      </c>
      <c r="B49" s="26" t="s">
        <v>154</v>
      </c>
      <c r="C49" s="26" t="s">
        <v>155</v>
      </c>
      <c r="D49" s="26" t="s">
        <v>69</v>
      </c>
      <c r="E49" s="53">
        <f>0.72+1.26+1.46+0.64</f>
        <v>4.08</v>
      </c>
      <c r="F49" s="30">
        <v>150</v>
      </c>
      <c r="G49" s="31">
        <f t="shared" si="5"/>
        <v>378</v>
      </c>
      <c r="H49" s="30">
        <v>360</v>
      </c>
      <c r="I49" s="54">
        <v>0.05</v>
      </c>
      <c r="J49" s="53">
        <v>65</v>
      </c>
      <c r="K49" s="53">
        <f>(F49+G49+J49)*K5</f>
        <v>11.86</v>
      </c>
      <c r="L49" s="53">
        <f>(F49+G49+J49+K49)*L5</f>
        <v>54.4374</v>
      </c>
      <c r="M49" s="55">
        <f t="shared" si="6"/>
        <v>659.2974</v>
      </c>
      <c r="N49" s="53">
        <f t="shared" si="7"/>
        <v>2689.933392</v>
      </c>
      <c r="O49" s="74"/>
    </row>
    <row r="50" customFormat="1" ht="39" customHeight="1" spans="1:15">
      <c r="A50" s="25">
        <v>45</v>
      </c>
      <c r="B50" s="26" t="s">
        <v>156</v>
      </c>
      <c r="C50" s="26" t="s">
        <v>157</v>
      </c>
      <c r="D50" s="26" t="s">
        <v>35</v>
      </c>
      <c r="E50" s="53">
        <v>2</v>
      </c>
      <c r="F50" s="30">
        <v>150</v>
      </c>
      <c r="G50" s="31">
        <f t="shared" si="5"/>
        <v>1700</v>
      </c>
      <c r="H50" s="30">
        <v>1700</v>
      </c>
      <c r="I50" s="54">
        <v>0</v>
      </c>
      <c r="J50" s="53">
        <v>15</v>
      </c>
      <c r="K50" s="53">
        <f>(F50+G50+J50)*K5</f>
        <v>37.3</v>
      </c>
      <c r="L50" s="53">
        <f>(F50+G50+J50+K50)*L5</f>
        <v>171.207</v>
      </c>
      <c r="M50" s="55">
        <f t="shared" si="6"/>
        <v>2073.507</v>
      </c>
      <c r="N50" s="53">
        <f t="shared" si="7"/>
        <v>4147.014</v>
      </c>
      <c r="O50" s="74"/>
    </row>
    <row r="51" customFormat="1" ht="48" customHeight="1" spans="1:15">
      <c r="A51" s="25">
        <v>46</v>
      </c>
      <c r="B51" s="26" t="s">
        <v>158</v>
      </c>
      <c r="C51" s="26" t="s">
        <v>159</v>
      </c>
      <c r="D51" s="26" t="s">
        <v>69</v>
      </c>
      <c r="E51" s="53">
        <v>4.83</v>
      </c>
      <c r="F51" s="30">
        <v>25</v>
      </c>
      <c r="G51" s="31">
        <f t="shared" si="5"/>
        <v>10</v>
      </c>
      <c r="H51" s="30">
        <v>10</v>
      </c>
      <c r="I51" s="54">
        <v>0</v>
      </c>
      <c r="J51" s="53">
        <v>18</v>
      </c>
      <c r="K51" s="53">
        <f>(F51+G51+J51)*K5</f>
        <v>1.06</v>
      </c>
      <c r="L51" s="53">
        <f>(F51+G51+J51+K51)*L5</f>
        <v>4.8654</v>
      </c>
      <c r="M51" s="55">
        <f t="shared" si="6"/>
        <v>58.9254</v>
      </c>
      <c r="N51" s="53">
        <f t="shared" si="7"/>
        <v>284.609682</v>
      </c>
      <c r="O51" s="73" t="s">
        <v>160</v>
      </c>
    </row>
    <row r="52" customFormat="1" ht="39" customHeight="1" spans="1:15">
      <c r="A52" s="25">
        <v>47</v>
      </c>
      <c r="B52" s="26" t="s">
        <v>161</v>
      </c>
      <c r="C52" s="26" t="s">
        <v>162</v>
      </c>
      <c r="D52" s="26" t="s">
        <v>85</v>
      </c>
      <c r="E52" s="53">
        <v>4.83</v>
      </c>
      <c r="F52" s="30">
        <v>28</v>
      </c>
      <c r="G52" s="31">
        <f t="shared" si="5"/>
        <v>100</v>
      </c>
      <c r="H52" s="30">
        <v>100</v>
      </c>
      <c r="I52" s="54">
        <v>0</v>
      </c>
      <c r="J52" s="53">
        <v>5</v>
      </c>
      <c r="K52" s="53">
        <f>(F52+G52+J52)*K5</f>
        <v>2.66</v>
      </c>
      <c r="L52" s="53">
        <f>(F52+G52+J52+K52)*L5</f>
        <v>12.2094</v>
      </c>
      <c r="M52" s="55">
        <f t="shared" si="6"/>
        <v>147.8694</v>
      </c>
      <c r="N52" s="53">
        <f t="shared" si="7"/>
        <v>714.209202</v>
      </c>
      <c r="O52" s="74"/>
    </row>
    <row r="53" customFormat="1" ht="39" customHeight="1" spans="1:15">
      <c r="A53" s="25">
        <v>48</v>
      </c>
      <c r="B53" s="26" t="s">
        <v>163</v>
      </c>
      <c r="C53" s="26" t="s">
        <v>164</v>
      </c>
      <c r="D53" s="26" t="s">
        <v>85</v>
      </c>
      <c r="E53" s="53">
        <f>4.65*2</f>
        <v>9.3</v>
      </c>
      <c r="F53" s="30">
        <v>80</v>
      </c>
      <c r="G53" s="31">
        <f t="shared" si="5"/>
        <v>320</v>
      </c>
      <c r="H53" s="30">
        <v>320</v>
      </c>
      <c r="I53" s="54">
        <v>0</v>
      </c>
      <c r="J53" s="53">
        <v>6</v>
      </c>
      <c r="K53" s="53">
        <f>(F53+G53+J53)*K5</f>
        <v>8.12</v>
      </c>
      <c r="L53" s="53">
        <f>(F53+G53+J53+K53)*L5</f>
        <v>37.2708</v>
      </c>
      <c r="M53" s="55">
        <f t="shared" si="6"/>
        <v>451.3908</v>
      </c>
      <c r="N53" s="53">
        <f t="shared" si="7"/>
        <v>4197.93444</v>
      </c>
      <c r="O53" s="74"/>
    </row>
    <row r="54" customFormat="1" ht="49.5" customHeight="1" spans="1:15">
      <c r="A54" s="25">
        <v>49</v>
      </c>
      <c r="B54" s="26" t="s">
        <v>165</v>
      </c>
      <c r="C54" s="26" t="s">
        <v>166</v>
      </c>
      <c r="D54" s="26" t="s">
        <v>85</v>
      </c>
      <c r="E54" s="53">
        <v>4.83</v>
      </c>
      <c r="F54" s="30">
        <v>110</v>
      </c>
      <c r="G54" s="31">
        <f t="shared" si="5"/>
        <v>550</v>
      </c>
      <c r="H54" s="30">
        <v>550</v>
      </c>
      <c r="I54" s="54">
        <v>0</v>
      </c>
      <c r="J54" s="53">
        <v>280</v>
      </c>
      <c r="K54" s="53">
        <f>(F54+G54+J54)*K5</f>
        <v>18.8</v>
      </c>
      <c r="L54" s="53">
        <f>(F54+G54+J54+K54)*L5</f>
        <v>86.292</v>
      </c>
      <c r="M54" s="55">
        <f t="shared" si="6"/>
        <v>1045.092</v>
      </c>
      <c r="N54" s="53">
        <f t="shared" si="7"/>
        <v>5047.79436</v>
      </c>
      <c r="O54" s="73" t="s">
        <v>167</v>
      </c>
    </row>
    <row r="55" customFormat="1" ht="49.5" customHeight="1" spans="1:15">
      <c r="A55" s="25">
        <v>50</v>
      </c>
      <c r="B55" s="26" t="s">
        <v>168</v>
      </c>
      <c r="C55" s="26" t="s">
        <v>169</v>
      </c>
      <c r="D55" s="26" t="s">
        <v>69</v>
      </c>
      <c r="E55" s="53">
        <f>0.495*(3.1+2)*2</f>
        <v>5.049</v>
      </c>
      <c r="F55" s="30">
        <v>130</v>
      </c>
      <c r="G55" s="31">
        <f t="shared" si="5"/>
        <v>350</v>
      </c>
      <c r="H55" s="30">
        <v>350</v>
      </c>
      <c r="I55" s="54">
        <v>0</v>
      </c>
      <c r="J55" s="53">
        <v>15</v>
      </c>
      <c r="K55" s="53">
        <f>(F55+G55+J55)*K5</f>
        <v>9.9</v>
      </c>
      <c r="L55" s="53">
        <f>(F55+G55+J55+K55)*L5</f>
        <v>45.441</v>
      </c>
      <c r="M55" s="55">
        <f t="shared" si="6"/>
        <v>550.341</v>
      </c>
      <c r="N55" s="53">
        <f t="shared" si="7"/>
        <v>2778.671709</v>
      </c>
      <c r="O55" s="74"/>
    </row>
    <row r="56" customFormat="1" ht="43.5" customHeight="1" spans="1:15">
      <c r="A56" s="25">
        <v>51</v>
      </c>
      <c r="B56" s="38" t="s">
        <v>170</v>
      </c>
      <c r="C56" s="26" t="s">
        <v>171</v>
      </c>
      <c r="D56" s="26" t="s">
        <v>35</v>
      </c>
      <c r="E56" s="53">
        <v>1</v>
      </c>
      <c r="F56" s="30">
        <v>300</v>
      </c>
      <c r="G56" s="31">
        <f t="shared" si="5"/>
        <v>4900</v>
      </c>
      <c r="H56" s="30">
        <v>4900</v>
      </c>
      <c r="I56" s="54">
        <v>0</v>
      </c>
      <c r="J56" s="53">
        <v>100</v>
      </c>
      <c r="K56" s="53">
        <f>(F56+G56+J56)*K5</f>
        <v>106</v>
      </c>
      <c r="L56" s="53">
        <f>(F56+G56+J56+K56)*L5</f>
        <v>486.54</v>
      </c>
      <c r="M56" s="55">
        <f t="shared" si="6"/>
        <v>5892.54</v>
      </c>
      <c r="N56" s="53">
        <f t="shared" si="7"/>
        <v>5892.54</v>
      </c>
      <c r="O56" s="73" t="s">
        <v>172</v>
      </c>
    </row>
    <row r="57" customFormat="1" ht="49.5" customHeight="1" spans="1:15">
      <c r="A57" s="25">
        <v>52</v>
      </c>
      <c r="B57" s="26" t="s">
        <v>173</v>
      </c>
      <c r="C57" s="26" t="s">
        <v>174</v>
      </c>
      <c r="D57" s="26" t="s">
        <v>35</v>
      </c>
      <c r="E57" s="53">
        <v>1</v>
      </c>
      <c r="F57" s="30"/>
      <c r="G57" s="31"/>
      <c r="H57" s="30"/>
      <c r="I57" s="54">
        <v>0</v>
      </c>
      <c r="J57" s="53"/>
      <c r="K57" s="53">
        <f>(F57+G57+J57)*K5</f>
        <v>0</v>
      </c>
      <c r="L57" s="53">
        <f>(F57+G57+J57+K57)*L5</f>
        <v>0</v>
      </c>
      <c r="M57" s="55">
        <f t="shared" si="6"/>
        <v>0</v>
      </c>
      <c r="N57" s="53">
        <f t="shared" si="7"/>
        <v>0</v>
      </c>
      <c r="O57" s="73" t="s">
        <v>175</v>
      </c>
    </row>
    <row r="58" customFormat="1" ht="54" customHeight="1" spans="1:15">
      <c r="A58" s="25">
        <v>53</v>
      </c>
      <c r="B58" s="26" t="s">
        <v>176</v>
      </c>
      <c r="C58" s="26" t="s">
        <v>177</v>
      </c>
      <c r="D58" s="26" t="s">
        <v>35</v>
      </c>
      <c r="E58" s="53">
        <v>1</v>
      </c>
      <c r="F58" s="30">
        <v>400</v>
      </c>
      <c r="G58" s="31">
        <f t="shared" si="5"/>
        <v>8200</v>
      </c>
      <c r="H58" s="30">
        <v>8200</v>
      </c>
      <c r="I58" s="54">
        <v>0</v>
      </c>
      <c r="J58" s="53">
        <v>100</v>
      </c>
      <c r="K58" s="53">
        <f>(F58+G58+J58)*K5</f>
        <v>174</v>
      </c>
      <c r="L58" s="53">
        <f>(F58+G58+J58+K58)*L5</f>
        <v>798.66</v>
      </c>
      <c r="M58" s="55">
        <f t="shared" si="6"/>
        <v>9672.66</v>
      </c>
      <c r="N58" s="53">
        <f t="shared" si="7"/>
        <v>9672.66</v>
      </c>
      <c r="O58" s="73" t="s">
        <v>134</v>
      </c>
    </row>
    <row r="59" customFormat="1" ht="52.5" customHeight="1" spans="1:15">
      <c r="A59" s="25">
        <v>54</v>
      </c>
      <c r="B59" s="26" t="s">
        <v>178</v>
      </c>
      <c r="C59" s="26" t="s">
        <v>179</v>
      </c>
      <c r="D59" s="26" t="s">
        <v>69</v>
      </c>
      <c r="E59" s="53">
        <v>2.55</v>
      </c>
      <c r="F59" s="30">
        <v>80</v>
      </c>
      <c r="G59" s="31">
        <f t="shared" si="5"/>
        <v>460</v>
      </c>
      <c r="H59" s="30">
        <v>460</v>
      </c>
      <c r="I59" s="54">
        <v>0</v>
      </c>
      <c r="J59" s="53">
        <v>20</v>
      </c>
      <c r="K59" s="53">
        <f>(F59+G59+J59)*K5</f>
        <v>11.2</v>
      </c>
      <c r="L59" s="53">
        <f>(F59+G59+J59+K59)*L5</f>
        <v>51.408</v>
      </c>
      <c r="M59" s="55">
        <f t="shared" si="6"/>
        <v>622.608</v>
      </c>
      <c r="N59" s="53">
        <f t="shared" si="7"/>
        <v>1587.6504</v>
      </c>
      <c r="O59" s="74"/>
    </row>
    <row r="60" customFormat="1" ht="52.5" customHeight="1" spans="1:15">
      <c r="A60" s="25">
        <v>55</v>
      </c>
      <c r="B60" s="26" t="s">
        <v>128</v>
      </c>
      <c r="C60" s="26" t="s">
        <v>180</v>
      </c>
      <c r="D60" s="26" t="s">
        <v>69</v>
      </c>
      <c r="E60" s="53">
        <f>11.52-7.37</f>
        <v>4.15</v>
      </c>
      <c r="F60" s="30">
        <v>80</v>
      </c>
      <c r="G60" s="31">
        <f t="shared" si="5"/>
        <v>140</v>
      </c>
      <c r="H60" s="30">
        <v>140</v>
      </c>
      <c r="I60" s="54">
        <v>0</v>
      </c>
      <c r="J60" s="53">
        <v>20</v>
      </c>
      <c r="K60" s="53">
        <f>(F60+G60+J60)*K5</f>
        <v>4.8</v>
      </c>
      <c r="L60" s="53">
        <f>(F60+G60+J60+K60)*L5</f>
        <v>22.032</v>
      </c>
      <c r="M60" s="55">
        <f t="shared" si="6"/>
        <v>266.832</v>
      </c>
      <c r="N60" s="53">
        <f t="shared" si="7"/>
        <v>1107.3528</v>
      </c>
      <c r="O60" s="73" t="s">
        <v>93</v>
      </c>
    </row>
    <row r="61" customFormat="1" ht="49.5" customHeight="1" spans="1:15">
      <c r="A61" s="25">
        <v>56</v>
      </c>
      <c r="B61" s="26" t="s">
        <v>181</v>
      </c>
      <c r="C61" s="26" t="s">
        <v>182</v>
      </c>
      <c r="D61" s="26" t="s">
        <v>69</v>
      </c>
      <c r="E61" s="53">
        <f>5.62+3.92*5.1</f>
        <v>25.612</v>
      </c>
      <c r="F61" s="30">
        <v>120</v>
      </c>
      <c r="G61" s="31">
        <f t="shared" si="5"/>
        <v>165</v>
      </c>
      <c r="H61" s="30">
        <v>165</v>
      </c>
      <c r="I61" s="54">
        <v>0</v>
      </c>
      <c r="J61" s="53">
        <v>130</v>
      </c>
      <c r="K61" s="53">
        <f>(F61+G61+J61)*K5</f>
        <v>8.3</v>
      </c>
      <c r="L61" s="53">
        <f>(F61+G61+J61+K61)*L5</f>
        <v>38.097</v>
      </c>
      <c r="M61" s="55">
        <f t="shared" si="6"/>
        <v>461.397</v>
      </c>
      <c r="N61" s="53">
        <f t="shared" si="7"/>
        <v>11817.299964</v>
      </c>
      <c r="O61" s="74"/>
    </row>
    <row r="62" customFormat="1" ht="61.5" customHeight="1" spans="1:15">
      <c r="A62" s="25">
        <v>57</v>
      </c>
      <c r="B62" s="26" t="s">
        <v>183</v>
      </c>
      <c r="C62" s="26" t="s">
        <v>184</v>
      </c>
      <c r="D62" s="26" t="s">
        <v>69</v>
      </c>
      <c r="E62" s="53">
        <v>5.53</v>
      </c>
      <c r="F62" s="30">
        <v>120</v>
      </c>
      <c r="G62" s="31">
        <f t="shared" si="5"/>
        <v>260</v>
      </c>
      <c r="H62" s="30">
        <v>260</v>
      </c>
      <c r="I62" s="54">
        <v>0</v>
      </c>
      <c r="J62" s="53">
        <v>130</v>
      </c>
      <c r="K62" s="53">
        <f>(F62+G62+J62)*K5</f>
        <v>10.2</v>
      </c>
      <c r="L62" s="53">
        <f>(F62+G62+J62+K62)*L5</f>
        <v>46.818</v>
      </c>
      <c r="M62" s="55">
        <f t="shared" si="6"/>
        <v>567.018</v>
      </c>
      <c r="N62" s="53">
        <f t="shared" si="7"/>
        <v>3135.60954</v>
      </c>
      <c r="O62" s="74"/>
    </row>
    <row r="63" customFormat="1" ht="49.5" customHeight="1" spans="1:15">
      <c r="A63" s="25">
        <v>58</v>
      </c>
      <c r="B63" s="26" t="s">
        <v>185</v>
      </c>
      <c r="C63" s="26" t="s">
        <v>186</v>
      </c>
      <c r="D63" s="26" t="s">
        <v>69</v>
      </c>
      <c r="E63" s="53">
        <v>10.38</v>
      </c>
      <c r="F63" s="30">
        <v>260</v>
      </c>
      <c r="G63" s="31">
        <f t="shared" si="5"/>
        <v>750</v>
      </c>
      <c r="H63" s="30">
        <v>750</v>
      </c>
      <c r="I63" s="54">
        <v>0</v>
      </c>
      <c r="J63" s="53">
        <v>180</v>
      </c>
      <c r="K63" s="53">
        <f>(F63+G63+J63)*K5</f>
        <v>23.8</v>
      </c>
      <c r="L63" s="53">
        <f>(F63+G63+J63+K63)*L5</f>
        <v>109.242</v>
      </c>
      <c r="M63" s="55">
        <f t="shared" si="6"/>
        <v>1323.042</v>
      </c>
      <c r="N63" s="53">
        <f t="shared" si="7"/>
        <v>13733.17596</v>
      </c>
      <c r="O63" s="73" t="s">
        <v>134</v>
      </c>
    </row>
    <row r="64" customFormat="1" ht="60.75" customHeight="1" spans="1:15">
      <c r="A64" s="25">
        <v>59</v>
      </c>
      <c r="B64" s="26" t="s">
        <v>176</v>
      </c>
      <c r="C64" s="26" t="s">
        <v>187</v>
      </c>
      <c r="D64" s="26" t="s">
        <v>35</v>
      </c>
      <c r="E64" s="53">
        <v>1</v>
      </c>
      <c r="F64" s="30">
        <v>400</v>
      </c>
      <c r="G64" s="31">
        <f t="shared" si="5"/>
        <v>7800</v>
      </c>
      <c r="H64" s="30">
        <v>7800</v>
      </c>
      <c r="I64" s="54">
        <v>0</v>
      </c>
      <c r="J64" s="53">
        <v>100</v>
      </c>
      <c r="K64" s="53">
        <f>(F64+G64+J64)*K5</f>
        <v>166</v>
      </c>
      <c r="L64" s="53">
        <f>(F64+G64+J64+K64)*L5</f>
        <v>761.94</v>
      </c>
      <c r="M64" s="55">
        <f t="shared" si="6"/>
        <v>9227.94</v>
      </c>
      <c r="N64" s="53">
        <f t="shared" si="7"/>
        <v>9227.94</v>
      </c>
      <c r="O64" s="73" t="s">
        <v>134</v>
      </c>
    </row>
    <row r="65" customFormat="1" ht="69" customHeight="1" spans="1:15">
      <c r="A65" s="25">
        <v>60</v>
      </c>
      <c r="B65" s="26" t="s">
        <v>188</v>
      </c>
      <c r="C65" s="26" t="s">
        <v>189</v>
      </c>
      <c r="D65" s="26" t="s">
        <v>69</v>
      </c>
      <c r="E65" s="53">
        <f>8.04+0.79+(11.89+6.14+0.26*2)*0.356</f>
        <v>15.4338</v>
      </c>
      <c r="F65" s="30">
        <v>120</v>
      </c>
      <c r="G65" s="31">
        <f t="shared" si="5"/>
        <v>650</v>
      </c>
      <c r="H65" s="30">
        <v>650</v>
      </c>
      <c r="I65" s="54">
        <v>0</v>
      </c>
      <c r="J65" s="53">
        <v>180</v>
      </c>
      <c r="K65" s="53">
        <f>(F65+G65+J65)*K5</f>
        <v>19</v>
      </c>
      <c r="L65" s="53">
        <f>(F65+G65+J65+K65)*L5</f>
        <v>87.21</v>
      </c>
      <c r="M65" s="55">
        <f t="shared" si="6"/>
        <v>1056.21</v>
      </c>
      <c r="N65" s="53">
        <f t="shared" si="7"/>
        <v>16301.333898</v>
      </c>
      <c r="O65" s="74"/>
    </row>
    <row r="66" customFormat="1" ht="62" customHeight="1" spans="1:15">
      <c r="A66" s="25">
        <v>61</v>
      </c>
      <c r="B66" s="38" t="s">
        <v>190</v>
      </c>
      <c r="C66" s="38" t="s">
        <v>191</v>
      </c>
      <c r="D66" s="26" t="s">
        <v>69</v>
      </c>
      <c r="E66" s="53">
        <v>10.37</v>
      </c>
      <c r="F66" s="30">
        <v>100</v>
      </c>
      <c r="G66" s="31">
        <f t="shared" si="5"/>
        <v>200</v>
      </c>
      <c r="H66" s="30">
        <v>200</v>
      </c>
      <c r="I66" s="54">
        <v>0</v>
      </c>
      <c r="J66" s="53">
        <v>155</v>
      </c>
      <c r="K66" s="53">
        <f>(F66+G66+J66)*K5</f>
        <v>9.1</v>
      </c>
      <c r="L66" s="53">
        <f>(F66+G66+J66+K66)*L5</f>
        <v>41.769</v>
      </c>
      <c r="M66" s="55">
        <f t="shared" si="6"/>
        <v>505.869</v>
      </c>
      <c r="N66" s="53">
        <f t="shared" si="7"/>
        <v>5245.86153</v>
      </c>
      <c r="O66" s="74"/>
    </row>
    <row r="67" customFormat="1" ht="57" customHeight="1" spans="1:15">
      <c r="A67" s="25">
        <v>62</v>
      </c>
      <c r="B67" s="38" t="s">
        <v>192</v>
      </c>
      <c r="C67" s="38" t="s">
        <v>193</v>
      </c>
      <c r="D67" s="38" t="s">
        <v>85</v>
      </c>
      <c r="E67" s="58"/>
      <c r="F67" s="39"/>
      <c r="G67" s="40"/>
      <c r="H67" s="39"/>
      <c r="I67" s="57"/>
      <c r="J67" s="58"/>
      <c r="K67" s="58"/>
      <c r="L67" s="58"/>
      <c r="M67" s="59"/>
      <c r="N67" s="58"/>
      <c r="O67" s="73"/>
    </row>
    <row r="68" customFormat="1" ht="57" customHeight="1" spans="1:15">
      <c r="A68" s="25">
        <v>63</v>
      </c>
      <c r="B68" s="38" t="s">
        <v>194</v>
      </c>
      <c r="C68" s="38" t="s">
        <v>195</v>
      </c>
      <c r="D68" s="38" t="s">
        <v>69</v>
      </c>
      <c r="E68" s="58">
        <v>21</v>
      </c>
      <c r="F68" s="39">
        <v>80</v>
      </c>
      <c r="G68" s="40">
        <f t="shared" si="5"/>
        <v>140</v>
      </c>
      <c r="H68" s="39">
        <v>140</v>
      </c>
      <c r="I68" s="57">
        <v>0</v>
      </c>
      <c r="J68" s="58">
        <v>50</v>
      </c>
      <c r="K68" s="58">
        <f>(F68+G68+J68)*K5</f>
        <v>5.4</v>
      </c>
      <c r="L68" s="58">
        <f>(F68+G68+J68+K68)*L5</f>
        <v>24.786</v>
      </c>
      <c r="M68" s="59">
        <f t="shared" si="6"/>
        <v>300.186</v>
      </c>
      <c r="N68" s="58">
        <f t="shared" si="7"/>
        <v>6303.906</v>
      </c>
      <c r="O68" s="73" t="s">
        <v>93</v>
      </c>
    </row>
    <row r="69" customFormat="1" ht="57" customHeight="1" spans="1:15">
      <c r="A69" s="25">
        <v>64</v>
      </c>
      <c r="B69" s="38" t="s">
        <v>196</v>
      </c>
      <c r="C69" s="38" t="s">
        <v>197</v>
      </c>
      <c r="D69" s="38" t="s">
        <v>35</v>
      </c>
      <c r="E69" s="58">
        <v>1</v>
      </c>
      <c r="F69" s="39">
        <v>1000</v>
      </c>
      <c r="G69" s="40">
        <v>34000</v>
      </c>
      <c r="H69" s="39">
        <v>34000</v>
      </c>
      <c r="I69" s="57">
        <v>0</v>
      </c>
      <c r="J69" s="58">
        <v>300</v>
      </c>
      <c r="K69" s="58">
        <f>(F69+G69+J69)*K5</f>
        <v>706</v>
      </c>
      <c r="L69" s="58">
        <f>(F69+G69+J69+K69)*L5</f>
        <v>3240.54</v>
      </c>
      <c r="M69" s="59">
        <f t="shared" si="6"/>
        <v>39246.54</v>
      </c>
      <c r="N69" s="58">
        <f t="shared" si="7"/>
        <v>39246.54</v>
      </c>
      <c r="O69" s="73" t="s">
        <v>134</v>
      </c>
    </row>
    <row r="70" customFormat="1" ht="49.5" customHeight="1" spans="1:15">
      <c r="A70" s="25">
        <v>65</v>
      </c>
      <c r="B70" s="32" t="s">
        <v>198</v>
      </c>
      <c r="C70" s="26"/>
      <c r="D70" s="26"/>
      <c r="E70" s="53"/>
      <c r="F70" s="30"/>
      <c r="G70" s="31">
        <f t="shared" ref="G70:G99" si="8">H70*(1+I70)</f>
        <v>0</v>
      </c>
      <c r="H70" s="30"/>
      <c r="I70" s="54"/>
      <c r="J70" s="53"/>
      <c r="K70" s="53"/>
      <c r="L70" s="53"/>
      <c r="M70" s="55">
        <f t="shared" si="6"/>
        <v>0</v>
      </c>
      <c r="N70" s="53">
        <f t="shared" si="7"/>
        <v>0</v>
      </c>
      <c r="O70" s="74"/>
    </row>
    <row r="71" customFormat="1" ht="115" customHeight="1" spans="1:15">
      <c r="A71" s="25">
        <v>66</v>
      </c>
      <c r="B71" s="26" t="s">
        <v>199</v>
      </c>
      <c r="C71" s="26" t="s">
        <v>200</v>
      </c>
      <c r="D71" s="26" t="s">
        <v>69</v>
      </c>
      <c r="E71" s="53">
        <f>3.46+3.5+3.46+6.05-1.42</f>
        <v>15.05</v>
      </c>
      <c r="F71" s="30">
        <v>60</v>
      </c>
      <c r="G71" s="31">
        <f t="shared" si="8"/>
        <v>207.9</v>
      </c>
      <c r="H71" s="30">
        <v>198</v>
      </c>
      <c r="I71" s="54">
        <v>0.05</v>
      </c>
      <c r="J71" s="53">
        <v>155</v>
      </c>
      <c r="K71" s="53">
        <f>(F71+G71+J71)*K5</f>
        <v>8.458</v>
      </c>
      <c r="L71" s="53">
        <f>(F71+G71+J71+K71)*L5</f>
        <v>38.82222</v>
      </c>
      <c r="M71" s="55">
        <f t="shared" si="6"/>
        <v>470.18022</v>
      </c>
      <c r="N71" s="53">
        <f t="shared" si="7"/>
        <v>7076.212311</v>
      </c>
      <c r="O71" s="73" t="s">
        <v>76</v>
      </c>
    </row>
    <row r="72" customFormat="1" ht="60" customHeight="1" spans="1:15">
      <c r="A72" s="25">
        <v>67</v>
      </c>
      <c r="B72" s="26" t="s">
        <v>201</v>
      </c>
      <c r="C72" s="26" t="s">
        <v>202</v>
      </c>
      <c r="D72" s="26" t="s">
        <v>69</v>
      </c>
      <c r="E72" s="53">
        <v>2.83</v>
      </c>
      <c r="F72" s="30">
        <v>100</v>
      </c>
      <c r="G72" s="31">
        <f t="shared" si="8"/>
        <v>750</v>
      </c>
      <c r="H72" s="30">
        <v>750</v>
      </c>
      <c r="I72" s="54">
        <v>0</v>
      </c>
      <c r="J72" s="53">
        <v>35</v>
      </c>
      <c r="K72" s="53">
        <f>(F72+G72+J72)*K5</f>
        <v>17.7</v>
      </c>
      <c r="L72" s="53">
        <f>(F72+G72+J72+K72)*L5</f>
        <v>81.243</v>
      </c>
      <c r="M72" s="55">
        <f t="shared" si="6"/>
        <v>983.943</v>
      </c>
      <c r="N72" s="53">
        <f t="shared" si="7"/>
        <v>2784.55869</v>
      </c>
      <c r="O72" s="74"/>
    </row>
    <row r="73" customFormat="1" ht="57" customHeight="1" spans="1:15">
      <c r="A73" s="25">
        <v>68</v>
      </c>
      <c r="B73" s="26" t="s">
        <v>203</v>
      </c>
      <c r="C73" s="26" t="s">
        <v>204</v>
      </c>
      <c r="D73" s="26" t="s">
        <v>35</v>
      </c>
      <c r="E73" s="53">
        <v>1</v>
      </c>
      <c r="F73" s="30">
        <v>300</v>
      </c>
      <c r="G73" s="31">
        <f t="shared" si="8"/>
        <v>1500</v>
      </c>
      <c r="H73" s="30">
        <v>1500</v>
      </c>
      <c r="I73" s="54">
        <v>0</v>
      </c>
      <c r="J73" s="53">
        <v>600</v>
      </c>
      <c r="K73" s="53">
        <f>(F73+G73+J73)*K5</f>
        <v>48</v>
      </c>
      <c r="L73" s="53">
        <f>(F73+G73+J73+K73)*L5</f>
        <v>220.32</v>
      </c>
      <c r="M73" s="55">
        <f t="shared" si="6"/>
        <v>2668.32</v>
      </c>
      <c r="N73" s="53">
        <f t="shared" si="7"/>
        <v>2668.32</v>
      </c>
      <c r="O73" s="73" t="s">
        <v>205</v>
      </c>
    </row>
    <row r="74" customFormat="1" ht="64.5" customHeight="1" spans="1:15">
      <c r="A74" s="25">
        <v>69</v>
      </c>
      <c r="B74" s="26" t="s">
        <v>206</v>
      </c>
      <c r="C74" s="26" t="s">
        <v>207</v>
      </c>
      <c r="D74" s="26" t="s">
        <v>35</v>
      </c>
      <c r="E74" s="53">
        <v>1</v>
      </c>
      <c r="F74" s="30">
        <v>200</v>
      </c>
      <c r="G74" s="31">
        <f t="shared" si="8"/>
        <v>1500</v>
      </c>
      <c r="H74" s="30">
        <v>1500</v>
      </c>
      <c r="I74" s="54">
        <v>0</v>
      </c>
      <c r="J74" s="53">
        <v>1200</v>
      </c>
      <c r="K74" s="53">
        <f>(F74+G74+J74)*K5</f>
        <v>58</v>
      </c>
      <c r="L74" s="53">
        <f>(F74+G74+J74+K74)*L5</f>
        <v>266.22</v>
      </c>
      <c r="M74" s="55">
        <f t="shared" si="6"/>
        <v>3224.22</v>
      </c>
      <c r="N74" s="53">
        <f t="shared" si="7"/>
        <v>3224.22</v>
      </c>
      <c r="O74" s="73" t="s">
        <v>134</v>
      </c>
    </row>
    <row r="75" customFormat="1" ht="31" customHeight="1" spans="1:15">
      <c r="A75" s="25">
        <v>70</v>
      </c>
      <c r="B75" s="32" t="s">
        <v>208</v>
      </c>
      <c r="C75" s="26"/>
      <c r="D75" s="26"/>
      <c r="E75" s="53"/>
      <c r="F75" s="30"/>
      <c r="G75" s="31">
        <f t="shared" si="8"/>
        <v>0</v>
      </c>
      <c r="H75" s="30"/>
      <c r="I75" s="54"/>
      <c r="J75" s="53"/>
      <c r="K75" s="53"/>
      <c r="L75" s="53"/>
      <c r="M75" s="55">
        <f t="shared" si="6"/>
        <v>0</v>
      </c>
      <c r="N75" s="53">
        <f t="shared" si="7"/>
        <v>0</v>
      </c>
      <c r="O75" s="74"/>
    </row>
    <row r="76" customFormat="1" ht="49.5" customHeight="1" spans="1:15">
      <c r="A76" s="25">
        <v>71</v>
      </c>
      <c r="B76" s="26" t="s">
        <v>123</v>
      </c>
      <c r="C76" s="26" t="s">
        <v>124</v>
      </c>
      <c r="D76" s="26" t="s">
        <v>85</v>
      </c>
      <c r="E76" s="53">
        <f>0.6+1.19+0.59+3.45+0.28+0.51</f>
        <v>6.62</v>
      </c>
      <c r="F76" s="30">
        <v>15</v>
      </c>
      <c r="G76" s="31">
        <f t="shared" si="8"/>
        <v>35</v>
      </c>
      <c r="H76" s="30">
        <v>35</v>
      </c>
      <c r="I76" s="54">
        <v>0</v>
      </c>
      <c r="J76" s="53">
        <v>5</v>
      </c>
      <c r="K76" s="53">
        <f>(F76+G76+J76)*K5</f>
        <v>1.1</v>
      </c>
      <c r="L76" s="53">
        <f>(F76+G76+J76+K76)*L5</f>
        <v>5.049</v>
      </c>
      <c r="M76" s="55">
        <f t="shared" si="6"/>
        <v>61.149</v>
      </c>
      <c r="N76" s="53">
        <f t="shared" si="7"/>
        <v>404.80638</v>
      </c>
      <c r="O76" s="73" t="s">
        <v>125</v>
      </c>
    </row>
    <row r="77" customFormat="1" ht="49.5" customHeight="1" spans="1:15">
      <c r="A77" s="25">
        <v>72</v>
      </c>
      <c r="B77" s="26" t="s">
        <v>126</v>
      </c>
      <c r="C77" s="26" t="s">
        <v>127</v>
      </c>
      <c r="D77" s="26" t="s">
        <v>69</v>
      </c>
      <c r="E77" s="58">
        <v>7.4</v>
      </c>
      <c r="F77" s="30">
        <v>100</v>
      </c>
      <c r="G77" s="31">
        <f t="shared" si="8"/>
        <v>750</v>
      </c>
      <c r="H77" s="30">
        <v>750</v>
      </c>
      <c r="I77" s="54">
        <v>0</v>
      </c>
      <c r="J77" s="53">
        <v>155</v>
      </c>
      <c r="K77" s="53">
        <f>(F77+G77+J77)*K5</f>
        <v>20.1</v>
      </c>
      <c r="L77" s="53">
        <f>(F77+G77+J77+K77)*L5</f>
        <v>92.259</v>
      </c>
      <c r="M77" s="55">
        <f t="shared" si="6"/>
        <v>1117.359</v>
      </c>
      <c r="N77" s="53">
        <f t="shared" si="7"/>
        <v>8268.4566</v>
      </c>
      <c r="O77" s="73" t="s">
        <v>101</v>
      </c>
    </row>
    <row r="78" customFormat="1" ht="33" customHeight="1" spans="1:15">
      <c r="A78" s="25">
        <v>73</v>
      </c>
      <c r="B78" s="32" t="s">
        <v>209</v>
      </c>
      <c r="C78" s="26"/>
      <c r="D78" s="26"/>
      <c r="E78" s="53"/>
      <c r="F78" s="30"/>
      <c r="G78" s="31">
        <f t="shared" si="8"/>
        <v>0</v>
      </c>
      <c r="H78" s="30"/>
      <c r="I78" s="54"/>
      <c r="J78" s="53"/>
      <c r="K78" s="53"/>
      <c r="L78" s="53"/>
      <c r="M78" s="55">
        <f t="shared" si="6"/>
        <v>0</v>
      </c>
      <c r="N78" s="53">
        <f t="shared" si="7"/>
        <v>0</v>
      </c>
      <c r="O78" s="74"/>
    </row>
    <row r="79" customFormat="1" ht="77.25" customHeight="1" spans="1:15">
      <c r="A79" s="25">
        <v>74</v>
      </c>
      <c r="B79" s="26" t="s">
        <v>210</v>
      </c>
      <c r="C79" s="26" t="s">
        <v>211</v>
      </c>
      <c r="D79" s="26" t="s">
        <v>69</v>
      </c>
      <c r="E79" s="53">
        <v>0.723</v>
      </c>
      <c r="F79" s="30">
        <v>95</v>
      </c>
      <c r="G79" s="31">
        <f t="shared" si="8"/>
        <v>483</v>
      </c>
      <c r="H79" s="30">
        <v>460</v>
      </c>
      <c r="I79" s="54">
        <v>0.05</v>
      </c>
      <c r="J79" s="53">
        <v>260</v>
      </c>
      <c r="K79" s="53">
        <f>(F79+G79+J79)*K5</f>
        <v>16.76</v>
      </c>
      <c r="L79" s="53">
        <f>(F79+G79+J79+K79)*L5</f>
        <v>76.9284</v>
      </c>
      <c r="M79" s="55">
        <f t="shared" si="6"/>
        <v>931.6884</v>
      </c>
      <c r="N79" s="53">
        <f t="shared" si="7"/>
        <v>673.6107132</v>
      </c>
      <c r="O79" s="73" t="s">
        <v>73</v>
      </c>
    </row>
    <row r="80" customFormat="1" ht="49.5" customHeight="1" spans="1:15">
      <c r="A80" s="25">
        <v>75</v>
      </c>
      <c r="B80" s="26" t="s">
        <v>158</v>
      </c>
      <c r="C80" s="26" t="s">
        <v>212</v>
      </c>
      <c r="D80" s="26" t="s">
        <v>69</v>
      </c>
      <c r="E80" s="53">
        <v>33.65</v>
      </c>
      <c r="F80" s="30">
        <v>25</v>
      </c>
      <c r="G80" s="31">
        <f t="shared" si="8"/>
        <v>10</v>
      </c>
      <c r="H80" s="30">
        <v>10</v>
      </c>
      <c r="I80" s="54">
        <v>0</v>
      </c>
      <c r="J80" s="53">
        <v>18</v>
      </c>
      <c r="K80" s="53">
        <f>(F80+G80+J80)*K5</f>
        <v>1.06</v>
      </c>
      <c r="L80" s="53">
        <f>(F80+G80+J80+K80)*L5</f>
        <v>4.8654</v>
      </c>
      <c r="M80" s="55">
        <f t="shared" si="6"/>
        <v>58.9254</v>
      </c>
      <c r="N80" s="53">
        <f t="shared" si="7"/>
        <v>1982.83971</v>
      </c>
      <c r="O80" s="73" t="s">
        <v>160</v>
      </c>
    </row>
    <row r="81" customFormat="1" ht="33" customHeight="1" spans="1:15">
      <c r="A81" s="25">
        <v>76</v>
      </c>
      <c r="B81" s="32" t="s">
        <v>213</v>
      </c>
      <c r="C81" s="26"/>
      <c r="D81" s="26"/>
      <c r="E81" s="53"/>
      <c r="F81" s="30"/>
      <c r="G81" s="31">
        <f t="shared" si="8"/>
        <v>0</v>
      </c>
      <c r="H81" s="30"/>
      <c r="I81" s="54"/>
      <c r="J81" s="53"/>
      <c r="K81" s="53"/>
      <c r="L81" s="53"/>
      <c r="M81" s="55">
        <f t="shared" si="6"/>
        <v>0</v>
      </c>
      <c r="N81" s="53">
        <f t="shared" si="7"/>
        <v>0</v>
      </c>
      <c r="O81" s="74"/>
    </row>
    <row r="82" customFormat="1" ht="66" customHeight="1" spans="1:15">
      <c r="A82" s="25">
        <v>77</v>
      </c>
      <c r="B82" s="26" t="s">
        <v>199</v>
      </c>
      <c r="C82" s="26" t="s">
        <v>214</v>
      </c>
      <c r="D82" s="26" t="s">
        <v>69</v>
      </c>
      <c r="E82" s="53">
        <v>7.18</v>
      </c>
      <c r="F82" s="30">
        <v>60</v>
      </c>
      <c r="G82" s="31">
        <f t="shared" si="8"/>
        <v>207.9</v>
      </c>
      <c r="H82" s="30">
        <v>198</v>
      </c>
      <c r="I82" s="54">
        <v>0.05</v>
      </c>
      <c r="J82" s="53">
        <v>60</v>
      </c>
      <c r="K82" s="53">
        <f>(F82+G82+J82)*K5</f>
        <v>6.558</v>
      </c>
      <c r="L82" s="53">
        <f>(F82+G82+J82+K82)*L5</f>
        <v>30.10122</v>
      </c>
      <c r="M82" s="55">
        <f t="shared" si="6"/>
        <v>364.55922</v>
      </c>
      <c r="N82" s="53">
        <f t="shared" si="7"/>
        <v>2617.5351996</v>
      </c>
      <c r="O82" s="73" t="s">
        <v>76</v>
      </c>
    </row>
    <row r="83" customFormat="1" ht="49.5" customHeight="1" spans="1:15">
      <c r="A83" s="25">
        <v>78</v>
      </c>
      <c r="B83" s="26" t="s">
        <v>215</v>
      </c>
      <c r="C83" s="26" t="s">
        <v>216</v>
      </c>
      <c r="D83" s="26" t="s">
        <v>35</v>
      </c>
      <c r="E83" s="53">
        <v>1</v>
      </c>
      <c r="F83" s="30">
        <v>300</v>
      </c>
      <c r="G83" s="31">
        <f t="shared" si="8"/>
        <v>3600</v>
      </c>
      <c r="H83" s="30">
        <v>3600</v>
      </c>
      <c r="I83" s="54">
        <v>0</v>
      </c>
      <c r="J83" s="53">
        <v>100</v>
      </c>
      <c r="K83" s="53">
        <f>(F83+G83+J83)*K5</f>
        <v>80</v>
      </c>
      <c r="L83" s="53">
        <f>(F83+G83+J83+K83)*L5</f>
        <v>367.2</v>
      </c>
      <c r="M83" s="55">
        <f t="shared" si="6"/>
        <v>4447.2</v>
      </c>
      <c r="N83" s="53">
        <f t="shared" si="7"/>
        <v>4447.2</v>
      </c>
      <c r="O83" s="73" t="s">
        <v>134</v>
      </c>
    </row>
    <row r="84" customFormat="1" ht="49.5" customHeight="1" spans="1:15">
      <c r="A84" s="25">
        <v>79</v>
      </c>
      <c r="B84" s="26" t="s">
        <v>217</v>
      </c>
      <c r="C84" s="26" t="s">
        <v>218</v>
      </c>
      <c r="D84" s="26" t="s">
        <v>35</v>
      </c>
      <c r="E84" s="53">
        <v>1</v>
      </c>
      <c r="F84" s="30">
        <v>500</v>
      </c>
      <c r="G84" s="31">
        <f t="shared" si="8"/>
        <v>4200</v>
      </c>
      <c r="H84" s="30">
        <v>4200</v>
      </c>
      <c r="I84" s="54">
        <v>0</v>
      </c>
      <c r="J84" s="53">
        <v>2500</v>
      </c>
      <c r="K84" s="53">
        <f>(F84+G84+J84)*K5</f>
        <v>144</v>
      </c>
      <c r="L84" s="53">
        <f>(F84+G84+J84+K84)*L5</f>
        <v>660.96</v>
      </c>
      <c r="M84" s="55">
        <f t="shared" si="6"/>
        <v>8004.96</v>
      </c>
      <c r="N84" s="53">
        <f t="shared" si="7"/>
        <v>8004.96</v>
      </c>
      <c r="O84" s="73" t="s">
        <v>134</v>
      </c>
    </row>
    <row r="85" customFormat="1" ht="49.5" customHeight="1" spans="1:15">
      <c r="A85" s="25">
        <v>80</v>
      </c>
      <c r="B85" s="26" t="s">
        <v>219</v>
      </c>
      <c r="C85" s="26" t="s">
        <v>220</v>
      </c>
      <c r="D85" s="26" t="s">
        <v>35</v>
      </c>
      <c r="E85" s="53">
        <v>1</v>
      </c>
      <c r="F85" s="30">
        <v>420</v>
      </c>
      <c r="G85" s="31">
        <f t="shared" si="8"/>
        <v>2900</v>
      </c>
      <c r="H85" s="30">
        <v>2900</v>
      </c>
      <c r="I85" s="54">
        <v>0</v>
      </c>
      <c r="J85" s="53">
        <v>400</v>
      </c>
      <c r="K85" s="53">
        <f>(F85+G85+J85)*K5</f>
        <v>74.4</v>
      </c>
      <c r="L85" s="53">
        <f>(F85+G85+J85+K85)*L5</f>
        <v>341.496</v>
      </c>
      <c r="M85" s="55">
        <f t="shared" si="6"/>
        <v>4135.896</v>
      </c>
      <c r="N85" s="53">
        <f t="shared" si="7"/>
        <v>4135.896</v>
      </c>
      <c r="O85" s="73" t="s">
        <v>134</v>
      </c>
    </row>
    <row r="86" customFormat="1" ht="49.5" customHeight="1" spans="1:15">
      <c r="A86" s="25">
        <v>81</v>
      </c>
      <c r="B86" s="26" t="s">
        <v>221</v>
      </c>
      <c r="C86" s="26" t="s">
        <v>222</v>
      </c>
      <c r="D86" s="26" t="s">
        <v>35</v>
      </c>
      <c r="E86" s="53">
        <v>1</v>
      </c>
      <c r="F86" s="30">
        <v>300</v>
      </c>
      <c r="G86" s="31">
        <f t="shared" si="8"/>
        <v>3800</v>
      </c>
      <c r="H86" s="30">
        <v>3800</v>
      </c>
      <c r="I86" s="54">
        <v>0</v>
      </c>
      <c r="J86" s="53">
        <v>400</v>
      </c>
      <c r="K86" s="53">
        <f>(F86+G86+J86)*K5</f>
        <v>90</v>
      </c>
      <c r="L86" s="53">
        <f>(F86+G86+J86+K86)*L5</f>
        <v>413.1</v>
      </c>
      <c r="M86" s="55">
        <f t="shared" si="6"/>
        <v>5003.1</v>
      </c>
      <c r="N86" s="53">
        <f t="shared" si="7"/>
        <v>5003.1</v>
      </c>
      <c r="O86" s="73" t="s">
        <v>134</v>
      </c>
    </row>
    <row r="87" customFormat="1" ht="49.5" customHeight="1" spans="1:15">
      <c r="A87" s="25">
        <v>82</v>
      </c>
      <c r="B87" s="26" t="s">
        <v>158</v>
      </c>
      <c r="C87" s="26" t="s">
        <v>212</v>
      </c>
      <c r="D87" s="26" t="s">
        <v>69</v>
      </c>
      <c r="E87" s="53">
        <f>3.58+7.03+1.18+0.09</f>
        <v>11.88</v>
      </c>
      <c r="F87" s="30">
        <v>25</v>
      </c>
      <c r="G87" s="31">
        <f t="shared" si="8"/>
        <v>10</v>
      </c>
      <c r="H87" s="30">
        <v>10</v>
      </c>
      <c r="I87" s="54">
        <v>0</v>
      </c>
      <c r="J87" s="53">
        <v>18</v>
      </c>
      <c r="K87" s="53">
        <f>(F87+G87+J87)*K5</f>
        <v>1.06</v>
      </c>
      <c r="L87" s="53">
        <f>(F87+G87+J87+K87)*L5</f>
        <v>4.8654</v>
      </c>
      <c r="M87" s="55">
        <f t="shared" si="6"/>
        <v>58.9254</v>
      </c>
      <c r="N87" s="53">
        <f t="shared" si="7"/>
        <v>700.033752</v>
      </c>
      <c r="O87" s="73" t="s">
        <v>160</v>
      </c>
    </row>
    <row r="88" customFormat="1" ht="65.25" customHeight="1" spans="1:15">
      <c r="A88" s="25">
        <v>83</v>
      </c>
      <c r="B88" s="26" t="s">
        <v>210</v>
      </c>
      <c r="C88" s="26" t="s">
        <v>211</v>
      </c>
      <c r="D88" s="26" t="s">
        <v>69</v>
      </c>
      <c r="E88" s="53">
        <f>(2.99+0.07)*0.05</f>
        <v>0.153</v>
      </c>
      <c r="F88" s="30">
        <v>95</v>
      </c>
      <c r="G88" s="31">
        <f t="shared" si="8"/>
        <v>483</v>
      </c>
      <c r="H88" s="30">
        <v>460</v>
      </c>
      <c r="I88" s="54">
        <v>0.05</v>
      </c>
      <c r="J88" s="53">
        <v>260</v>
      </c>
      <c r="K88" s="53">
        <f>(F88+G88+J88)*K5</f>
        <v>16.76</v>
      </c>
      <c r="L88" s="53">
        <f>(F88+G88+J88+K88)*L5</f>
        <v>76.9284</v>
      </c>
      <c r="M88" s="55">
        <f t="shared" si="6"/>
        <v>931.6884</v>
      </c>
      <c r="N88" s="53">
        <f t="shared" si="7"/>
        <v>142.5483252</v>
      </c>
      <c r="O88" s="73" t="s">
        <v>73</v>
      </c>
    </row>
    <row r="89" customFormat="1" ht="36" customHeight="1" spans="1:15">
      <c r="A89" s="25">
        <v>84</v>
      </c>
      <c r="B89" s="32" t="s">
        <v>223</v>
      </c>
      <c r="C89" s="26"/>
      <c r="D89" s="26"/>
      <c r="E89" s="53"/>
      <c r="F89" s="30"/>
      <c r="G89" s="31">
        <f t="shared" si="8"/>
        <v>0</v>
      </c>
      <c r="H89" s="30"/>
      <c r="I89" s="54"/>
      <c r="J89" s="53"/>
      <c r="K89" s="53"/>
      <c r="L89" s="53"/>
      <c r="M89" s="55">
        <f t="shared" si="6"/>
        <v>0</v>
      </c>
      <c r="N89" s="53">
        <f t="shared" si="7"/>
        <v>0</v>
      </c>
      <c r="O89" s="74"/>
    </row>
    <row r="90" customFormat="1" ht="58.5" customHeight="1" spans="1:15">
      <c r="A90" s="25">
        <v>85</v>
      </c>
      <c r="B90" s="26" t="s">
        <v>224</v>
      </c>
      <c r="C90" s="26" t="s">
        <v>225</v>
      </c>
      <c r="D90" s="26" t="s">
        <v>35</v>
      </c>
      <c r="E90" s="53">
        <v>1</v>
      </c>
      <c r="F90" s="30">
        <v>500</v>
      </c>
      <c r="G90" s="31">
        <f t="shared" si="8"/>
        <v>8000</v>
      </c>
      <c r="H90" s="30">
        <v>8000</v>
      </c>
      <c r="I90" s="54">
        <v>0</v>
      </c>
      <c r="J90" s="53">
        <v>200</v>
      </c>
      <c r="K90" s="53">
        <f>(F90+G90+J90)*K5</f>
        <v>174</v>
      </c>
      <c r="L90" s="53">
        <f>(F90+G90+J90+K90)*L5</f>
        <v>798.66</v>
      </c>
      <c r="M90" s="55">
        <f t="shared" si="6"/>
        <v>9672.66</v>
      </c>
      <c r="N90" s="53">
        <f t="shared" si="7"/>
        <v>9672.66</v>
      </c>
      <c r="O90" s="73" t="s">
        <v>134</v>
      </c>
    </row>
    <row r="91" customFormat="1" ht="57.75" customHeight="1" spans="1:15">
      <c r="A91" s="25">
        <v>86</v>
      </c>
      <c r="B91" s="26" t="s">
        <v>226</v>
      </c>
      <c r="C91" s="26" t="s">
        <v>227</v>
      </c>
      <c r="D91" s="26" t="s">
        <v>35</v>
      </c>
      <c r="E91" s="53">
        <v>1</v>
      </c>
      <c r="F91" s="30">
        <v>500</v>
      </c>
      <c r="G91" s="31">
        <f t="shared" si="8"/>
        <v>8300</v>
      </c>
      <c r="H91" s="30">
        <v>8300</v>
      </c>
      <c r="I91" s="54">
        <v>0</v>
      </c>
      <c r="J91" s="53">
        <v>200</v>
      </c>
      <c r="K91" s="53">
        <f>(F91+G91+J91)*K5</f>
        <v>180</v>
      </c>
      <c r="L91" s="53">
        <f>(F91+G91+J91+K91)*L5</f>
        <v>826.2</v>
      </c>
      <c r="M91" s="55">
        <f t="shared" si="6"/>
        <v>10006.2</v>
      </c>
      <c r="N91" s="53">
        <f t="shared" si="7"/>
        <v>10006.2</v>
      </c>
      <c r="O91" s="73" t="s">
        <v>134</v>
      </c>
    </row>
    <row r="92" customFormat="1" ht="48" customHeight="1" spans="1:15">
      <c r="A92" s="25">
        <v>87</v>
      </c>
      <c r="B92" s="38" t="s">
        <v>228</v>
      </c>
      <c r="C92" s="38" t="s">
        <v>229</v>
      </c>
      <c r="D92" s="38" t="s">
        <v>69</v>
      </c>
      <c r="E92" s="58">
        <f>7.94+5.46+9.4</f>
        <v>22.8</v>
      </c>
      <c r="F92" s="39">
        <v>65</v>
      </c>
      <c r="G92" s="40">
        <f t="shared" si="8"/>
        <v>35</v>
      </c>
      <c r="H92" s="39">
        <v>35</v>
      </c>
      <c r="I92" s="57">
        <v>0</v>
      </c>
      <c r="J92" s="58">
        <v>23</v>
      </c>
      <c r="K92" s="58">
        <f>(F92+G92+J92)*K5</f>
        <v>2.46</v>
      </c>
      <c r="L92" s="58">
        <f>(F92+G92+J92+K92)*L5</f>
        <v>11.2914</v>
      </c>
      <c r="M92" s="59">
        <f t="shared" si="6"/>
        <v>136.7514</v>
      </c>
      <c r="N92" s="58">
        <f t="shared" si="7"/>
        <v>3117.93192</v>
      </c>
      <c r="O92" s="73" t="s">
        <v>160</v>
      </c>
    </row>
    <row r="93" customFormat="1" ht="77.25" customHeight="1" spans="1:15">
      <c r="A93" s="25">
        <v>88</v>
      </c>
      <c r="B93" s="26" t="s">
        <v>210</v>
      </c>
      <c r="C93" s="26" t="s">
        <v>211</v>
      </c>
      <c r="D93" s="26" t="s">
        <v>69</v>
      </c>
      <c r="E93" s="53">
        <f>(0.31+0.06+1.45+4)*0.05</f>
        <v>0.291</v>
      </c>
      <c r="F93" s="30">
        <v>95</v>
      </c>
      <c r="G93" s="31">
        <f t="shared" si="8"/>
        <v>483</v>
      </c>
      <c r="H93" s="30">
        <v>460</v>
      </c>
      <c r="I93" s="54">
        <v>0.05</v>
      </c>
      <c r="J93" s="53">
        <v>260</v>
      </c>
      <c r="K93" s="53">
        <f>(F93+G93+J93)*K5</f>
        <v>16.76</v>
      </c>
      <c r="L93" s="53">
        <f>(F93+G93+J93+K93)*L5</f>
        <v>76.9284</v>
      </c>
      <c r="M93" s="55">
        <f t="shared" si="6"/>
        <v>931.6884</v>
      </c>
      <c r="N93" s="53">
        <f t="shared" si="7"/>
        <v>271.1213244</v>
      </c>
      <c r="O93" s="73" t="s">
        <v>73</v>
      </c>
    </row>
    <row r="94" customFormat="1" ht="42.75" customHeight="1" spans="1:15">
      <c r="A94" s="25">
        <v>89</v>
      </c>
      <c r="B94" s="26" t="s">
        <v>230</v>
      </c>
      <c r="C94" s="26" t="s">
        <v>231</v>
      </c>
      <c r="D94" s="26" t="s">
        <v>69</v>
      </c>
      <c r="E94" s="53">
        <v>4.76</v>
      </c>
      <c r="F94" s="30">
        <v>60</v>
      </c>
      <c r="G94" s="31">
        <f t="shared" si="8"/>
        <v>350</v>
      </c>
      <c r="H94" s="30">
        <v>350</v>
      </c>
      <c r="I94" s="54">
        <v>0</v>
      </c>
      <c r="J94" s="53">
        <v>150</v>
      </c>
      <c r="K94" s="53">
        <f>(F94+G94+J94)*K5</f>
        <v>11.2</v>
      </c>
      <c r="L94" s="53">
        <f>(F94+G94+J94+K94)*L5</f>
        <v>51.408</v>
      </c>
      <c r="M94" s="55">
        <f t="shared" si="6"/>
        <v>622.608</v>
      </c>
      <c r="N94" s="53">
        <f t="shared" si="7"/>
        <v>2963.61408</v>
      </c>
      <c r="O94" s="74"/>
    </row>
    <row r="95" customFormat="1" ht="63.75" customHeight="1" spans="1:15">
      <c r="A95" s="25">
        <v>90</v>
      </c>
      <c r="B95" s="26" t="s">
        <v>232</v>
      </c>
      <c r="C95" s="26" t="s">
        <v>233</v>
      </c>
      <c r="D95" s="26" t="s">
        <v>69</v>
      </c>
      <c r="E95" s="53">
        <v>3.05</v>
      </c>
      <c r="F95" s="30">
        <v>60</v>
      </c>
      <c r="G95" s="31">
        <f t="shared" si="8"/>
        <v>300</v>
      </c>
      <c r="H95" s="30">
        <v>300</v>
      </c>
      <c r="I95" s="54">
        <v>0</v>
      </c>
      <c r="J95" s="53">
        <v>150</v>
      </c>
      <c r="K95" s="53">
        <f>(F95+G95+J95)*K5</f>
        <v>10.2</v>
      </c>
      <c r="L95" s="53">
        <f>(F95+G95+J95+K95)*L5</f>
        <v>46.818</v>
      </c>
      <c r="M95" s="55">
        <f t="shared" si="6"/>
        <v>567.018</v>
      </c>
      <c r="N95" s="53">
        <f t="shared" si="7"/>
        <v>1729.4049</v>
      </c>
      <c r="O95" s="74"/>
    </row>
    <row r="96" customFormat="1" ht="42.75" customHeight="1" spans="1:15">
      <c r="A96" s="25">
        <v>91</v>
      </c>
      <c r="B96" s="26" t="s">
        <v>234</v>
      </c>
      <c r="C96" s="26" t="s">
        <v>235</v>
      </c>
      <c r="D96" s="26" t="s">
        <v>236</v>
      </c>
      <c r="E96" s="53">
        <f>0.175*0.7*2</f>
        <v>0.245</v>
      </c>
      <c r="F96" s="30">
        <v>120</v>
      </c>
      <c r="G96" s="31">
        <f t="shared" si="8"/>
        <v>550</v>
      </c>
      <c r="H96" s="30">
        <v>550</v>
      </c>
      <c r="I96" s="54">
        <v>0</v>
      </c>
      <c r="J96" s="53">
        <v>60</v>
      </c>
      <c r="K96" s="53">
        <f>(F96+G96+J96)*K5</f>
        <v>14.6</v>
      </c>
      <c r="L96" s="53">
        <f>(F96+G96+J96+K96)*L5</f>
        <v>67.014</v>
      </c>
      <c r="M96" s="55">
        <f t="shared" si="6"/>
        <v>811.614</v>
      </c>
      <c r="N96" s="53">
        <f t="shared" si="7"/>
        <v>198.84543</v>
      </c>
      <c r="O96" s="73" t="s">
        <v>125</v>
      </c>
    </row>
    <row r="97" customFormat="1" ht="42.75" customHeight="1" spans="1:15">
      <c r="A97" s="25">
        <v>92</v>
      </c>
      <c r="B97" s="26" t="s">
        <v>237</v>
      </c>
      <c r="C97" s="26" t="s">
        <v>238</v>
      </c>
      <c r="D97" s="26" t="s">
        <v>236</v>
      </c>
      <c r="E97" s="53">
        <v>3.4</v>
      </c>
      <c r="F97" s="30">
        <v>15</v>
      </c>
      <c r="G97" s="31">
        <f t="shared" si="8"/>
        <v>30</v>
      </c>
      <c r="H97" s="30">
        <v>30</v>
      </c>
      <c r="I97" s="54">
        <v>0</v>
      </c>
      <c r="J97" s="53">
        <v>5</v>
      </c>
      <c r="K97" s="53">
        <f>(F97+G97+J97)*K5</f>
        <v>1</v>
      </c>
      <c r="L97" s="53">
        <f>(F97+G97+J97+K97)*L5</f>
        <v>4.59</v>
      </c>
      <c r="M97" s="55">
        <f>F97+G97+J97+K97+L97</f>
        <v>55.59</v>
      </c>
      <c r="N97" s="53">
        <f t="shared" si="7"/>
        <v>189.006</v>
      </c>
      <c r="O97" s="73" t="s">
        <v>125</v>
      </c>
    </row>
    <row r="98" customFormat="1" ht="42.75" customHeight="1" spans="1:15">
      <c r="A98" s="25">
        <v>93</v>
      </c>
      <c r="B98" s="26" t="s">
        <v>123</v>
      </c>
      <c r="C98" s="26" t="s">
        <v>239</v>
      </c>
      <c r="D98" s="26" t="s">
        <v>85</v>
      </c>
      <c r="E98" s="53">
        <v>3.4</v>
      </c>
      <c r="F98" s="30">
        <v>15</v>
      </c>
      <c r="G98" s="31">
        <f t="shared" si="8"/>
        <v>35</v>
      </c>
      <c r="H98" s="30">
        <v>35</v>
      </c>
      <c r="I98" s="54">
        <v>0</v>
      </c>
      <c r="J98" s="53">
        <v>5</v>
      </c>
      <c r="K98" s="53">
        <f>(F98+G98+J98)*K5</f>
        <v>1.1</v>
      </c>
      <c r="L98" s="53">
        <f>(F98+G98+J98+K98)*L5</f>
        <v>5.049</v>
      </c>
      <c r="M98" s="55">
        <f>F98+G98+J98+K98+L98</f>
        <v>61.149</v>
      </c>
      <c r="N98" s="53">
        <f>E98*M98</f>
        <v>207.9066</v>
      </c>
      <c r="O98" s="73" t="s">
        <v>125</v>
      </c>
    </row>
    <row r="99" customFormat="1" ht="42.75" customHeight="1" spans="1:15">
      <c r="A99" s="25" t="s">
        <v>240</v>
      </c>
      <c r="B99" s="38" t="s">
        <v>241</v>
      </c>
      <c r="C99" s="38" t="s">
        <v>212</v>
      </c>
      <c r="D99" s="38" t="s">
        <v>69</v>
      </c>
      <c r="E99" s="58"/>
      <c r="F99" s="39"/>
      <c r="G99" s="40"/>
      <c r="H99" s="39"/>
      <c r="I99" s="57"/>
      <c r="J99" s="58"/>
      <c r="K99" s="58"/>
      <c r="L99" s="58"/>
      <c r="M99" s="59"/>
      <c r="N99" s="58"/>
      <c r="O99" s="74"/>
    </row>
    <row r="100" customFormat="1" ht="42.75" customHeight="1" spans="1:15">
      <c r="A100" s="25">
        <v>95</v>
      </c>
      <c r="B100" s="32" t="s">
        <v>242</v>
      </c>
      <c r="C100" s="26"/>
      <c r="D100" s="26"/>
      <c r="E100" s="53"/>
      <c r="F100" s="30"/>
      <c r="G100" s="31">
        <f t="shared" ref="G100:G139" si="9">H100*(1+I100)</f>
        <v>0</v>
      </c>
      <c r="H100" s="30"/>
      <c r="I100" s="54"/>
      <c r="J100" s="53"/>
      <c r="K100" s="53"/>
      <c r="L100" s="53"/>
      <c r="M100" s="55">
        <f t="shared" ref="M100:M139" si="10">F100+G100+J100+K100+L100</f>
        <v>0</v>
      </c>
      <c r="N100" s="53">
        <f t="shared" ref="N100:N139" si="11">E100*M100</f>
        <v>0</v>
      </c>
      <c r="O100" s="74"/>
    </row>
    <row r="101" customFormat="1" ht="42.75" customHeight="1" spans="1:15">
      <c r="A101" s="25">
        <v>96</v>
      </c>
      <c r="B101" s="26" t="s">
        <v>243</v>
      </c>
      <c r="C101" s="26" t="s">
        <v>244</v>
      </c>
      <c r="D101" s="26" t="s">
        <v>69</v>
      </c>
      <c r="E101" s="53">
        <f>8.05+8.08+0.57+8.74</f>
        <v>25.44</v>
      </c>
      <c r="F101" s="30">
        <v>60</v>
      </c>
      <c r="G101" s="31">
        <f t="shared" si="9"/>
        <v>430</v>
      </c>
      <c r="H101" s="30">
        <v>430</v>
      </c>
      <c r="I101" s="54">
        <v>0</v>
      </c>
      <c r="J101" s="53">
        <v>195</v>
      </c>
      <c r="K101" s="53">
        <f>(F101+G101+J101)*K5</f>
        <v>13.7</v>
      </c>
      <c r="L101" s="53">
        <f>(F101+G101+J101+K101)*L5</f>
        <v>62.883</v>
      </c>
      <c r="M101" s="55">
        <f t="shared" si="10"/>
        <v>761.583</v>
      </c>
      <c r="N101" s="53">
        <f t="shared" si="11"/>
        <v>19374.67152</v>
      </c>
      <c r="O101" s="74"/>
    </row>
    <row r="102" customFormat="1" ht="42.75" customHeight="1" spans="1:15">
      <c r="A102" s="25">
        <v>97</v>
      </c>
      <c r="B102" s="26" t="s">
        <v>237</v>
      </c>
      <c r="C102" s="26" t="s">
        <v>245</v>
      </c>
      <c r="D102" s="26" t="s">
        <v>236</v>
      </c>
      <c r="E102" s="53">
        <f>2.2*8</f>
        <v>17.6</v>
      </c>
      <c r="F102" s="30">
        <v>15</v>
      </c>
      <c r="G102" s="31">
        <f t="shared" si="9"/>
        <v>30</v>
      </c>
      <c r="H102" s="30">
        <v>30</v>
      </c>
      <c r="I102" s="54">
        <v>0</v>
      </c>
      <c r="J102" s="53">
        <v>5</v>
      </c>
      <c r="K102" s="53">
        <f>(F102+G102+J102)*K5</f>
        <v>1</v>
      </c>
      <c r="L102" s="53">
        <f>(F102+G102+J102+K102)*L5</f>
        <v>4.59</v>
      </c>
      <c r="M102" s="55">
        <f t="shared" si="10"/>
        <v>55.59</v>
      </c>
      <c r="N102" s="53">
        <f t="shared" si="11"/>
        <v>978.384</v>
      </c>
      <c r="O102" s="73" t="s">
        <v>125</v>
      </c>
    </row>
    <row r="103" customFormat="1" ht="58.5" customHeight="1" spans="1:15">
      <c r="A103" s="25">
        <v>98</v>
      </c>
      <c r="B103" s="26" t="s">
        <v>246</v>
      </c>
      <c r="C103" s="26" t="s">
        <v>247</v>
      </c>
      <c r="D103" s="26" t="s">
        <v>69</v>
      </c>
      <c r="E103" s="53">
        <v>2.95</v>
      </c>
      <c r="F103" s="30">
        <v>150</v>
      </c>
      <c r="G103" s="31">
        <f t="shared" si="9"/>
        <v>1260</v>
      </c>
      <c r="H103" s="30">
        <v>1260</v>
      </c>
      <c r="I103" s="54">
        <v>0</v>
      </c>
      <c r="J103" s="53">
        <v>50</v>
      </c>
      <c r="K103" s="53">
        <f>(F103+G103+J103)*K5</f>
        <v>29.2</v>
      </c>
      <c r="L103" s="53">
        <f>(F103+G103+J103+K103)*L5</f>
        <v>134.028</v>
      </c>
      <c r="M103" s="55">
        <f t="shared" si="10"/>
        <v>1623.228</v>
      </c>
      <c r="N103" s="53">
        <f t="shared" si="11"/>
        <v>4788.5226</v>
      </c>
      <c r="O103" s="73" t="s">
        <v>125</v>
      </c>
    </row>
    <row r="104" customFormat="1" ht="59.25" customHeight="1" spans="1:15">
      <c r="A104" s="25">
        <v>99</v>
      </c>
      <c r="B104" s="26" t="s">
        <v>178</v>
      </c>
      <c r="C104" s="26" t="s">
        <v>248</v>
      </c>
      <c r="D104" s="26" t="s">
        <v>69</v>
      </c>
      <c r="E104" s="53">
        <f>0.31*1.17*4</f>
        <v>1.4508</v>
      </c>
      <c r="F104" s="30">
        <v>120</v>
      </c>
      <c r="G104" s="31">
        <f t="shared" si="9"/>
        <v>400</v>
      </c>
      <c r="H104" s="30">
        <v>400</v>
      </c>
      <c r="I104" s="54">
        <v>0</v>
      </c>
      <c r="J104" s="53">
        <v>10</v>
      </c>
      <c r="K104" s="53">
        <f>(F104+G104+J104)*K5</f>
        <v>10.6</v>
      </c>
      <c r="L104" s="53">
        <f>(F104+G104+J104+K104)*L5</f>
        <v>48.654</v>
      </c>
      <c r="M104" s="55">
        <f t="shared" si="10"/>
        <v>589.254</v>
      </c>
      <c r="N104" s="53">
        <f t="shared" si="11"/>
        <v>854.8897032</v>
      </c>
      <c r="O104" s="74"/>
    </row>
    <row r="105" customFormat="1" ht="55.5" customHeight="1" spans="1:15">
      <c r="A105" s="25">
        <v>100</v>
      </c>
      <c r="B105" s="26" t="s">
        <v>249</v>
      </c>
      <c r="C105" s="26" t="s">
        <v>250</v>
      </c>
      <c r="D105" s="26" t="s">
        <v>69</v>
      </c>
      <c r="E105" s="53">
        <v>3.59</v>
      </c>
      <c r="F105" s="30">
        <v>300</v>
      </c>
      <c r="G105" s="31">
        <f t="shared" si="9"/>
        <v>1550</v>
      </c>
      <c r="H105" s="30">
        <v>1550</v>
      </c>
      <c r="I105" s="54">
        <v>0</v>
      </c>
      <c r="J105" s="53">
        <v>100</v>
      </c>
      <c r="K105" s="53">
        <f>(F105+G105+J105)*K5</f>
        <v>39</v>
      </c>
      <c r="L105" s="53">
        <f>(F105+G105+J105+K105)*L5</f>
        <v>179.01</v>
      </c>
      <c r="M105" s="55">
        <f t="shared" si="10"/>
        <v>2168.01</v>
      </c>
      <c r="N105" s="53">
        <f t="shared" si="11"/>
        <v>7783.1559</v>
      </c>
      <c r="O105" s="73" t="s">
        <v>134</v>
      </c>
    </row>
    <row r="106" customFormat="1" ht="59.25" customHeight="1" spans="1:15">
      <c r="A106" s="25">
        <v>101</v>
      </c>
      <c r="B106" s="26" t="s">
        <v>126</v>
      </c>
      <c r="C106" s="26" t="s">
        <v>251</v>
      </c>
      <c r="D106" s="26" t="s">
        <v>69</v>
      </c>
      <c r="E106" s="58">
        <v>3.1</v>
      </c>
      <c r="F106" s="30">
        <v>120</v>
      </c>
      <c r="G106" s="31">
        <f t="shared" si="9"/>
        <v>500</v>
      </c>
      <c r="H106" s="30">
        <v>500</v>
      </c>
      <c r="I106" s="54">
        <v>0</v>
      </c>
      <c r="J106" s="53">
        <v>155</v>
      </c>
      <c r="K106" s="53">
        <f>(F106+G106+J106)*K5</f>
        <v>15.5</v>
      </c>
      <c r="L106" s="53">
        <f>(F106+G106+J106+K106)*L5</f>
        <v>71.145</v>
      </c>
      <c r="M106" s="55">
        <f t="shared" si="10"/>
        <v>861.645</v>
      </c>
      <c r="N106" s="53">
        <f t="shared" si="11"/>
        <v>2671.0995</v>
      </c>
      <c r="O106" s="73" t="s">
        <v>134</v>
      </c>
    </row>
    <row r="107" customFormat="1" ht="58.5" customHeight="1" spans="1:15">
      <c r="A107" s="25">
        <v>102</v>
      </c>
      <c r="B107" s="26" t="s">
        <v>252</v>
      </c>
      <c r="C107" s="26" t="s">
        <v>253</v>
      </c>
      <c r="D107" s="26" t="s">
        <v>69</v>
      </c>
      <c r="E107" s="53">
        <f>3.84*2.25</f>
        <v>8.64</v>
      </c>
      <c r="F107" s="30">
        <v>120</v>
      </c>
      <c r="G107" s="31">
        <f t="shared" si="9"/>
        <v>1350</v>
      </c>
      <c r="H107" s="30">
        <v>1350</v>
      </c>
      <c r="I107" s="54">
        <v>0</v>
      </c>
      <c r="J107" s="53">
        <v>155</v>
      </c>
      <c r="K107" s="53">
        <f>(F107+G107+J107)*K5</f>
        <v>32.5</v>
      </c>
      <c r="L107" s="53">
        <f>(F107+G107+J107+K107)*L5</f>
        <v>149.175</v>
      </c>
      <c r="M107" s="55">
        <f t="shared" si="10"/>
        <v>1806.675</v>
      </c>
      <c r="N107" s="53">
        <f t="shared" si="11"/>
        <v>15609.672</v>
      </c>
      <c r="O107" s="73" t="s">
        <v>134</v>
      </c>
    </row>
    <row r="108" customFormat="1" ht="39.75" customHeight="1" spans="1:15">
      <c r="A108" s="25">
        <v>103</v>
      </c>
      <c r="B108" s="26" t="s">
        <v>254</v>
      </c>
      <c r="C108" s="26" t="s">
        <v>255</v>
      </c>
      <c r="D108" s="26" t="s">
        <v>35</v>
      </c>
      <c r="E108" s="53">
        <v>1</v>
      </c>
      <c r="F108" s="30">
        <v>50</v>
      </c>
      <c r="G108" s="31"/>
      <c r="H108" s="30"/>
      <c r="I108" s="54">
        <v>0</v>
      </c>
      <c r="J108" s="53">
        <v>0</v>
      </c>
      <c r="K108" s="53"/>
      <c r="L108" s="53"/>
      <c r="M108" s="55"/>
      <c r="N108" s="53">
        <f t="shared" si="11"/>
        <v>0</v>
      </c>
      <c r="O108" s="74"/>
    </row>
    <row r="109" customFormat="1" ht="58.5" customHeight="1" spans="1:15">
      <c r="A109" s="25">
        <v>104</v>
      </c>
      <c r="B109" s="26" t="s">
        <v>123</v>
      </c>
      <c r="C109" s="26" t="s">
        <v>256</v>
      </c>
      <c r="D109" s="26" t="s">
        <v>85</v>
      </c>
      <c r="E109" s="53">
        <f>3.66+0.655+4.32+0.25+3.84</f>
        <v>12.725</v>
      </c>
      <c r="F109" s="30">
        <v>15</v>
      </c>
      <c r="G109" s="31">
        <f t="shared" si="9"/>
        <v>35</v>
      </c>
      <c r="H109" s="30">
        <v>35</v>
      </c>
      <c r="I109" s="54">
        <v>0</v>
      </c>
      <c r="J109" s="53">
        <v>5</v>
      </c>
      <c r="K109" s="53">
        <f>(F109+G109+J109)*K5</f>
        <v>1.1</v>
      </c>
      <c r="L109" s="53">
        <f>(F109+G109+J109+K109)*L5</f>
        <v>5.049</v>
      </c>
      <c r="M109" s="55">
        <f t="shared" si="10"/>
        <v>61.149</v>
      </c>
      <c r="N109" s="53">
        <f t="shared" si="11"/>
        <v>778.121025</v>
      </c>
      <c r="O109" s="73" t="s">
        <v>125</v>
      </c>
    </row>
    <row r="110" customFormat="1" ht="38" customHeight="1" spans="1:15">
      <c r="A110" s="25">
        <v>105</v>
      </c>
      <c r="B110" s="32" t="s">
        <v>257</v>
      </c>
      <c r="D110" s="26"/>
      <c r="E110" s="53"/>
      <c r="F110" s="30"/>
      <c r="G110" s="31">
        <f t="shared" si="9"/>
        <v>0</v>
      </c>
      <c r="H110" s="30"/>
      <c r="I110" s="54"/>
      <c r="J110" s="53"/>
      <c r="K110" s="53"/>
      <c r="L110" s="53"/>
      <c r="M110" s="55">
        <f t="shared" si="10"/>
        <v>0</v>
      </c>
      <c r="N110" s="53">
        <f t="shared" si="11"/>
        <v>0</v>
      </c>
      <c r="O110" s="74"/>
    </row>
    <row r="111" customFormat="1" ht="51.75" customHeight="1" spans="1:15">
      <c r="A111" s="25">
        <v>106</v>
      </c>
      <c r="B111" s="26" t="s">
        <v>154</v>
      </c>
      <c r="C111" s="26" t="s">
        <v>258</v>
      </c>
      <c r="D111" s="26" t="s">
        <v>69</v>
      </c>
      <c r="E111" s="53">
        <f>3.58+3.3</f>
        <v>6.88</v>
      </c>
      <c r="F111" s="30">
        <v>150</v>
      </c>
      <c r="G111" s="31">
        <f t="shared" si="9"/>
        <v>378</v>
      </c>
      <c r="H111" s="30">
        <v>360</v>
      </c>
      <c r="I111" s="54">
        <v>0.05</v>
      </c>
      <c r="J111" s="53">
        <v>165</v>
      </c>
      <c r="K111" s="53">
        <f>(F111+G111+J111)*K5</f>
        <v>13.86</v>
      </c>
      <c r="L111" s="53">
        <f>(F111+G111+J111+K111)*L5</f>
        <v>63.6174</v>
      </c>
      <c r="M111" s="55">
        <f t="shared" si="10"/>
        <v>770.4774</v>
      </c>
      <c r="N111" s="53">
        <f t="shared" si="11"/>
        <v>5300.884512</v>
      </c>
      <c r="O111" s="74"/>
    </row>
    <row r="112" customFormat="1" ht="51.75" customHeight="1" spans="1:15">
      <c r="A112" s="25">
        <v>107</v>
      </c>
      <c r="B112" s="26" t="s">
        <v>126</v>
      </c>
      <c r="C112" s="26" t="s">
        <v>259</v>
      </c>
      <c r="D112" s="26" t="s">
        <v>69</v>
      </c>
      <c r="E112" s="53">
        <f>10.94+0.24+0.56+7.66+0.12</f>
        <v>19.52</v>
      </c>
      <c r="F112" s="30">
        <v>100</v>
      </c>
      <c r="G112" s="31">
        <f t="shared" si="9"/>
        <v>750</v>
      </c>
      <c r="H112" s="30">
        <v>750</v>
      </c>
      <c r="I112" s="54">
        <v>0</v>
      </c>
      <c r="J112" s="53">
        <v>155</v>
      </c>
      <c r="K112" s="53">
        <f>(F112+G112+J112)*K5</f>
        <v>20.1</v>
      </c>
      <c r="L112" s="53">
        <f>(F112+G112+J112+K112)*L5</f>
        <v>92.259</v>
      </c>
      <c r="M112" s="55">
        <f t="shared" si="10"/>
        <v>1117.359</v>
      </c>
      <c r="N112" s="53">
        <f t="shared" si="11"/>
        <v>21810.84768</v>
      </c>
      <c r="O112" s="73" t="s">
        <v>134</v>
      </c>
    </row>
    <row r="113" customFormat="1" ht="51.75" customHeight="1" spans="1:15">
      <c r="A113" s="25">
        <v>108</v>
      </c>
      <c r="B113" s="26" t="s">
        <v>123</v>
      </c>
      <c r="C113" s="26" t="s">
        <v>260</v>
      </c>
      <c r="D113" s="26" t="s">
        <v>85</v>
      </c>
      <c r="E113" s="53">
        <f>4.75+4.95</f>
        <v>9.7</v>
      </c>
      <c r="F113" s="30">
        <v>15</v>
      </c>
      <c r="G113" s="31">
        <f t="shared" si="9"/>
        <v>35</v>
      </c>
      <c r="H113" s="30">
        <v>35</v>
      </c>
      <c r="I113" s="54">
        <v>0</v>
      </c>
      <c r="J113" s="53">
        <v>5</v>
      </c>
      <c r="K113" s="53">
        <f>(F113+G113+J113)*K5</f>
        <v>1.1</v>
      </c>
      <c r="L113" s="53">
        <f>(F113+G113+J113+K113)*L5</f>
        <v>5.049</v>
      </c>
      <c r="M113" s="55">
        <f t="shared" si="10"/>
        <v>61.149</v>
      </c>
      <c r="N113" s="53">
        <f t="shared" si="11"/>
        <v>593.1453</v>
      </c>
      <c r="O113" s="73" t="s">
        <v>125</v>
      </c>
    </row>
    <row r="114" customFormat="1" ht="51.75" customHeight="1" spans="1:15">
      <c r="A114" s="25">
        <v>109</v>
      </c>
      <c r="B114" s="32" t="s">
        <v>261</v>
      </c>
      <c r="C114" s="26"/>
      <c r="D114" s="26"/>
      <c r="E114" s="53"/>
      <c r="F114" s="30"/>
      <c r="G114" s="31">
        <f t="shared" si="9"/>
        <v>0</v>
      </c>
      <c r="H114" s="30"/>
      <c r="I114" s="54"/>
      <c r="J114" s="53"/>
      <c r="K114" s="53"/>
      <c r="L114" s="53"/>
      <c r="M114" s="55">
        <f t="shared" si="10"/>
        <v>0</v>
      </c>
      <c r="N114" s="53">
        <f t="shared" si="11"/>
        <v>0</v>
      </c>
      <c r="O114" s="74"/>
    </row>
    <row r="115" customFormat="1" ht="138" customHeight="1" spans="1:15">
      <c r="A115" s="25">
        <v>110</v>
      </c>
      <c r="B115" s="26" t="s">
        <v>199</v>
      </c>
      <c r="C115" s="26" t="s">
        <v>200</v>
      </c>
      <c r="D115" s="26" t="s">
        <v>69</v>
      </c>
      <c r="E115" s="53">
        <f>3.31*2+3.38+5.61-1.39</f>
        <v>14.22</v>
      </c>
      <c r="F115" s="30">
        <v>60</v>
      </c>
      <c r="G115" s="31">
        <f t="shared" si="9"/>
        <v>207.9</v>
      </c>
      <c r="H115" s="30">
        <v>198</v>
      </c>
      <c r="I115" s="54">
        <v>0.05</v>
      </c>
      <c r="J115" s="53">
        <v>155</v>
      </c>
      <c r="K115" s="53">
        <f>(F115+G115+J115)*K5</f>
        <v>8.458</v>
      </c>
      <c r="L115" s="53">
        <f>(F115+G115+J115+K115)*L5</f>
        <v>38.82222</v>
      </c>
      <c r="M115" s="55">
        <f t="shared" si="10"/>
        <v>470.18022</v>
      </c>
      <c r="N115" s="53">
        <f t="shared" si="11"/>
        <v>6685.9627284</v>
      </c>
      <c r="O115" s="73" t="s">
        <v>76</v>
      </c>
    </row>
    <row r="116" customFormat="1" ht="58.5" customHeight="1" spans="1:15">
      <c r="A116" s="25">
        <v>111</v>
      </c>
      <c r="B116" s="26" t="s">
        <v>203</v>
      </c>
      <c r="C116" s="26" t="s">
        <v>204</v>
      </c>
      <c r="D116" s="26" t="s">
        <v>35</v>
      </c>
      <c r="E116" s="53">
        <v>1</v>
      </c>
      <c r="F116" s="30">
        <v>300</v>
      </c>
      <c r="G116" s="31">
        <f t="shared" si="9"/>
        <v>1800</v>
      </c>
      <c r="H116" s="30">
        <v>1800</v>
      </c>
      <c r="I116" s="54">
        <v>0</v>
      </c>
      <c r="J116" s="53">
        <v>600</v>
      </c>
      <c r="K116" s="53">
        <f>(F116+G116+J116)*K5</f>
        <v>54</v>
      </c>
      <c r="L116" s="53">
        <f>(F116+G116+J116+K116)*L5</f>
        <v>247.86</v>
      </c>
      <c r="M116" s="55">
        <f t="shared" si="10"/>
        <v>3001.86</v>
      </c>
      <c r="N116" s="53">
        <f t="shared" si="11"/>
        <v>3001.86</v>
      </c>
      <c r="O116" s="73" t="s">
        <v>205</v>
      </c>
    </row>
    <row r="117" customFormat="1" ht="58.5" customHeight="1" spans="1:15">
      <c r="A117" s="25">
        <v>112</v>
      </c>
      <c r="B117" s="26" t="s">
        <v>206</v>
      </c>
      <c r="C117" s="26" t="s">
        <v>207</v>
      </c>
      <c r="D117" s="26" t="s">
        <v>35</v>
      </c>
      <c r="E117" s="53">
        <v>1</v>
      </c>
      <c r="F117" s="30">
        <v>350</v>
      </c>
      <c r="G117" s="31">
        <v>1200</v>
      </c>
      <c r="H117" s="30">
        <v>3000</v>
      </c>
      <c r="I117" s="54">
        <v>0</v>
      </c>
      <c r="J117" s="53">
        <v>2200</v>
      </c>
      <c r="K117" s="53">
        <f>(F117+G117+J117)*K5</f>
        <v>75</v>
      </c>
      <c r="L117" s="53">
        <f>(F117+G117+J117+K117)*L5</f>
        <v>344.25</v>
      </c>
      <c r="M117" s="55">
        <f t="shared" si="10"/>
        <v>4169.25</v>
      </c>
      <c r="N117" s="53">
        <f t="shared" si="11"/>
        <v>4169.25</v>
      </c>
      <c r="O117" s="73" t="s">
        <v>134</v>
      </c>
    </row>
    <row r="118" customFormat="1" ht="36" customHeight="1" spans="1:15">
      <c r="A118" s="25">
        <v>113</v>
      </c>
      <c r="B118" s="32" t="s">
        <v>262</v>
      </c>
      <c r="C118" s="26"/>
      <c r="D118" s="26"/>
      <c r="E118" s="53"/>
      <c r="F118" s="30"/>
      <c r="G118" s="31">
        <f t="shared" si="9"/>
        <v>0</v>
      </c>
      <c r="H118" s="30"/>
      <c r="I118" s="54"/>
      <c r="J118" s="53"/>
      <c r="K118" s="53"/>
      <c r="L118" s="53"/>
      <c r="M118" s="55">
        <f t="shared" si="10"/>
        <v>0</v>
      </c>
      <c r="N118" s="53">
        <f t="shared" si="11"/>
        <v>0</v>
      </c>
      <c r="O118" s="74"/>
    </row>
    <row r="119" customFormat="1" ht="102" customHeight="1" spans="1:15">
      <c r="A119" s="25">
        <v>114</v>
      </c>
      <c r="B119" s="26" t="s">
        <v>199</v>
      </c>
      <c r="C119" s="26" t="s">
        <v>263</v>
      </c>
      <c r="D119" s="26" t="s">
        <v>69</v>
      </c>
      <c r="E119" s="53">
        <f>(1.6+1.13+2.2)*5.6-1.06</f>
        <v>26.548</v>
      </c>
      <c r="F119" s="30">
        <v>260</v>
      </c>
      <c r="G119" s="31">
        <f t="shared" si="9"/>
        <v>630</v>
      </c>
      <c r="H119" s="30">
        <v>600</v>
      </c>
      <c r="I119" s="54">
        <v>0.05</v>
      </c>
      <c r="J119" s="53">
        <v>150</v>
      </c>
      <c r="K119" s="53">
        <f>(F119+G119+J119)*K5</f>
        <v>20.8</v>
      </c>
      <c r="L119" s="53">
        <f>(F119+G119+J119+K119)*L5</f>
        <v>95.472</v>
      </c>
      <c r="M119" s="55">
        <f t="shared" si="10"/>
        <v>1156.272</v>
      </c>
      <c r="N119" s="53">
        <f t="shared" si="11"/>
        <v>30696.709056</v>
      </c>
      <c r="O119" s="73" t="s">
        <v>73</v>
      </c>
    </row>
    <row r="120" customFormat="1" ht="81.75" customHeight="1" spans="1:15">
      <c r="A120" s="25">
        <v>115</v>
      </c>
      <c r="B120" s="26" t="s">
        <v>165</v>
      </c>
      <c r="C120" s="26" t="s">
        <v>264</v>
      </c>
      <c r="D120" s="26" t="s">
        <v>85</v>
      </c>
      <c r="E120" s="53">
        <v>20.432</v>
      </c>
      <c r="F120" s="30">
        <v>110</v>
      </c>
      <c r="G120" s="31">
        <f t="shared" si="9"/>
        <v>620</v>
      </c>
      <c r="H120" s="30">
        <v>620</v>
      </c>
      <c r="I120" s="54">
        <v>0</v>
      </c>
      <c r="J120" s="53">
        <v>280</v>
      </c>
      <c r="K120" s="53">
        <f>(F120+G120+J120)*K5</f>
        <v>20.2</v>
      </c>
      <c r="L120" s="53">
        <f>(F120+G120+J120+K120)*L5</f>
        <v>92.718</v>
      </c>
      <c r="M120" s="55">
        <f t="shared" si="10"/>
        <v>1122.918</v>
      </c>
      <c r="N120" s="53">
        <f t="shared" si="11"/>
        <v>22943.460576</v>
      </c>
      <c r="O120" s="73" t="s">
        <v>265</v>
      </c>
    </row>
    <row r="121" customFormat="1" ht="73.5" customHeight="1" spans="1:15">
      <c r="A121" s="25">
        <v>116</v>
      </c>
      <c r="B121" s="26" t="s">
        <v>210</v>
      </c>
      <c r="C121" s="26" t="s">
        <v>266</v>
      </c>
      <c r="D121" s="26" t="s">
        <v>69</v>
      </c>
      <c r="E121" s="58">
        <f>(1.6+1.13+2.2)*1.8*0.12</f>
        <v>1.06488</v>
      </c>
      <c r="F121" s="30">
        <v>90</v>
      </c>
      <c r="G121" s="31">
        <f t="shared" si="9"/>
        <v>630</v>
      </c>
      <c r="H121" s="30">
        <v>600</v>
      </c>
      <c r="I121" s="54">
        <v>0.05</v>
      </c>
      <c r="J121" s="53">
        <v>185</v>
      </c>
      <c r="K121" s="53">
        <f>(F121+G121+J121)*K5</f>
        <v>18.1</v>
      </c>
      <c r="L121" s="53">
        <f>(F121+G121+J121+K121)*L5</f>
        <v>83.079</v>
      </c>
      <c r="M121" s="55">
        <f t="shared" si="10"/>
        <v>1006.179</v>
      </c>
      <c r="N121" s="53">
        <f t="shared" si="11"/>
        <v>1071.45989352</v>
      </c>
      <c r="O121" s="73" t="s">
        <v>73</v>
      </c>
    </row>
    <row r="122" customFormat="1" ht="82.5" customHeight="1" spans="1:15">
      <c r="A122" s="25">
        <v>117</v>
      </c>
      <c r="B122" s="26" t="s">
        <v>267</v>
      </c>
      <c r="C122" s="26" t="s">
        <v>268</v>
      </c>
      <c r="D122" s="26" t="s">
        <v>69</v>
      </c>
      <c r="E122" s="53">
        <f>(0.98+1.49+1.82+1.37)*1.8*2*0.3</f>
        <v>6.1128</v>
      </c>
      <c r="F122" s="30">
        <v>100</v>
      </c>
      <c r="G122" s="31">
        <f t="shared" si="9"/>
        <v>450</v>
      </c>
      <c r="H122" s="30">
        <v>450</v>
      </c>
      <c r="I122" s="54">
        <v>0</v>
      </c>
      <c r="J122" s="53">
        <v>180</v>
      </c>
      <c r="K122" s="53">
        <f>(F122+G122+J122)*K5</f>
        <v>14.6</v>
      </c>
      <c r="L122" s="53">
        <f>(F122+G122+J122+K122)*L5</f>
        <v>67.014</v>
      </c>
      <c r="M122" s="55">
        <f t="shared" si="10"/>
        <v>811.614</v>
      </c>
      <c r="N122" s="53">
        <f t="shared" si="11"/>
        <v>4961.2340592</v>
      </c>
      <c r="O122" s="73" t="s">
        <v>125</v>
      </c>
    </row>
    <row r="123" customFormat="1" ht="42" customHeight="1" spans="1:15">
      <c r="A123" s="25">
        <v>118</v>
      </c>
      <c r="B123" s="26" t="s">
        <v>269</v>
      </c>
      <c r="C123" s="26" t="s">
        <v>270</v>
      </c>
      <c r="D123" s="26" t="s">
        <v>69</v>
      </c>
      <c r="E123" s="53">
        <f>5.55*1.8*2</f>
        <v>19.98</v>
      </c>
      <c r="F123" s="30">
        <v>100</v>
      </c>
      <c r="G123" s="31">
        <f t="shared" si="9"/>
        <v>750</v>
      </c>
      <c r="H123" s="30">
        <v>750</v>
      </c>
      <c r="I123" s="54">
        <v>0</v>
      </c>
      <c r="J123" s="53">
        <v>155</v>
      </c>
      <c r="K123" s="53">
        <f>(F123+G123+J123)*K5</f>
        <v>20.1</v>
      </c>
      <c r="L123" s="53">
        <f>(F123+G123+J123+K123)*L5</f>
        <v>92.259</v>
      </c>
      <c r="M123" s="55">
        <f t="shared" si="10"/>
        <v>1117.359</v>
      </c>
      <c r="N123" s="53">
        <f t="shared" si="11"/>
        <v>22324.83282</v>
      </c>
      <c r="O123" s="73" t="s">
        <v>134</v>
      </c>
    </row>
    <row r="124" customFormat="1" ht="31" customHeight="1" spans="1:15">
      <c r="A124" s="25">
        <v>119</v>
      </c>
      <c r="B124" s="42" t="s">
        <v>271</v>
      </c>
      <c r="C124" s="26"/>
      <c r="D124" s="26"/>
      <c r="E124" s="53"/>
      <c r="F124" s="30"/>
      <c r="G124" s="31">
        <f t="shared" si="9"/>
        <v>0</v>
      </c>
      <c r="H124" s="30"/>
      <c r="I124" s="54"/>
      <c r="J124" s="53"/>
      <c r="K124" s="53"/>
      <c r="L124" s="53"/>
      <c r="M124" s="55">
        <f t="shared" si="10"/>
        <v>0</v>
      </c>
      <c r="N124" s="53">
        <f t="shared" si="11"/>
        <v>0</v>
      </c>
      <c r="O124" s="74"/>
    </row>
    <row r="125" customFormat="1" ht="59.25" customHeight="1" spans="1:15">
      <c r="A125" s="25">
        <v>120</v>
      </c>
      <c r="B125" s="26" t="s">
        <v>272</v>
      </c>
      <c r="C125" s="26" t="s">
        <v>273</v>
      </c>
      <c r="D125" s="26" t="s">
        <v>274</v>
      </c>
      <c r="E125" s="53">
        <f>1+1+1+1</f>
        <v>4</v>
      </c>
      <c r="F125" s="30">
        <v>150</v>
      </c>
      <c r="G125" s="31">
        <f t="shared" si="9"/>
        <v>2450</v>
      </c>
      <c r="H125" s="30">
        <v>2450</v>
      </c>
      <c r="I125" s="54">
        <v>0</v>
      </c>
      <c r="J125" s="53">
        <v>350</v>
      </c>
      <c r="K125" s="53">
        <f>(F125+G125+J125)*K5</f>
        <v>59</v>
      </c>
      <c r="L125" s="53">
        <f>(F125+G125+J125+K125)*L5</f>
        <v>270.81</v>
      </c>
      <c r="M125" s="55">
        <f t="shared" si="10"/>
        <v>3279.81</v>
      </c>
      <c r="N125" s="53">
        <f t="shared" si="11"/>
        <v>13119.24</v>
      </c>
      <c r="O125" s="73" t="s">
        <v>134</v>
      </c>
    </row>
    <row r="126" customFormat="1" ht="49.5" customHeight="1" spans="1:15">
      <c r="A126" s="25">
        <v>121</v>
      </c>
      <c r="B126" s="26" t="s">
        <v>275</v>
      </c>
      <c r="C126" s="26" t="s">
        <v>276</v>
      </c>
      <c r="D126" s="26" t="s">
        <v>274</v>
      </c>
      <c r="E126" s="53">
        <v>1</v>
      </c>
      <c r="F126" s="30">
        <v>150</v>
      </c>
      <c r="G126" s="31">
        <f t="shared" si="9"/>
        <v>2450</v>
      </c>
      <c r="H126" s="30">
        <v>2450</v>
      </c>
      <c r="I126" s="54">
        <v>0</v>
      </c>
      <c r="J126" s="53">
        <v>350</v>
      </c>
      <c r="K126" s="53">
        <f>(F126+G126+J126)*K5</f>
        <v>59</v>
      </c>
      <c r="L126" s="53">
        <f>(F126+G126+J126+K126)*L5</f>
        <v>270.81</v>
      </c>
      <c r="M126" s="55">
        <f t="shared" si="10"/>
        <v>3279.81</v>
      </c>
      <c r="N126" s="53">
        <f t="shared" si="11"/>
        <v>3279.81</v>
      </c>
      <c r="O126" s="73" t="s">
        <v>134</v>
      </c>
    </row>
    <row r="127" customFormat="1" ht="39.75" customHeight="1" spans="1:15">
      <c r="A127" s="25">
        <v>122</v>
      </c>
      <c r="B127" s="26" t="s">
        <v>277</v>
      </c>
      <c r="C127" s="26" t="s">
        <v>278</v>
      </c>
      <c r="D127" s="26" t="s">
        <v>274</v>
      </c>
      <c r="E127" s="53">
        <v>1</v>
      </c>
      <c r="F127" s="30">
        <v>150</v>
      </c>
      <c r="G127" s="31">
        <f t="shared" si="9"/>
        <v>2800</v>
      </c>
      <c r="H127" s="30">
        <v>2800</v>
      </c>
      <c r="I127" s="54">
        <v>0</v>
      </c>
      <c r="J127" s="53">
        <v>50</v>
      </c>
      <c r="K127" s="53">
        <f>(F127+G127+J127)*K5</f>
        <v>60</v>
      </c>
      <c r="L127" s="53">
        <f>(F127+G127+J127+K127)*L5</f>
        <v>275.4</v>
      </c>
      <c r="M127" s="55">
        <f t="shared" si="10"/>
        <v>3335.4</v>
      </c>
      <c r="N127" s="53">
        <f t="shared" si="11"/>
        <v>3335.4</v>
      </c>
      <c r="O127" s="73" t="s">
        <v>279</v>
      </c>
    </row>
    <row r="128" customFormat="1" ht="42" customHeight="1" spans="1:15">
      <c r="A128" s="25">
        <v>123</v>
      </c>
      <c r="B128" s="26" t="s">
        <v>280</v>
      </c>
      <c r="C128" s="26" t="s">
        <v>281</v>
      </c>
      <c r="D128" s="26" t="s">
        <v>274</v>
      </c>
      <c r="E128" s="53">
        <v>1</v>
      </c>
      <c r="F128" s="30">
        <v>150</v>
      </c>
      <c r="G128" s="31">
        <f t="shared" si="9"/>
        <v>2800</v>
      </c>
      <c r="H128" s="30">
        <v>2800</v>
      </c>
      <c r="I128" s="54">
        <v>0</v>
      </c>
      <c r="J128" s="53">
        <v>50</v>
      </c>
      <c r="K128" s="53">
        <f>(F128+G128+J128)*K5</f>
        <v>60</v>
      </c>
      <c r="L128" s="53">
        <f>(F128+G128+J128+K128)*L5</f>
        <v>275.4</v>
      </c>
      <c r="M128" s="55">
        <f t="shared" si="10"/>
        <v>3335.4</v>
      </c>
      <c r="N128" s="53">
        <f t="shared" si="11"/>
        <v>3335.4</v>
      </c>
      <c r="O128" s="73" t="s">
        <v>279</v>
      </c>
    </row>
    <row r="129" customFormat="1" ht="42" customHeight="1" spans="1:15">
      <c r="A129" s="25">
        <v>124</v>
      </c>
      <c r="B129" s="26" t="s">
        <v>272</v>
      </c>
      <c r="C129" s="26" t="s">
        <v>282</v>
      </c>
      <c r="D129" s="26" t="s">
        <v>274</v>
      </c>
      <c r="E129" s="53">
        <v>1</v>
      </c>
      <c r="F129" s="30">
        <v>150</v>
      </c>
      <c r="G129" s="31">
        <f t="shared" si="9"/>
        <v>2450</v>
      </c>
      <c r="H129" s="30">
        <v>2450</v>
      </c>
      <c r="I129" s="54">
        <v>0</v>
      </c>
      <c r="J129" s="53">
        <v>350</v>
      </c>
      <c r="K129" s="53">
        <f>(F129+G129+J129)*K5</f>
        <v>59</v>
      </c>
      <c r="L129" s="53">
        <f>(F129+G129+J129+K129)*L5</f>
        <v>270.81</v>
      </c>
      <c r="M129" s="55">
        <f t="shared" si="10"/>
        <v>3279.81</v>
      </c>
      <c r="N129" s="53">
        <f t="shared" si="11"/>
        <v>3279.81</v>
      </c>
      <c r="O129" s="73" t="s">
        <v>134</v>
      </c>
    </row>
    <row r="130" customFormat="1" ht="42" customHeight="1" spans="1:15">
      <c r="A130" s="34" t="s">
        <v>283</v>
      </c>
      <c r="B130" s="38" t="s">
        <v>284</v>
      </c>
      <c r="C130" s="38" t="s">
        <v>285</v>
      </c>
      <c r="D130" s="38" t="s">
        <v>35</v>
      </c>
      <c r="E130" s="58">
        <v>1</v>
      </c>
      <c r="F130" s="39">
        <v>150</v>
      </c>
      <c r="G130" s="40">
        <f t="shared" si="9"/>
        <v>1450</v>
      </c>
      <c r="H130" s="39">
        <v>1450</v>
      </c>
      <c r="I130" s="57">
        <v>0</v>
      </c>
      <c r="J130" s="58">
        <v>30</v>
      </c>
      <c r="K130" s="58">
        <f>(F130+G130+J130)*K5</f>
        <v>32.6</v>
      </c>
      <c r="L130" s="58">
        <f>(F130+G130+J130+K130)*L5</f>
        <v>149.634</v>
      </c>
      <c r="M130" s="59">
        <f t="shared" si="10"/>
        <v>1812.234</v>
      </c>
      <c r="N130" s="58">
        <f t="shared" si="11"/>
        <v>1812.234</v>
      </c>
      <c r="O130" s="73" t="s">
        <v>134</v>
      </c>
    </row>
    <row r="131" customFormat="1" ht="42" customHeight="1" spans="1:15">
      <c r="A131" s="34" t="s">
        <v>286</v>
      </c>
      <c r="B131" s="38" t="s">
        <v>287</v>
      </c>
      <c r="C131" s="38" t="s">
        <v>288</v>
      </c>
      <c r="D131" s="38" t="s">
        <v>35</v>
      </c>
      <c r="E131" s="58">
        <v>1</v>
      </c>
      <c r="F131" s="39">
        <v>300</v>
      </c>
      <c r="G131" s="40">
        <f t="shared" si="9"/>
        <v>2200</v>
      </c>
      <c r="H131" s="39">
        <v>2200</v>
      </c>
      <c r="I131" s="57">
        <v>0</v>
      </c>
      <c r="J131" s="58">
        <v>30</v>
      </c>
      <c r="K131" s="58">
        <f>(F131+G131+J131)*K5</f>
        <v>50.6</v>
      </c>
      <c r="L131" s="58">
        <f>(F131+G131+J131+K131)*L5</f>
        <v>232.254</v>
      </c>
      <c r="M131" s="59">
        <f t="shared" si="10"/>
        <v>2812.854</v>
      </c>
      <c r="N131" s="58">
        <f t="shared" si="11"/>
        <v>2812.854</v>
      </c>
      <c r="O131" s="73" t="s">
        <v>134</v>
      </c>
    </row>
    <row r="132" customFormat="1" ht="32" customHeight="1" spans="1:15">
      <c r="A132" s="25">
        <v>127</v>
      </c>
      <c r="B132" s="32" t="s">
        <v>289</v>
      </c>
      <c r="C132" s="33"/>
      <c r="D132" s="33"/>
      <c r="E132" s="33"/>
      <c r="F132" s="30"/>
      <c r="G132" s="31">
        <f t="shared" ref="G132:G137" si="12">H132*(1+I132)</f>
        <v>0</v>
      </c>
      <c r="H132" s="30"/>
      <c r="I132" s="54"/>
      <c r="J132" s="53"/>
      <c r="K132" s="53"/>
      <c r="L132" s="53"/>
      <c r="M132" s="55">
        <f t="shared" ref="M132:M137" si="13">F132+G132+J132+K132+L132</f>
        <v>0</v>
      </c>
      <c r="N132" s="53">
        <f t="shared" ref="N132:N137" si="14">E132*M132</f>
        <v>0</v>
      </c>
      <c r="O132" s="33"/>
    </row>
    <row r="133" customFormat="1" ht="30" customHeight="1" spans="1:15">
      <c r="A133" s="25">
        <v>128</v>
      </c>
      <c r="B133" s="26" t="s">
        <v>290</v>
      </c>
      <c r="C133" s="26" t="s">
        <v>291</v>
      </c>
      <c r="D133" s="25" t="s">
        <v>292</v>
      </c>
      <c r="E133" s="34">
        <v>138.8</v>
      </c>
      <c r="F133" s="30">
        <v>80</v>
      </c>
      <c r="G133" s="31">
        <f t="shared" si="12"/>
        <v>100</v>
      </c>
      <c r="H133" s="30">
        <v>100</v>
      </c>
      <c r="I133" s="54">
        <v>0</v>
      </c>
      <c r="J133" s="53">
        <v>10</v>
      </c>
      <c r="K133" s="53">
        <f>(F133+G133+J133)*K5</f>
        <v>3.8</v>
      </c>
      <c r="L133" s="53">
        <f>(F133+G133+J133+K133)*L5</f>
        <v>17.442</v>
      </c>
      <c r="M133" s="55">
        <f t="shared" si="13"/>
        <v>211.242</v>
      </c>
      <c r="N133" s="53">
        <f t="shared" si="14"/>
        <v>29320.3896</v>
      </c>
      <c r="O133" s="33"/>
    </row>
    <row r="134" customFormat="1" ht="30" customHeight="1" spans="1:15">
      <c r="A134" s="25">
        <v>129</v>
      </c>
      <c r="B134" s="35" t="s">
        <v>293</v>
      </c>
      <c r="C134" s="26" t="s">
        <v>294</v>
      </c>
      <c r="D134" s="36" t="s">
        <v>85</v>
      </c>
      <c r="E134" s="37">
        <v>6</v>
      </c>
      <c r="F134" s="30">
        <v>100</v>
      </c>
      <c r="G134" s="31">
        <f t="shared" si="12"/>
        <v>120</v>
      </c>
      <c r="H134" s="30">
        <v>120</v>
      </c>
      <c r="I134" s="54">
        <v>0</v>
      </c>
      <c r="J134" s="53">
        <v>15</v>
      </c>
      <c r="K134" s="53">
        <f>(F134+G134+J134)*K5</f>
        <v>4.7</v>
      </c>
      <c r="L134" s="53">
        <f>(F134+G134+J134+K134)*L5</f>
        <v>21.573</v>
      </c>
      <c r="M134" s="55">
        <f t="shared" si="13"/>
        <v>261.273</v>
      </c>
      <c r="N134" s="53">
        <f t="shared" si="14"/>
        <v>1567.638</v>
      </c>
      <c r="O134" s="33"/>
    </row>
    <row r="135" customFormat="1" ht="30" customHeight="1" spans="1:15">
      <c r="A135" s="34" t="s">
        <v>295</v>
      </c>
      <c r="B135" s="38" t="s">
        <v>296</v>
      </c>
      <c r="C135" s="38" t="s">
        <v>297</v>
      </c>
      <c r="D135" s="34" t="s">
        <v>298</v>
      </c>
      <c r="E135" s="34"/>
      <c r="F135" s="39"/>
      <c r="G135" s="40"/>
      <c r="H135" s="39"/>
      <c r="I135" s="57"/>
      <c r="J135" s="58"/>
      <c r="K135" s="58"/>
      <c r="L135" s="58"/>
      <c r="M135" s="59"/>
      <c r="N135" s="58"/>
      <c r="O135" s="33"/>
    </row>
    <row r="136" customFormat="1" ht="30" customHeight="1" spans="1:15">
      <c r="A136" s="34" t="s">
        <v>299</v>
      </c>
      <c r="B136" s="38" t="s">
        <v>300</v>
      </c>
      <c r="C136" s="38" t="s">
        <v>301</v>
      </c>
      <c r="D136" s="34" t="s">
        <v>292</v>
      </c>
      <c r="E136" s="34">
        <v>31</v>
      </c>
      <c r="F136" s="39">
        <v>90</v>
      </c>
      <c r="G136" s="40">
        <f t="shared" si="12"/>
        <v>0</v>
      </c>
      <c r="H136" s="39">
        <v>0</v>
      </c>
      <c r="I136" s="57">
        <v>0</v>
      </c>
      <c r="J136" s="58">
        <v>10</v>
      </c>
      <c r="K136" s="58">
        <f>(F136+G136+J136)*K5</f>
        <v>2</v>
      </c>
      <c r="L136" s="58">
        <f>(F136+G136+J136+K136)*L5</f>
        <v>9.18</v>
      </c>
      <c r="M136" s="59">
        <f t="shared" si="13"/>
        <v>111.18</v>
      </c>
      <c r="N136" s="58">
        <f t="shared" si="14"/>
        <v>3446.58</v>
      </c>
      <c r="O136" s="33"/>
    </row>
    <row r="137" customFormat="1" ht="30" customHeight="1" spans="1:15">
      <c r="A137" s="34" t="s">
        <v>302</v>
      </c>
      <c r="B137" s="38" t="s">
        <v>303</v>
      </c>
      <c r="C137" s="38" t="s">
        <v>304</v>
      </c>
      <c r="D137" s="37" t="s">
        <v>35</v>
      </c>
      <c r="E137" s="37">
        <v>1</v>
      </c>
      <c r="F137" s="39">
        <v>2500</v>
      </c>
      <c r="G137" s="40">
        <f t="shared" si="12"/>
        <v>4500</v>
      </c>
      <c r="H137" s="39">
        <v>4500</v>
      </c>
      <c r="I137" s="57">
        <v>0</v>
      </c>
      <c r="J137" s="58">
        <v>1000</v>
      </c>
      <c r="K137" s="58">
        <f>(F137+G137+J137)*K5</f>
        <v>160</v>
      </c>
      <c r="L137" s="58">
        <f>(F137+G137+J137+K137)*L5</f>
        <v>734.4</v>
      </c>
      <c r="M137" s="59">
        <f t="shared" si="13"/>
        <v>8894.4</v>
      </c>
      <c r="N137" s="58">
        <f t="shared" si="14"/>
        <v>8894.4</v>
      </c>
      <c r="O137" s="60" t="s">
        <v>305</v>
      </c>
    </row>
    <row r="138" customFormat="1" ht="30" customHeight="1" spans="1:15">
      <c r="A138" s="34" t="s">
        <v>306</v>
      </c>
      <c r="B138" s="38" t="s">
        <v>307</v>
      </c>
      <c r="C138" s="38" t="s">
        <v>308</v>
      </c>
      <c r="D138" s="34" t="s">
        <v>292</v>
      </c>
      <c r="E138" s="34">
        <v>36.5</v>
      </c>
      <c r="F138" s="39">
        <v>150</v>
      </c>
      <c r="G138" s="40">
        <f t="shared" ref="G138:G142" si="15">H138*(1+I138)</f>
        <v>0</v>
      </c>
      <c r="H138" s="39">
        <v>0</v>
      </c>
      <c r="I138" s="57">
        <v>0</v>
      </c>
      <c r="J138" s="58">
        <v>20</v>
      </c>
      <c r="K138" s="58">
        <f>(F138+G138+J138)*K5</f>
        <v>3.4</v>
      </c>
      <c r="L138" s="58">
        <f>(F138+G138+J138+K138)*L5</f>
        <v>15.606</v>
      </c>
      <c r="M138" s="59">
        <f t="shared" ref="M138:M142" si="16">F138+G138+J138+K138+L138</f>
        <v>189.006</v>
      </c>
      <c r="N138" s="58">
        <f t="shared" ref="N138:N142" si="17">E138*M138</f>
        <v>6898.719</v>
      </c>
      <c r="O138" s="33"/>
    </row>
    <row r="139" customFormat="1" ht="30" customHeight="1" spans="1:15">
      <c r="A139" s="34" t="s">
        <v>309</v>
      </c>
      <c r="B139" s="41" t="s">
        <v>310</v>
      </c>
      <c r="C139" s="38" t="s">
        <v>311</v>
      </c>
      <c r="D139" s="37" t="s">
        <v>35</v>
      </c>
      <c r="E139" s="37">
        <v>1</v>
      </c>
      <c r="F139" s="39">
        <v>2200</v>
      </c>
      <c r="G139" s="40">
        <f t="shared" si="15"/>
        <v>6000</v>
      </c>
      <c r="H139" s="39">
        <v>6000</v>
      </c>
      <c r="I139" s="57">
        <v>0</v>
      </c>
      <c r="J139" s="58">
        <v>1000</v>
      </c>
      <c r="K139" s="58">
        <f>(F139+G139+J139)*K5</f>
        <v>184</v>
      </c>
      <c r="L139" s="58">
        <f>(F139+G139+J139+K139)*L5</f>
        <v>844.56</v>
      </c>
      <c r="M139" s="59">
        <f t="shared" si="16"/>
        <v>10228.56</v>
      </c>
      <c r="N139" s="58">
        <f t="shared" si="17"/>
        <v>10228.56</v>
      </c>
      <c r="O139" s="60" t="s">
        <v>305</v>
      </c>
    </row>
    <row r="140" ht="32" customHeight="1" spans="1:15">
      <c r="A140" s="25">
        <v>135</v>
      </c>
      <c r="B140" s="32" t="s">
        <v>312</v>
      </c>
      <c r="C140" s="26"/>
      <c r="D140" s="26"/>
      <c r="E140" s="53"/>
      <c r="F140" s="30"/>
      <c r="G140" s="31">
        <f t="shared" si="15"/>
        <v>0</v>
      </c>
      <c r="H140" s="30"/>
      <c r="I140" s="54"/>
      <c r="J140" s="53"/>
      <c r="K140" s="53"/>
      <c r="L140" s="53"/>
      <c r="M140" s="55">
        <f t="shared" si="16"/>
        <v>0</v>
      </c>
      <c r="N140" s="53">
        <f t="shared" si="17"/>
        <v>0</v>
      </c>
      <c r="O140" s="74"/>
    </row>
    <row r="141" s="4" customFormat="1" ht="72" customHeight="1" spans="1:15">
      <c r="A141" s="25">
        <v>136</v>
      </c>
      <c r="B141" s="26" t="s">
        <v>67</v>
      </c>
      <c r="C141" s="26" t="s">
        <v>313</v>
      </c>
      <c r="D141" s="26" t="s">
        <v>69</v>
      </c>
      <c r="E141" s="53">
        <v>73.65</v>
      </c>
      <c r="F141" s="30">
        <v>40</v>
      </c>
      <c r="G141" s="31">
        <f t="shared" si="15"/>
        <v>252</v>
      </c>
      <c r="H141" s="30">
        <v>240</v>
      </c>
      <c r="I141" s="54">
        <v>0.05</v>
      </c>
      <c r="J141" s="53">
        <v>82</v>
      </c>
      <c r="K141" s="53">
        <f>(F141+G141+J141)*K5</f>
        <v>7.48</v>
      </c>
      <c r="L141" s="53">
        <f>(F141+G141+J141+K141)*L5</f>
        <v>34.3332</v>
      </c>
      <c r="M141" s="55">
        <f t="shared" si="16"/>
        <v>415.8132</v>
      </c>
      <c r="N141" s="53">
        <f t="shared" si="17"/>
        <v>30624.64218</v>
      </c>
      <c r="O141" s="73" t="s">
        <v>70</v>
      </c>
    </row>
    <row r="142" s="4" customFormat="1" ht="72" customHeight="1" spans="1:15">
      <c r="A142" s="25">
        <v>131</v>
      </c>
      <c r="B142" s="26" t="s">
        <v>71</v>
      </c>
      <c r="C142" s="26" t="s">
        <v>72</v>
      </c>
      <c r="D142" s="26" t="s">
        <v>69</v>
      </c>
      <c r="E142" s="58">
        <v>96.2</v>
      </c>
      <c r="F142" s="30">
        <v>95</v>
      </c>
      <c r="G142" s="31">
        <f t="shared" si="15"/>
        <v>483</v>
      </c>
      <c r="H142" s="30">
        <v>460</v>
      </c>
      <c r="I142" s="54">
        <v>0.05</v>
      </c>
      <c r="J142" s="53">
        <v>115</v>
      </c>
      <c r="K142" s="53">
        <f>(F142+G142+J142)*K5</f>
        <v>13.86</v>
      </c>
      <c r="L142" s="53">
        <f>(F142+G142+J142+K142)*L5</f>
        <v>63.6174</v>
      </c>
      <c r="M142" s="55">
        <f t="shared" si="16"/>
        <v>770.4774</v>
      </c>
      <c r="N142" s="53">
        <f t="shared" si="17"/>
        <v>74119.92588</v>
      </c>
      <c r="O142" s="73" t="s">
        <v>73</v>
      </c>
    </row>
    <row r="143" s="4" customFormat="1" ht="93" customHeight="1" spans="1:15">
      <c r="A143" s="25">
        <v>132</v>
      </c>
      <c r="B143" s="38" t="s">
        <v>80</v>
      </c>
      <c r="C143" s="26" t="s">
        <v>314</v>
      </c>
      <c r="D143" s="26" t="s">
        <v>69</v>
      </c>
      <c r="E143" s="53">
        <v>13.89</v>
      </c>
      <c r="F143" s="30"/>
      <c r="G143" s="31"/>
      <c r="H143" s="30"/>
      <c r="I143" s="54"/>
      <c r="J143" s="53"/>
      <c r="K143" s="53"/>
      <c r="L143" s="53"/>
      <c r="M143" s="55"/>
      <c r="N143" s="53"/>
      <c r="O143" s="74"/>
    </row>
    <row r="144" s="4" customFormat="1" ht="93" customHeight="1" spans="1:15">
      <c r="A144" s="25">
        <v>133</v>
      </c>
      <c r="B144" s="26" t="s">
        <v>80</v>
      </c>
      <c r="C144" s="26" t="s">
        <v>315</v>
      </c>
      <c r="D144" s="26" t="s">
        <v>69</v>
      </c>
      <c r="E144" s="53">
        <f>3.28+21.8</f>
        <v>25.08</v>
      </c>
      <c r="F144" s="30">
        <v>150</v>
      </c>
      <c r="G144" s="31">
        <f t="shared" ref="G144:G150" si="18">H144*(1+I144)</f>
        <v>378</v>
      </c>
      <c r="H144" s="30">
        <v>360</v>
      </c>
      <c r="I144" s="54">
        <v>0.05</v>
      </c>
      <c r="J144" s="53">
        <v>155</v>
      </c>
      <c r="K144" s="53">
        <f>(F144+G144+J144)*K5</f>
        <v>13.66</v>
      </c>
      <c r="L144" s="53">
        <f>(F144+G144+J144+K144)*L5</f>
        <v>62.6994</v>
      </c>
      <c r="M144" s="55">
        <f t="shared" ref="M144:M151" si="19">F144+G144+J144+K144+L144</f>
        <v>759.3594</v>
      </c>
      <c r="N144" s="53">
        <f t="shared" ref="N144:N151" si="20">E144*M144</f>
        <v>19044.733752</v>
      </c>
      <c r="O144" s="74"/>
    </row>
    <row r="145" s="4" customFormat="1" ht="63" customHeight="1" spans="1:15">
      <c r="A145" s="25">
        <v>134</v>
      </c>
      <c r="B145" s="26" t="s">
        <v>83</v>
      </c>
      <c r="C145" s="26" t="s">
        <v>84</v>
      </c>
      <c r="D145" s="26" t="s">
        <v>85</v>
      </c>
      <c r="E145" s="53">
        <v>3.28</v>
      </c>
      <c r="F145" s="30">
        <v>10</v>
      </c>
      <c r="G145" s="31">
        <f t="shared" si="18"/>
        <v>55</v>
      </c>
      <c r="H145" s="30">
        <v>55</v>
      </c>
      <c r="I145" s="54">
        <v>0</v>
      </c>
      <c r="J145" s="53">
        <v>7</v>
      </c>
      <c r="K145" s="53">
        <f>(F145+G145+J145)*K5</f>
        <v>1.44</v>
      </c>
      <c r="L145" s="53">
        <f>(F145+G145+J145+K145)*L5</f>
        <v>6.6096</v>
      </c>
      <c r="M145" s="55">
        <f t="shared" si="19"/>
        <v>80.0496</v>
      </c>
      <c r="N145" s="53">
        <f t="shared" si="20"/>
        <v>262.562688</v>
      </c>
      <c r="O145" s="74"/>
    </row>
    <row r="146" ht="80.25" customHeight="1" spans="1:15">
      <c r="A146" s="25">
        <v>135</v>
      </c>
      <c r="B146" s="26" t="s">
        <v>88</v>
      </c>
      <c r="C146" s="26" t="s">
        <v>89</v>
      </c>
      <c r="D146" s="26" t="s">
        <v>69</v>
      </c>
      <c r="E146" s="58">
        <v>2.8</v>
      </c>
      <c r="F146" s="30">
        <v>95</v>
      </c>
      <c r="G146" s="31">
        <f t="shared" si="18"/>
        <v>483</v>
      </c>
      <c r="H146" s="30">
        <v>460</v>
      </c>
      <c r="I146" s="54">
        <v>0.05</v>
      </c>
      <c r="J146" s="53">
        <v>90</v>
      </c>
      <c r="K146" s="53">
        <f>(F146+G146+J146)*K5</f>
        <v>13.36</v>
      </c>
      <c r="L146" s="53">
        <f>(F146+G146+J146+K146)*L5</f>
        <v>61.3224</v>
      </c>
      <c r="M146" s="55">
        <f t="shared" si="19"/>
        <v>742.6824</v>
      </c>
      <c r="N146" s="53">
        <f t="shared" si="20"/>
        <v>2079.51072</v>
      </c>
      <c r="O146" s="74"/>
    </row>
    <row r="147" s="4" customFormat="1" ht="29" customHeight="1" spans="1:15">
      <c r="A147" s="25">
        <v>136</v>
      </c>
      <c r="B147" s="32" t="s">
        <v>316</v>
      </c>
      <c r="C147" s="26"/>
      <c r="D147" s="26"/>
      <c r="E147" s="53"/>
      <c r="F147" s="30"/>
      <c r="G147" s="31">
        <f t="shared" si="18"/>
        <v>0</v>
      </c>
      <c r="H147" s="30"/>
      <c r="I147" s="54"/>
      <c r="J147" s="53"/>
      <c r="K147" s="53"/>
      <c r="L147" s="53"/>
      <c r="M147" s="55">
        <f t="shared" si="19"/>
        <v>0</v>
      </c>
      <c r="N147" s="53">
        <f t="shared" si="20"/>
        <v>0</v>
      </c>
      <c r="O147" s="74"/>
    </row>
    <row r="148" s="4" customFormat="1" ht="31" customHeight="1" spans="1:15">
      <c r="A148" s="25">
        <v>137</v>
      </c>
      <c r="B148" s="32" t="s">
        <v>317</v>
      </c>
      <c r="C148" s="26"/>
      <c r="D148" s="26"/>
      <c r="E148" s="53"/>
      <c r="F148" s="30"/>
      <c r="G148" s="31">
        <f t="shared" si="18"/>
        <v>0</v>
      </c>
      <c r="H148" s="30"/>
      <c r="I148" s="54"/>
      <c r="J148" s="53"/>
      <c r="K148" s="53"/>
      <c r="L148" s="53"/>
      <c r="M148" s="55">
        <f t="shared" si="19"/>
        <v>0</v>
      </c>
      <c r="N148" s="53">
        <f t="shared" si="20"/>
        <v>0</v>
      </c>
      <c r="O148" s="74"/>
    </row>
    <row r="149" s="4" customFormat="1" ht="111" customHeight="1" spans="1:15">
      <c r="A149" s="25">
        <v>138</v>
      </c>
      <c r="B149" s="26" t="s">
        <v>318</v>
      </c>
      <c r="C149" s="26" t="s">
        <v>319</v>
      </c>
      <c r="D149" s="26" t="s">
        <v>69</v>
      </c>
      <c r="E149" s="53">
        <v>18.18</v>
      </c>
      <c r="F149" s="30">
        <v>150</v>
      </c>
      <c r="G149" s="31">
        <f t="shared" si="18"/>
        <v>378</v>
      </c>
      <c r="H149" s="30">
        <v>360</v>
      </c>
      <c r="I149" s="54">
        <v>0.05</v>
      </c>
      <c r="J149" s="53">
        <v>155</v>
      </c>
      <c r="K149" s="53">
        <f>(F149+G149+J149)*K5</f>
        <v>13.66</v>
      </c>
      <c r="L149" s="53">
        <f>(F149+G149+J149+K149)*L5</f>
        <v>62.6994</v>
      </c>
      <c r="M149" s="55">
        <f t="shared" si="19"/>
        <v>759.3594</v>
      </c>
      <c r="N149" s="53">
        <f t="shared" si="20"/>
        <v>13805.153892</v>
      </c>
      <c r="O149" s="74"/>
    </row>
    <row r="150" s="4" customFormat="1" ht="60" customHeight="1" spans="1:15">
      <c r="A150" s="25">
        <v>139</v>
      </c>
      <c r="B150" s="26" t="s">
        <v>201</v>
      </c>
      <c r="C150" s="26" t="s">
        <v>202</v>
      </c>
      <c r="D150" s="26" t="s">
        <v>69</v>
      </c>
      <c r="E150" s="53">
        <v>2.84</v>
      </c>
      <c r="F150" s="30">
        <v>100</v>
      </c>
      <c r="G150" s="31">
        <f t="shared" si="18"/>
        <v>750</v>
      </c>
      <c r="H150" s="30">
        <v>750</v>
      </c>
      <c r="I150" s="54">
        <v>0</v>
      </c>
      <c r="J150" s="53">
        <v>35</v>
      </c>
      <c r="K150" s="53">
        <f>(F150+G150+J150)*K5</f>
        <v>17.7</v>
      </c>
      <c r="L150" s="53">
        <f>(F150+G150+J150+K150)*L5</f>
        <v>81.243</v>
      </c>
      <c r="M150" s="55">
        <f t="shared" si="19"/>
        <v>983.943</v>
      </c>
      <c r="N150" s="53">
        <f t="shared" si="20"/>
        <v>2794.39812</v>
      </c>
      <c r="O150" s="74"/>
    </row>
    <row r="151" ht="48" customHeight="1" spans="1:15">
      <c r="A151" s="25">
        <v>140</v>
      </c>
      <c r="B151" s="38" t="s">
        <v>320</v>
      </c>
      <c r="C151" s="26" t="s">
        <v>321</v>
      </c>
      <c r="D151" s="26" t="s">
        <v>274</v>
      </c>
      <c r="E151" s="53">
        <v>1</v>
      </c>
      <c r="F151" s="30">
        <v>150</v>
      </c>
      <c r="G151" s="31">
        <v>4800</v>
      </c>
      <c r="H151" s="30">
        <v>4800</v>
      </c>
      <c r="I151" s="54">
        <v>0</v>
      </c>
      <c r="J151" s="53">
        <v>350</v>
      </c>
      <c r="K151" s="53">
        <f>(F151+G151+J151)*K5</f>
        <v>106</v>
      </c>
      <c r="L151" s="53">
        <f>(F151+G151+J151+K151)*L5</f>
        <v>486.54</v>
      </c>
      <c r="M151" s="55">
        <f t="shared" si="19"/>
        <v>5892.54</v>
      </c>
      <c r="N151" s="53">
        <f t="shared" si="20"/>
        <v>5892.54</v>
      </c>
      <c r="O151" s="74"/>
    </row>
    <row r="152" s="4" customFormat="1" ht="60" customHeight="1" spans="1:15">
      <c r="A152" s="25">
        <v>141</v>
      </c>
      <c r="B152" s="38" t="s">
        <v>322</v>
      </c>
      <c r="C152" s="26" t="s">
        <v>323</v>
      </c>
      <c r="D152" s="26" t="s">
        <v>85</v>
      </c>
      <c r="E152" s="53">
        <v>5.7</v>
      </c>
      <c r="F152" s="30"/>
      <c r="G152" s="31"/>
      <c r="H152" s="30"/>
      <c r="I152" s="54"/>
      <c r="J152" s="53"/>
      <c r="K152" s="53"/>
      <c r="L152" s="53"/>
      <c r="M152" s="55"/>
      <c r="N152" s="53"/>
      <c r="O152" s="74"/>
    </row>
    <row r="153" s="4" customFormat="1" ht="60" customHeight="1" spans="1:15">
      <c r="A153" s="25">
        <v>142</v>
      </c>
      <c r="B153" s="26" t="s">
        <v>324</v>
      </c>
      <c r="C153" s="140" t="s">
        <v>325</v>
      </c>
      <c r="D153" s="26" t="s">
        <v>35</v>
      </c>
      <c r="E153" s="53">
        <v>1</v>
      </c>
      <c r="F153" s="30">
        <v>300</v>
      </c>
      <c r="G153" s="31">
        <f t="shared" ref="G153:G159" si="21">H153*(1+I153)</f>
        <v>1700</v>
      </c>
      <c r="H153" s="30">
        <v>1700</v>
      </c>
      <c r="I153" s="54">
        <v>0</v>
      </c>
      <c r="J153" s="53">
        <v>600</v>
      </c>
      <c r="K153" s="53">
        <f>(F153+G153+J153)*K5</f>
        <v>52</v>
      </c>
      <c r="L153" s="53">
        <f>(F153+G153+J153+K153)*L5</f>
        <v>238.68</v>
      </c>
      <c r="M153" s="55">
        <f t="shared" ref="M153:M159" si="22">F153+G153+J153+K153+L153</f>
        <v>2890.68</v>
      </c>
      <c r="N153" s="53">
        <f t="shared" ref="N153:N159" si="23">E153*M153</f>
        <v>2890.68</v>
      </c>
      <c r="O153" s="73" t="s">
        <v>205</v>
      </c>
    </row>
    <row r="154" s="4" customFormat="1" ht="64.5" customHeight="1" spans="1:15">
      <c r="A154" s="25">
        <v>143</v>
      </c>
      <c r="B154" s="26" t="s">
        <v>206</v>
      </c>
      <c r="C154" s="26" t="s">
        <v>326</v>
      </c>
      <c r="D154" s="26" t="s">
        <v>35</v>
      </c>
      <c r="E154" s="53">
        <v>1</v>
      </c>
      <c r="F154" s="30">
        <v>200</v>
      </c>
      <c r="G154" s="31">
        <f t="shared" si="21"/>
        <v>1500</v>
      </c>
      <c r="H154" s="30">
        <v>1500</v>
      </c>
      <c r="I154" s="54">
        <v>0</v>
      </c>
      <c r="J154" s="53">
        <v>1600</v>
      </c>
      <c r="K154" s="53">
        <f>(F154+G154+J154)*K5</f>
        <v>66</v>
      </c>
      <c r="L154" s="53">
        <f>(F154+G154+J154+K154)*L5</f>
        <v>302.94</v>
      </c>
      <c r="M154" s="55">
        <f t="shared" si="22"/>
        <v>3668.94</v>
      </c>
      <c r="N154" s="53">
        <f t="shared" si="23"/>
        <v>3668.94</v>
      </c>
      <c r="O154" s="73" t="s">
        <v>134</v>
      </c>
    </row>
    <row r="155" s="4" customFormat="1" ht="31" customHeight="1" spans="1:15">
      <c r="A155" s="25">
        <v>144</v>
      </c>
      <c r="B155" s="32" t="s">
        <v>327</v>
      </c>
      <c r="C155" s="26"/>
      <c r="D155" s="26"/>
      <c r="E155" s="53"/>
      <c r="F155" s="30"/>
      <c r="G155" s="31">
        <f t="shared" si="21"/>
        <v>0</v>
      </c>
      <c r="H155" s="30"/>
      <c r="I155" s="54"/>
      <c r="J155" s="53"/>
      <c r="K155" s="53"/>
      <c r="L155" s="53"/>
      <c r="M155" s="55">
        <f t="shared" si="22"/>
        <v>0</v>
      </c>
      <c r="N155" s="53">
        <f t="shared" si="23"/>
        <v>0</v>
      </c>
      <c r="O155" s="74"/>
    </row>
    <row r="156" s="4" customFormat="1" ht="50" customHeight="1" spans="1:15">
      <c r="A156" s="25">
        <v>145</v>
      </c>
      <c r="B156" s="38" t="s">
        <v>228</v>
      </c>
      <c r="C156" s="38" t="s">
        <v>229</v>
      </c>
      <c r="D156" s="26" t="s">
        <v>69</v>
      </c>
      <c r="E156" s="53">
        <v>23.35</v>
      </c>
      <c r="F156" s="30">
        <v>65</v>
      </c>
      <c r="G156" s="31">
        <f t="shared" si="21"/>
        <v>35</v>
      </c>
      <c r="H156" s="30">
        <v>35</v>
      </c>
      <c r="I156" s="54">
        <v>0</v>
      </c>
      <c r="J156" s="53">
        <v>23</v>
      </c>
      <c r="K156" s="53">
        <f>(F156+G156+J156)*K5</f>
        <v>2.46</v>
      </c>
      <c r="L156" s="53">
        <f>(F156+G156+J156+K156)*L5</f>
        <v>11.2914</v>
      </c>
      <c r="M156" s="55">
        <f t="shared" si="22"/>
        <v>136.7514</v>
      </c>
      <c r="N156" s="53">
        <f t="shared" si="23"/>
        <v>3193.14519</v>
      </c>
      <c r="O156" s="73" t="s">
        <v>160</v>
      </c>
    </row>
    <row r="157" s="4" customFormat="1" ht="69" customHeight="1" spans="1:15">
      <c r="A157" s="25">
        <v>146</v>
      </c>
      <c r="B157" s="26" t="s">
        <v>328</v>
      </c>
      <c r="C157" s="26" t="s">
        <v>329</v>
      </c>
      <c r="D157" s="26" t="s">
        <v>85</v>
      </c>
      <c r="E157" s="53">
        <v>7.83</v>
      </c>
      <c r="F157" s="30">
        <v>20</v>
      </c>
      <c r="G157" s="31">
        <f t="shared" si="21"/>
        <v>140</v>
      </c>
      <c r="H157" s="30">
        <v>140</v>
      </c>
      <c r="I157" s="54">
        <v>0</v>
      </c>
      <c r="J157" s="53">
        <v>5</v>
      </c>
      <c r="K157" s="53">
        <f>(F157+G157+J157)*K5</f>
        <v>3.3</v>
      </c>
      <c r="L157" s="53">
        <f>(F157+G157+J157+K157)*L5</f>
        <v>15.147</v>
      </c>
      <c r="M157" s="55">
        <f t="shared" si="22"/>
        <v>183.447</v>
      </c>
      <c r="N157" s="53">
        <f t="shared" si="23"/>
        <v>1436.39001</v>
      </c>
      <c r="O157" s="73" t="s">
        <v>134</v>
      </c>
    </row>
    <row r="158" s="4" customFormat="1" ht="42.75" customHeight="1" spans="1:15">
      <c r="A158" s="25">
        <v>147</v>
      </c>
      <c r="B158" s="26" t="s">
        <v>232</v>
      </c>
      <c r="C158" s="26" t="s">
        <v>330</v>
      </c>
      <c r="D158" s="26" t="s">
        <v>69</v>
      </c>
      <c r="E158" s="53">
        <v>3.3</v>
      </c>
      <c r="F158" s="30">
        <v>60</v>
      </c>
      <c r="G158" s="31">
        <f t="shared" si="21"/>
        <v>340</v>
      </c>
      <c r="H158" s="30">
        <v>340</v>
      </c>
      <c r="I158" s="54">
        <v>0</v>
      </c>
      <c r="J158" s="53">
        <v>150</v>
      </c>
      <c r="K158" s="53">
        <f>(F158+G158+J158)*K5</f>
        <v>11</v>
      </c>
      <c r="L158" s="53">
        <f>(F158+G158+J158+K158)*L5</f>
        <v>50.49</v>
      </c>
      <c r="M158" s="55">
        <f t="shared" si="22"/>
        <v>611.49</v>
      </c>
      <c r="N158" s="53">
        <f t="shared" si="23"/>
        <v>2017.917</v>
      </c>
      <c r="O158" s="74"/>
    </row>
    <row r="159" s="4" customFormat="1" ht="63.75" customHeight="1" spans="1:15">
      <c r="A159" s="25">
        <v>148</v>
      </c>
      <c r="B159" s="26" t="s">
        <v>232</v>
      </c>
      <c r="C159" s="26" t="s">
        <v>331</v>
      </c>
      <c r="D159" s="26" t="s">
        <v>69</v>
      </c>
      <c r="E159" s="53">
        <v>6.12</v>
      </c>
      <c r="F159" s="30">
        <v>60</v>
      </c>
      <c r="G159" s="31">
        <f t="shared" si="21"/>
        <v>360</v>
      </c>
      <c r="H159" s="30">
        <v>360</v>
      </c>
      <c r="I159" s="54">
        <v>0</v>
      </c>
      <c r="J159" s="53">
        <v>150</v>
      </c>
      <c r="K159" s="53">
        <f>(F159+G159+J159)*K5</f>
        <v>11.4</v>
      </c>
      <c r="L159" s="53">
        <f>(F159+G159+J159+K159)*L5</f>
        <v>52.326</v>
      </c>
      <c r="M159" s="55">
        <f t="shared" si="22"/>
        <v>633.726</v>
      </c>
      <c r="N159" s="53">
        <f t="shared" si="23"/>
        <v>3878.40312</v>
      </c>
      <c r="O159" s="74"/>
    </row>
    <row r="160" s="4" customFormat="1" ht="42.75" customHeight="1" spans="1:15">
      <c r="A160" s="25">
        <v>149</v>
      </c>
      <c r="B160" s="26" t="s">
        <v>234</v>
      </c>
      <c r="C160" s="26" t="s">
        <v>332</v>
      </c>
      <c r="D160" s="26" t="s">
        <v>69</v>
      </c>
      <c r="E160" s="53">
        <v>0.23</v>
      </c>
      <c r="F160" s="30">
        <v>120</v>
      </c>
      <c r="G160" s="31">
        <f t="shared" ref="G160:G165" si="24">H160*(1+I160)</f>
        <v>550</v>
      </c>
      <c r="H160" s="30">
        <v>550</v>
      </c>
      <c r="I160" s="54">
        <v>0</v>
      </c>
      <c r="J160" s="53">
        <v>60</v>
      </c>
      <c r="K160" s="53">
        <f>(F160+G160+J160)*K5</f>
        <v>14.6</v>
      </c>
      <c r="L160" s="53">
        <f>(F160+G160+J160+K160)*L5</f>
        <v>67.014</v>
      </c>
      <c r="M160" s="55">
        <f t="shared" ref="M160:M165" si="25">F160+G160+J160+K160+L160</f>
        <v>811.614</v>
      </c>
      <c r="N160" s="53">
        <f t="shared" ref="N160:N165" si="26">E160*M160</f>
        <v>186.67122</v>
      </c>
      <c r="O160" s="73" t="s">
        <v>125</v>
      </c>
    </row>
    <row r="161" s="4" customFormat="1" ht="42.75" customHeight="1" spans="1:15">
      <c r="A161" s="25">
        <v>150</v>
      </c>
      <c r="B161" s="26" t="s">
        <v>123</v>
      </c>
      <c r="C161" s="26" t="s">
        <v>333</v>
      </c>
      <c r="D161" s="26" t="s">
        <v>85</v>
      </c>
      <c r="E161" s="53">
        <v>3.38</v>
      </c>
      <c r="F161" s="30">
        <v>15</v>
      </c>
      <c r="G161" s="31">
        <f t="shared" si="24"/>
        <v>30</v>
      </c>
      <c r="H161" s="30">
        <v>30</v>
      </c>
      <c r="I161" s="54">
        <v>0</v>
      </c>
      <c r="J161" s="53">
        <v>5</v>
      </c>
      <c r="K161" s="53">
        <f>(F161+G161+J161)*K5</f>
        <v>1</v>
      </c>
      <c r="L161" s="53">
        <f>(F161+G161+J161+K161)*L5</f>
        <v>4.59</v>
      </c>
      <c r="M161" s="55">
        <f t="shared" si="25"/>
        <v>55.59</v>
      </c>
      <c r="N161" s="53">
        <f t="shared" si="26"/>
        <v>187.8942</v>
      </c>
      <c r="O161" s="73" t="s">
        <v>125</v>
      </c>
    </row>
    <row r="162" s="4" customFormat="1" ht="38" customHeight="1" spans="1:15">
      <c r="A162" s="25">
        <v>151</v>
      </c>
      <c r="B162" s="38" t="s">
        <v>334</v>
      </c>
      <c r="C162" s="68" t="s">
        <v>335</v>
      </c>
      <c r="D162" s="26" t="s">
        <v>336</v>
      </c>
      <c r="E162" s="53">
        <v>1</v>
      </c>
      <c r="F162" s="30">
        <v>150</v>
      </c>
      <c r="G162" s="31">
        <f t="shared" si="24"/>
        <v>2450</v>
      </c>
      <c r="H162" s="30">
        <v>2450</v>
      </c>
      <c r="I162" s="54">
        <v>0</v>
      </c>
      <c r="J162" s="53">
        <v>350</v>
      </c>
      <c r="K162" s="53">
        <f>(F162+G162+J162)*K5</f>
        <v>59</v>
      </c>
      <c r="L162" s="53">
        <f>(F162+G162+J162+K162)*L5</f>
        <v>270.81</v>
      </c>
      <c r="M162" s="55">
        <f t="shared" si="25"/>
        <v>3279.81</v>
      </c>
      <c r="N162" s="53">
        <f t="shared" si="26"/>
        <v>3279.81</v>
      </c>
      <c r="O162" s="73" t="s">
        <v>134</v>
      </c>
    </row>
    <row r="163" s="4" customFormat="1" ht="42" customHeight="1" spans="1:15">
      <c r="A163" s="25">
        <v>152</v>
      </c>
      <c r="B163" s="38" t="s">
        <v>322</v>
      </c>
      <c r="C163" s="26" t="s">
        <v>337</v>
      </c>
      <c r="D163" s="26" t="s">
        <v>85</v>
      </c>
      <c r="E163" s="53">
        <v>6.7</v>
      </c>
      <c r="F163" s="30"/>
      <c r="G163" s="31"/>
      <c r="H163" s="30"/>
      <c r="I163" s="54"/>
      <c r="J163" s="53"/>
      <c r="K163" s="53"/>
      <c r="L163" s="53"/>
      <c r="M163" s="55"/>
      <c r="N163" s="53"/>
      <c r="O163" s="74"/>
    </row>
    <row r="164" s="4" customFormat="1" ht="35" customHeight="1" spans="1:15">
      <c r="A164" s="25">
        <v>153</v>
      </c>
      <c r="B164" s="26" t="s">
        <v>338</v>
      </c>
      <c r="C164" s="68" t="s">
        <v>339</v>
      </c>
      <c r="D164" s="26" t="s">
        <v>35</v>
      </c>
      <c r="E164" s="53">
        <v>1</v>
      </c>
      <c r="F164" s="30">
        <v>400</v>
      </c>
      <c r="G164" s="31">
        <f t="shared" si="24"/>
        <v>11200</v>
      </c>
      <c r="H164" s="30">
        <v>11200</v>
      </c>
      <c r="I164" s="54">
        <v>0</v>
      </c>
      <c r="J164" s="53">
        <v>100</v>
      </c>
      <c r="K164" s="53">
        <f>(F164+G164+J164)*K5</f>
        <v>234</v>
      </c>
      <c r="L164" s="53">
        <f>(F164+G164+J164+K164)*L5</f>
        <v>1074.06</v>
      </c>
      <c r="M164" s="55">
        <f t="shared" si="25"/>
        <v>13008.06</v>
      </c>
      <c r="N164" s="53">
        <f t="shared" si="26"/>
        <v>13008.06</v>
      </c>
      <c r="O164" s="73" t="s">
        <v>134</v>
      </c>
    </row>
    <row r="165" customFormat="1" ht="42.75" customHeight="1" spans="1:15">
      <c r="A165" s="34" t="s">
        <v>340</v>
      </c>
      <c r="B165" s="38" t="s">
        <v>241</v>
      </c>
      <c r="C165" s="38" t="s">
        <v>212</v>
      </c>
      <c r="D165" s="38" t="s">
        <v>69</v>
      </c>
      <c r="E165" s="58"/>
      <c r="F165" s="39"/>
      <c r="G165" s="40"/>
      <c r="H165" s="39"/>
      <c r="I165" s="57"/>
      <c r="J165" s="58"/>
      <c r="K165" s="58"/>
      <c r="L165" s="58"/>
      <c r="M165" s="59"/>
      <c r="N165" s="58"/>
      <c r="O165" s="73" t="s">
        <v>160</v>
      </c>
    </row>
    <row r="166" s="4" customFormat="1" ht="36" customHeight="1" spans="1:15">
      <c r="A166" s="25">
        <v>155</v>
      </c>
      <c r="B166" s="32" t="s">
        <v>341</v>
      </c>
      <c r="C166" s="26"/>
      <c r="D166" s="26"/>
      <c r="E166" s="53"/>
      <c r="F166" s="30"/>
      <c r="G166" s="31">
        <f t="shared" ref="G166:G214" si="27">H166*(1+I166)</f>
        <v>0</v>
      </c>
      <c r="H166" s="30"/>
      <c r="I166" s="54"/>
      <c r="J166" s="53"/>
      <c r="K166" s="53"/>
      <c r="L166" s="53"/>
      <c r="M166" s="55">
        <f t="shared" ref="M166:M211" si="28">F166+G166+J166+K166+L166</f>
        <v>0</v>
      </c>
      <c r="N166" s="53">
        <f t="shared" ref="N166:N211" si="29">E166*M166</f>
        <v>0</v>
      </c>
      <c r="O166" s="74"/>
    </row>
    <row r="167" s="4" customFormat="1" ht="81" customHeight="1" spans="1:15">
      <c r="A167" s="25">
        <v>156</v>
      </c>
      <c r="B167" s="26" t="s">
        <v>199</v>
      </c>
      <c r="C167" s="26" t="s">
        <v>342</v>
      </c>
      <c r="D167" s="26" t="s">
        <v>69</v>
      </c>
      <c r="E167" s="53">
        <v>30.11</v>
      </c>
      <c r="F167" s="30">
        <v>150</v>
      </c>
      <c r="G167" s="31">
        <f t="shared" si="27"/>
        <v>378</v>
      </c>
      <c r="H167" s="30">
        <v>360</v>
      </c>
      <c r="I167" s="54">
        <v>0.05</v>
      </c>
      <c r="J167" s="53">
        <v>60</v>
      </c>
      <c r="K167" s="53">
        <f>(F167+G167+J167)*K5</f>
        <v>11.76</v>
      </c>
      <c r="L167" s="53">
        <f>(F167+G167+J167+K167)*L5</f>
        <v>53.9784</v>
      </c>
      <c r="M167" s="55">
        <f t="shared" si="28"/>
        <v>653.7384</v>
      </c>
      <c r="N167" s="53">
        <f t="shared" si="29"/>
        <v>19684.063224</v>
      </c>
      <c r="O167" s="74"/>
    </row>
    <row r="168" s="4" customFormat="1" ht="56" customHeight="1" spans="1:15">
      <c r="A168" s="25">
        <v>157</v>
      </c>
      <c r="B168" s="26" t="s">
        <v>343</v>
      </c>
      <c r="C168" s="68" t="s">
        <v>344</v>
      </c>
      <c r="D168" s="26" t="s">
        <v>35</v>
      </c>
      <c r="E168" s="53">
        <v>1</v>
      </c>
      <c r="F168" s="30">
        <v>300</v>
      </c>
      <c r="G168" s="31">
        <f t="shared" si="27"/>
        <v>4800</v>
      </c>
      <c r="H168" s="30">
        <v>4800</v>
      </c>
      <c r="I168" s="54">
        <v>0</v>
      </c>
      <c r="J168" s="53">
        <v>100</v>
      </c>
      <c r="K168" s="53">
        <f>(F168+G168+J168)*K5</f>
        <v>104</v>
      </c>
      <c r="L168" s="53">
        <f>(F168+G168+J168+K168)*L5</f>
        <v>477.36</v>
      </c>
      <c r="M168" s="55">
        <f t="shared" si="28"/>
        <v>5781.36</v>
      </c>
      <c r="N168" s="53">
        <f t="shared" si="29"/>
        <v>5781.36</v>
      </c>
      <c r="O168" s="73" t="s">
        <v>134</v>
      </c>
    </row>
    <row r="169" s="4" customFormat="1" ht="53" customHeight="1" spans="1:15">
      <c r="A169" s="25">
        <v>158</v>
      </c>
      <c r="B169" s="26" t="s">
        <v>345</v>
      </c>
      <c r="C169" s="68" t="s">
        <v>346</v>
      </c>
      <c r="D169" s="26" t="s">
        <v>35</v>
      </c>
      <c r="E169" s="53">
        <v>1</v>
      </c>
      <c r="F169" s="30">
        <v>300</v>
      </c>
      <c r="G169" s="31">
        <f t="shared" si="27"/>
        <v>6600</v>
      </c>
      <c r="H169" s="30">
        <v>6600</v>
      </c>
      <c r="I169" s="54">
        <v>0</v>
      </c>
      <c r="J169" s="53">
        <v>4400</v>
      </c>
      <c r="K169" s="53">
        <f>(F169+G169+J169)*K5</f>
        <v>226</v>
      </c>
      <c r="L169" s="53">
        <f>(F169+G169+J169+K169)*L5</f>
        <v>1037.34</v>
      </c>
      <c r="M169" s="55">
        <f t="shared" si="28"/>
        <v>12563.34</v>
      </c>
      <c r="N169" s="53">
        <f t="shared" si="29"/>
        <v>12563.34</v>
      </c>
      <c r="O169" s="73" t="s">
        <v>134</v>
      </c>
    </row>
    <row r="170" ht="48" customHeight="1" spans="1:15">
      <c r="A170" s="25">
        <v>159</v>
      </c>
      <c r="B170" s="38" t="s">
        <v>320</v>
      </c>
      <c r="C170" s="26" t="s">
        <v>321</v>
      </c>
      <c r="D170" s="26" t="s">
        <v>274</v>
      </c>
      <c r="E170" s="53">
        <v>1</v>
      </c>
      <c r="F170" s="30">
        <v>150</v>
      </c>
      <c r="G170" s="31">
        <v>4800</v>
      </c>
      <c r="H170" s="30">
        <v>4800</v>
      </c>
      <c r="I170" s="54">
        <v>0</v>
      </c>
      <c r="J170" s="53">
        <v>350</v>
      </c>
      <c r="K170" s="53">
        <f>(F170+G170+J170)*K5</f>
        <v>106</v>
      </c>
      <c r="L170" s="53">
        <f>(F170+G170+J170+K170)*L5</f>
        <v>486.54</v>
      </c>
      <c r="M170" s="55">
        <f t="shared" si="28"/>
        <v>5892.54</v>
      </c>
      <c r="N170" s="53">
        <f t="shared" si="29"/>
        <v>5892.54</v>
      </c>
      <c r="O170" s="74"/>
    </row>
    <row r="171" s="4" customFormat="1" ht="60" customHeight="1" spans="1:15">
      <c r="A171" s="25">
        <v>160</v>
      </c>
      <c r="B171" s="38" t="s">
        <v>322</v>
      </c>
      <c r="C171" s="26" t="s">
        <v>323</v>
      </c>
      <c r="D171" s="26" t="s">
        <v>85</v>
      </c>
      <c r="E171" s="53">
        <v>5.7</v>
      </c>
      <c r="F171" s="30"/>
      <c r="G171" s="31"/>
      <c r="H171" s="30"/>
      <c r="I171" s="54"/>
      <c r="J171" s="53"/>
      <c r="K171" s="53"/>
      <c r="L171" s="53"/>
      <c r="M171" s="55"/>
      <c r="N171" s="53"/>
      <c r="O171" s="74"/>
    </row>
    <row r="172" s="4" customFormat="1" ht="38" customHeight="1" spans="1:15">
      <c r="A172" s="25">
        <v>161</v>
      </c>
      <c r="B172" s="32" t="s">
        <v>347</v>
      </c>
      <c r="C172" s="26"/>
      <c r="D172" s="26"/>
      <c r="E172" s="53"/>
      <c r="F172" s="30"/>
      <c r="G172" s="31">
        <f t="shared" si="27"/>
        <v>0</v>
      </c>
      <c r="H172" s="30"/>
      <c r="I172" s="54"/>
      <c r="J172" s="53"/>
      <c r="K172" s="53"/>
      <c r="L172" s="53"/>
      <c r="M172" s="55">
        <f t="shared" si="28"/>
        <v>0</v>
      </c>
      <c r="N172" s="53">
        <f t="shared" si="29"/>
        <v>0</v>
      </c>
      <c r="O172" s="74"/>
    </row>
    <row r="173" s="4" customFormat="1" ht="62" customHeight="1" spans="1:15">
      <c r="A173" s="25">
        <v>162</v>
      </c>
      <c r="B173" s="38" t="s">
        <v>228</v>
      </c>
      <c r="C173" s="38" t="s">
        <v>229</v>
      </c>
      <c r="D173" s="26" t="s">
        <v>69</v>
      </c>
      <c r="E173" s="53">
        <v>82.3</v>
      </c>
      <c r="F173" s="30">
        <v>65</v>
      </c>
      <c r="G173" s="31">
        <f t="shared" si="27"/>
        <v>35</v>
      </c>
      <c r="H173" s="30">
        <v>35</v>
      </c>
      <c r="I173" s="54">
        <v>0</v>
      </c>
      <c r="J173" s="53">
        <v>23</v>
      </c>
      <c r="K173" s="53">
        <f>(F173+G173+J173)*K5</f>
        <v>2.46</v>
      </c>
      <c r="L173" s="53">
        <f>(F173+G173+J173+K173)*L5</f>
        <v>11.2914</v>
      </c>
      <c r="M173" s="55">
        <f t="shared" si="28"/>
        <v>136.7514</v>
      </c>
      <c r="N173" s="53">
        <f t="shared" si="29"/>
        <v>11254.64022</v>
      </c>
      <c r="O173" s="73" t="s">
        <v>160</v>
      </c>
    </row>
    <row r="174" s="4" customFormat="1" ht="75" customHeight="1" spans="1:15">
      <c r="A174" s="25">
        <v>163</v>
      </c>
      <c r="B174" s="26" t="s">
        <v>348</v>
      </c>
      <c r="C174" s="26" t="s">
        <v>349</v>
      </c>
      <c r="D174" s="26" t="s">
        <v>69</v>
      </c>
      <c r="E174" s="53">
        <v>16.61</v>
      </c>
      <c r="F174" s="30">
        <v>110</v>
      </c>
      <c r="G174" s="31">
        <f t="shared" si="27"/>
        <v>260</v>
      </c>
      <c r="H174" s="30">
        <v>260</v>
      </c>
      <c r="I174" s="54">
        <v>0</v>
      </c>
      <c r="J174" s="53">
        <v>92</v>
      </c>
      <c r="K174" s="53">
        <f>(F174+G174+J174)*K5</f>
        <v>9.24</v>
      </c>
      <c r="L174" s="53">
        <f>(F174+G174+J174+K174)*L5</f>
        <v>42.4116</v>
      </c>
      <c r="M174" s="55">
        <f t="shared" si="28"/>
        <v>513.6516</v>
      </c>
      <c r="N174" s="53">
        <f t="shared" si="29"/>
        <v>8531.753076</v>
      </c>
      <c r="O174" s="73" t="s">
        <v>93</v>
      </c>
    </row>
    <row r="175" s="4" customFormat="1" ht="67" customHeight="1" spans="1:15">
      <c r="A175" s="25">
        <v>164</v>
      </c>
      <c r="B175" s="26" t="s">
        <v>328</v>
      </c>
      <c r="C175" s="26" t="s">
        <v>329</v>
      </c>
      <c r="D175" s="26" t="s">
        <v>85</v>
      </c>
      <c r="E175" s="53">
        <v>13.35</v>
      </c>
      <c r="F175" s="30">
        <v>20</v>
      </c>
      <c r="G175" s="31">
        <f t="shared" si="27"/>
        <v>140</v>
      </c>
      <c r="H175" s="30">
        <v>140</v>
      </c>
      <c r="I175" s="54">
        <v>0</v>
      </c>
      <c r="J175" s="53">
        <v>5</v>
      </c>
      <c r="K175" s="53">
        <f>(F175+G175+J175)*K5</f>
        <v>3.3</v>
      </c>
      <c r="L175" s="53">
        <f>(F175+G175+J175+K175)*L5</f>
        <v>15.147</v>
      </c>
      <c r="M175" s="55">
        <f t="shared" si="28"/>
        <v>183.447</v>
      </c>
      <c r="N175" s="53">
        <f t="shared" si="29"/>
        <v>2449.01745</v>
      </c>
      <c r="O175" s="73" t="s">
        <v>134</v>
      </c>
    </row>
    <row r="176" s="4" customFormat="1" ht="56.25" customHeight="1" spans="1:15">
      <c r="A176" s="25">
        <v>165</v>
      </c>
      <c r="B176" s="26" t="s">
        <v>123</v>
      </c>
      <c r="C176" s="26" t="s">
        <v>350</v>
      </c>
      <c r="D176" s="26" t="s">
        <v>85</v>
      </c>
      <c r="E176" s="53">
        <v>3.77</v>
      </c>
      <c r="F176" s="30">
        <v>15</v>
      </c>
      <c r="G176" s="31">
        <f t="shared" si="27"/>
        <v>30</v>
      </c>
      <c r="H176" s="30">
        <v>30</v>
      </c>
      <c r="I176" s="54">
        <v>0</v>
      </c>
      <c r="J176" s="53">
        <v>5</v>
      </c>
      <c r="K176" s="53">
        <f>(F176+G176+J176)*K5</f>
        <v>1</v>
      </c>
      <c r="L176" s="53">
        <f>(F176+G176+J176+K176)*L5</f>
        <v>4.59</v>
      </c>
      <c r="M176" s="55">
        <f t="shared" si="28"/>
        <v>55.59</v>
      </c>
      <c r="N176" s="53">
        <f t="shared" si="29"/>
        <v>209.5743</v>
      </c>
      <c r="O176" s="74"/>
    </row>
    <row r="177" s="4" customFormat="1" ht="77.25" customHeight="1" spans="1:15">
      <c r="A177" s="25">
        <v>166</v>
      </c>
      <c r="B177" s="26" t="s">
        <v>210</v>
      </c>
      <c r="C177" s="26" t="s">
        <v>351</v>
      </c>
      <c r="D177" s="26" t="s">
        <v>69</v>
      </c>
      <c r="E177" s="53">
        <v>0.24</v>
      </c>
      <c r="F177" s="30">
        <v>150</v>
      </c>
      <c r="G177" s="31">
        <f t="shared" si="27"/>
        <v>3500</v>
      </c>
      <c r="H177" s="30">
        <v>3500</v>
      </c>
      <c r="I177" s="54">
        <v>0</v>
      </c>
      <c r="J177" s="53">
        <v>70</v>
      </c>
      <c r="K177" s="53">
        <f>(F177+G177+J177)*K5</f>
        <v>74.4</v>
      </c>
      <c r="L177" s="53">
        <f>(F177+G177+J177+K177)*L5</f>
        <v>341.496</v>
      </c>
      <c r="M177" s="55">
        <f t="shared" si="28"/>
        <v>4135.896</v>
      </c>
      <c r="N177" s="53">
        <f t="shared" si="29"/>
        <v>992.61504</v>
      </c>
      <c r="O177" s="74"/>
    </row>
    <row r="178" s="4" customFormat="1" ht="54.75" customHeight="1" spans="1:15">
      <c r="A178" s="25">
        <v>167</v>
      </c>
      <c r="B178" s="26" t="s">
        <v>352</v>
      </c>
      <c r="C178" s="26" t="s">
        <v>353</v>
      </c>
      <c r="D178" s="26" t="s">
        <v>69</v>
      </c>
      <c r="E178" s="53">
        <f>3.4</f>
        <v>3.4</v>
      </c>
      <c r="F178" s="30">
        <v>150</v>
      </c>
      <c r="G178" s="31">
        <f t="shared" si="27"/>
        <v>3500</v>
      </c>
      <c r="H178" s="30">
        <v>3500</v>
      </c>
      <c r="I178" s="54">
        <v>0</v>
      </c>
      <c r="J178" s="53">
        <v>70</v>
      </c>
      <c r="K178" s="53">
        <f>(F178+G178+J178)*K5</f>
        <v>74.4</v>
      </c>
      <c r="L178" s="53">
        <f>(F178+G178+J178+K178)*L5</f>
        <v>341.496</v>
      </c>
      <c r="M178" s="55">
        <f t="shared" si="28"/>
        <v>4135.896</v>
      </c>
      <c r="N178" s="53">
        <f t="shared" si="29"/>
        <v>14062.0464</v>
      </c>
      <c r="O178" s="74"/>
    </row>
    <row r="179" s="4" customFormat="1" ht="54.75" customHeight="1" spans="1:15">
      <c r="A179" s="25">
        <v>168</v>
      </c>
      <c r="B179" s="26" t="s">
        <v>352</v>
      </c>
      <c r="C179" s="26" t="s">
        <v>354</v>
      </c>
      <c r="D179" s="26" t="s">
        <v>69</v>
      </c>
      <c r="E179" s="53">
        <v>5.14</v>
      </c>
      <c r="F179" s="30">
        <v>150</v>
      </c>
      <c r="G179" s="31">
        <f t="shared" si="27"/>
        <v>378</v>
      </c>
      <c r="H179" s="30">
        <v>360</v>
      </c>
      <c r="I179" s="54">
        <v>0.05</v>
      </c>
      <c r="J179" s="53">
        <v>60</v>
      </c>
      <c r="K179" s="53">
        <f>(F179+G179+J179)*K5</f>
        <v>11.76</v>
      </c>
      <c r="L179" s="53">
        <f>(F179+G179+J179+K179)*L5</f>
        <v>53.9784</v>
      </c>
      <c r="M179" s="55">
        <f t="shared" si="28"/>
        <v>653.7384</v>
      </c>
      <c r="N179" s="53">
        <f t="shared" si="29"/>
        <v>3360.215376</v>
      </c>
      <c r="O179" s="74"/>
    </row>
    <row r="180" s="4" customFormat="1" ht="42.75" customHeight="1" spans="1:15">
      <c r="A180" s="25">
        <v>169</v>
      </c>
      <c r="B180" s="26" t="s">
        <v>230</v>
      </c>
      <c r="C180" s="26" t="s">
        <v>355</v>
      </c>
      <c r="D180" s="26" t="s">
        <v>69</v>
      </c>
      <c r="E180" s="53">
        <v>5.58</v>
      </c>
      <c r="F180" s="30">
        <v>60</v>
      </c>
      <c r="G180" s="31">
        <f t="shared" si="27"/>
        <v>430</v>
      </c>
      <c r="H180" s="30">
        <v>430</v>
      </c>
      <c r="I180" s="54">
        <v>0</v>
      </c>
      <c r="J180" s="53">
        <v>150</v>
      </c>
      <c r="K180" s="53">
        <f>(F180+G180+J180)*K5</f>
        <v>12.8</v>
      </c>
      <c r="L180" s="53">
        <f>(F180+G180+J180+K180)*L5</f>
        <v>58.752</v>
      </c>
      <c r="M180" s="55">
        <f t="shared" si="28"/>
        <v>711.552</v>
      </c>
      <c r="N180" s="53">
        <f t="shared" si="29"/>
        <v>3970.46016</v>
      </c>
      <c r="O180" s="74"/>
    </row>
    <row r="181" s="4" customFormat="1" ht="54.75" customHeight="1" spans="1:15">
      <c r="A181" s="25">
        <v>170</v>
      </c>
      <c r="B181" s="26" t="s">
        <v>215</v>
      </c>
      <c r="C181" s="68" t="s">
        <v>356</v>
      </c>
      <c r="D181" s="26" t="s">
        <v>35</v>
      </c>
      <c r="E181" s="53">
        <v>2</v>
      </c>
      <c r="F181" s="30">
        <v>400</v>
      </c>
      <c r="G181" s="31">
        <v>6200</v>
      </c>
      <c r="H181" s="30">
        <v>6200</v>
      </c>
      <c r="I181" s="54">
        <v>0</v>
      </c>
      <c r="J181" s="53">
        <v>100</v>
      </c>
      <c r="K181" s="53">
        <f>(F181+G181+J181)*K5</f>
        <v>134</v>
      </c>
      <c r="L181" s="53">
        <f>(F181+G181+J181+K181)*L5</f>
        <v>615.06</v>
      </c>
      <c r="M181" s="55">
        <f t="shared" si="28"/>
        <v>7449.06</v>
      </c>
      <c r="N181" s="53">
        <f t="shared" si="29"/>
        <v>14898.12</v>
      </c>
      <c r="O181" s="73" t="s">
        <v>134</v>
      </c>
    </row>
    <row r="182" s="4" customFormat="1" ht="54.75" customHeight="1" spans="1:15">
      <c r="A182" s="25">
        <v>171</v>
      </c>
      <c r="B182" s="26" t="s">
        <v>215</v>
      </c>
      <c r="C182" s="26" t="s">
        <v>357</v>
      </c>
      <c r="D182" s="26" t="s">
        <v>35</v>
      </c>
      <c r="E182" s="53">
        <v>1</v>
      </c>
      <c r="F182" s="30">
        <v>300</v>
      </c>
      <c r="G182" s="31">
        <v>6300</v>
      </c>
      <c r="H182" s="30">
        <v>6300</v>
      </c>
      <c r="I182" s="54">
        <v>0</v>
      </c>
      <c r="J182" s="53">
        <v>100</v>
      </c>
      <c r="K182" s="53">
        <f>(F182+G182+J182)*K5</f>
        <v>134</v>
      </c>
      <c r="L182" s="53">
        <f>(F182+G182+J182+K182)*L5</f>
        <v>615.06</v>
      </c>
      <c r="M182" s="55">
        <f t="shared" si="28"/>
        <v>7449.06</v>
      </c>
      <c r="N182" s="53">
        <f t="shared" si="29"/>
        <v>7449.06</v>
      </c>
      <c r="O182" s="73" t="s">
        <v>134</v>
      </c>
    </row>
    <row r="183" s="4" customFormat="1" ht="56" customHeight="1" spans="1:15">
      <c r="A183" s="25">
        <v>172</v>
      </c>
      <c r="B183" s="26" t="s">
        <v>358</v>
      </c>
      <c r="C183" s="68" t="s">
        <v>359</v>
      </c>
      <c r="D183" s="26" t="s">
        <v>35</v>
      </c>
      <c r="E183" s="53">
        <v>1</v>
      </c>
      <c r="F183" s="30">
        <v>300</v>
      </c>
      <c r="G183" s="31">
        <f t="shared" si="27"/>
        <v>11000</v>
      </c>
      <c r="H183" s="30">
        <v>11000</v>
      </c>
      <c r="I183" s="54">
        <v>0</v>
      </c>
      <c r="J183" s="53">
        <v>100</v>
      </c>
      <c r="K183" s="53">
        <f>(F183+G183+J183)*K5</f>
        <v>228</v>
      </c>
      <c r="L183" s="53">
        <f>(F183+G183+J183+K183)*L5</f>
        <v>1046.52</v>
      </c>
      <c r="M183" s="55">
        <f t="shared" si="28"/>
        <v>12674.52</v>
      </c>
      <c r="N183" s="53">
        <f t="shared" si="29"/>
        <v>12674.52</v>
      </c>
      <c r="O183" s="73" t="s">
        <v>134</v>
      </c>
    </row>
    <row r="184" s="4" customFormat="1" ht="56" customHeight="1" spans="1:15">
      <c r="A184" s="25">
        <v>173</v>
      </c>
      <c r="B184" s="26" t="s">
        <v>343</v>
      </c>
      <c r="C184" s="68" t="s">
        <v>360</v>
      </c>
      <c r="D184" s="26" t="s">
        <v>35</v>
      </c>
      <c r="E184" s="53">
        <v>1</v>
      </c>
      <c r="F184" s="30">
        <v>300</v>
      </c>
      <c r="G184" s="31">
        <v>5800</v>
      </c>
      <c r="H184" s="30">
        <v>5800</v>
      </c>
      <c r="I184" s="54">
        <v>0</v>
      </c>
      <c r="J184" s="53">
        <v>100</v>
      </c>
      <c r="K184" s="53">
        <f>(F184+G184+J184)*K5</f>
        <v>124</v>
      </c>
      <c r="L184" s="53">
        <f>(F184+G184+J184+K184)*L5</f>
        <v>569.16</v>
      </c>
      <c r="M184" s="55">
        <f t="shared" si="28"/>
        <v>6893.16</v>
      </c>
      <c r="N184" s="53">
        <f t="shared" si="29"/>
        <v>6893.16</v>
      </c>
      <c r="O184" s="73" t="s">
        <v>134</v>
      </c>
    </row>
    <row r="185" s="4" customFormat="1" ht="53" customHeight="1" spans="1:15">
      <c r="A185" s="25">
        <v>174</v>
      </c>
      <c r="B185" s="26" t="s">
        <v>345</v>
      </c>
      <c r="C185" s="68" t="s">
        <v>361</v>
      </c>
      <c r="D185" s="26" t="s">
        <v>35</v>
      </c>
      <c r="E185" s="53">
        <v>1</v>
      </c>
      <c r="F185" s="30">
        <v>200</v>
      </c>
      <c r="G185" s="31">
        <f t="shared" si="27"/>
        <v>1600</v>
      </c>
      <c r="H185" s="30">
        <v>1600</v>
      </c>
      <c r="I185" s="54">
        <v>0</v>
      </c>
      <c r="J185" s="53">
        <v>0</v>
      </c>
      <c r="K185" s="53">
        <f>(F185+G185+J185)*K5</f>
        <v>36</v>
      </c>
      <c r="L185" s="53">
        <f>(F185+G185+J185+K185)*L5</f>
        <v>165.24</v>
      </c>
      <c r="M185" s="55">
        <f t="shared" si="28"/>
        <v>2001.24</v>
      </c>
      <c r="N185" s="53">
        <f t="shared" si="29"/>
        <v>2001.24</v>
      </c>
      <c r="O185" s="73" t="s">
        <v>134</v>
      </c>
    </row>
    <row r="186" s="4" customFormat="1" ht="54.75" customHeight="1" spans="1:15">
      <c r="A186" s="25">
        <v>175</v>
      </c>
      <c r="B186" s="26" t="s">
        <v>215</v>
      </c>
      <c r="C186" s="68" t="s">
        <v>362</v>
      </c>
      <c r="D186" s="26" t="s">
        <v>35</v>
      </c>
      <c r="E186" s="53">
        <v>1</v>
      </c>
      <c r="F186" s="30">
        <v>0</v>
      </c>
      <c r="G186" s="31">
        <f t="shared" si="27"/>
        <v>3300</v>
      </c>
      <c r="H186" s="30">
        <v>3300</v>
      </c>
      <c r="I186" s="54">
        <v>0</v>
      </c>
      <c r="J186" s="53">
        <v>0</v>
      </c>
      <c r="K186" s="53">
        <f>(F186+G186+J186)*K5</f>
        <v>66</v>
      </c>
      <c r="L186" s="53">
        <f>(F186+G186+J186+K186)*L5</f>
        <v>302.94</v>
      </c>
      <c r="M186" s="55">
        <f t="shared" si="28"/>
        <v>3668.94</v>
      </c>
      <c r="N186" s="53">
        <f t="shared" si="29"/>
        <v>3668.94</v>
      </c>
      <c r="O186" s="73" t="s">
        <v>134</v>
      </c>
    </row>
    <row r="187" s="4" customFormat="1" ht="40" customHeight="1" spans="1:15">
      <c r="A187" s="25">
        <v>176</v>
      </c>
      <c r="B187" s="26" t="s">
        <v>363</v>
      </c>
      <c r="C187" s="68" t="s">
        <v>364</v>
      </c>
      <c r="D187" s="26" t="s">
        <v>35</v>
      </c>
      <c r="E187" s="53">
        <v>2</v>
      </c>
      <c r="F187" s="30">
        <v>0</v>
      </c>
      <c r="G187" s="31">
        <f t="shared" si="27"/>
        <v>4400</v>
      </c>
      <c r="H187" s="30">
        <v>4400</v>
      </c>
      <c r="I187" s="54">
        <v>0</v>
      </c>
      <c r="J187" s="53">
        <v>0</v>
      </c>
      <c r="K187" s="53">
        <f>(F187+G187+J187)*K5</f>
        <v>88</v>
      </c>
      <c r="L187" s="53">
        <f>(F187+G187+J187+K187)*L5</f>
        <v>403.92</v>
      </c>
      <c r="M187" s="55">
        <f t="shared" si="28"/>
        <v>4891.92</v>
      </c>
      <c r="N187" s="53">
        <f t="shared" si="29"/>
        <v>9783.84</v>
      </c>
      <c r="O187" s="73" t="s">
        <v>134</v>
      </c>
    </row>
    <row r="188" s="4" customFormat="1" ht="39" customHeight="1" spans="1:15">
      <c r="A188" s="25">
        <v>177</v>
      </c>
      <c r="B188" s="26" t="s">
        <v>365</v>
      </c>
      <c r="C188" s="26" t="s">
        <v>366</v>
      </c>
      <c r="D188" s="26" t="s">
        <v>85</v>
      </c>
      <c r="E188" s="53">
        <v>133.8</v>
      </c>
      <c r="F188" s="30">
        <v>15</v>
      </c>
      <c r="G188" s="31">
        <f t="shared" si="27"/>
        <v>40</v>
      </c>
      <c r="H188" s="30">
        <v>40</v>
      </c>
      <c r="I188" s="54">
        <v>0</v>
      </c>
      <c r="J188" s="53">
        <v>3</v>
      </c>
      <c r="K188" s="53">
        <f>(F188+G188+J188)*K5</f>
        <v>1.16</v>
      </c>
      <c r="L188" s="53">
        <f>(F188+G188+J188+K188)*L5</f>
        <v>5.3244</v>
      </c>
      <c r="M188" s="55">
        <f t="shared" si="28"/>
        <v>64.4844</v>
      </c>
      <c r="N188" s="53">
        <f t="shared" si="29"/>
        <v>8628.01272</v>
      </c>
      <c r="O188" s="73" t="s">
        <v>367</v>
      </c>
    </row>
    <row r="189" s="4" customFormat="1" ht="39" customHeight="1" spans="1:15">
      <c r="A189" s="25">
        <v>178</v>
      </c>
      <c r="B189" s="26" t="s">
        <v>368</v>
      </c>
      <c r="C189" s="26" t="s">
        <v>369</v>
      </c>
      <c r="D189" s="26" t="s">
        <v>85</v>
      </c>
      <c r="E189" s="53">
        <v>121.74</v>
      </c>
      <c r="F189" s="30">
        <v>15</v>
      </c>
      <c r="G189" s="31">
        <f t="shared" si="27"/>
        <v>40</v>
      </c>
      <c r="H189" s="30">
        <v>40</v>
      </c>
      <c r="I189" s="54">
        <v>0</v>
      </c>
      <c r="J189" s="53">
        <v>3</v>
      </c>
      <c r="K189" s="53">
        <f>(F189+G189+J189)*K5</f>
        <v>1.16</v>
      </c>
      <c r="L189" s="53">
        <f>(F189+G189+J189+K189)*L5</f>
        <v>5.3244</v>
      </c>
      <c r="M189" s="55">
        <f t="shared" si="28"/>
        <v>64.4844</v>
      </c>
      <c r="N189" s="53">
        <f t="shared" si="29"/>
        <v>7850.330856</v>
      </c>
      <c r="O189" s="73" t="s">
        <v>367</v>
      </c>
    </row>
    <row r="190" s="4" customFormat="1" ht="42.75" customHeight="1" spans="1:15">
      <c r="A190" s="25">
        <v>179</v>
      </c>
      <c r="B190" s="26" t="s">
        <v>234</v>
      </c>
      <c r="C190" s="26" t="s">
        <v>370</v>
      </c>
      <c r="D190" s="26" t="s">
        <v>69</v>
      </c>
      <c r="E190" s="53">
        <f>4.23+0.4</f>
        <v>4.63</v>
      </c>
      <c r="F190" s="30">
        <v>100</v>
      </c>
      <c r="G190" s="31">
        <f t="shared" si="27"/>
        <v>550</v>
      </c>
      <c r="H190" s="30">
        <v>550</v>
      </c>
      <c r="I190" s="54">
        <v>0</v>
      </c>
      <c r="J190" s="53">
        <v>50</v>
      </c>
      <c r="K190" s="53">
        <f>(F190+G190+J190)*K5</f>
        <v>14</v>
      </c>
      <c r="L190" s="53">
        <f>(F190+G190+J190+K190)*L5</f>
        <v>64.26</v>
      </c>
      <c r="M190" s="55">
        <f t="shared" si="28"/>
        <v>778.26</v>
      </c>
      <c r="N190" s="53">
        <f t="shared" si="29"/>
        <v>3603.3438</v>
      </c>
      <c r="O190" s="74"/>
    </row>
    <row r="191" s="4" customFormat="1" ht="42.75" customHeight="1" spans="1:15">
      <c r="A191" s="25">
        <v>180</v>
      </c>
      <c r="B191" s="26" t="s">
        <v>371</v>
      </c>
      <c r="C191" s="68" t="s">
        <v>372</v>
      </c>
      <c r="D191" s="26" t="s">
        <v>35</v>
      </c>
      <c r="E191" s="53">
        <v>1</v>
      </c>
      <c r="F191" s="30"/>
      <c r="G191" s="31"/>
      <c r="H191" s="30"/>
      <c r="I191" s="54"/>
      <c r="J191" s="53"/>
      <c r="K191" s="53"/>
      <c r="L191" s="53"/>
      <c r="M191" s="55"/>
      <c r="N191" s="53"/>
      <c r="O191" s="74"/>
    </row>
    <row r="192" s="4" customFormat="1" ht="42.75" customHeight="1" spans="1:15">
      <c r="A192" s="25">
        <v>181</v>
      </c>
      <c r="B192" s="26" t="s">
        <v>371</v>
      </c>
      <c r="C192" s="68" t="s">
        <v>373</v>
      </c>
      <c r="D192" s="26" t="s">
        <v>35</v>
      </c>
      <c r="E192" s="53">
        <v>1</v>
      </c>
      <c r="F192" s="30"/>
      <c r="G192" s="31"/>
      <c r="H192" s="30"/>
      <c r="I192" s="54"/>
      <c r="J192" s="53"/>
      <c r="K192" s="53"/>
      <c r="L192" s="53"/>
      <c r="M192" s="55"/>
      <c r="N192" s="53"/>
      <c r="O192" s="74"/>
    </row>
    <row r="193" s="4" customFormat="1" ht="46" customHeight="1" spans="1:15">
      <c r="A193" s="25">
        <v>182</v>
      </c>
      <c r="B193" s="26" t="s">
        <v>374</v>
      </c>
      <c r="C193" s="68" t="s">
        <v>375</v>
      </c>
      <c r="D193" s="26" t="s">
        <v>69</v>
      </c>
      <c r="E193" s="53">
        <v>2.76</v>
      </c>
      <c r="F193" s="30">
        <v>120</v>
      </c>
      <c r="G193" s="31">
        <v>260</v>
      </c>
      <c r="H193" s="30">
        <v>380</v>
      </c>
      <c r="I193" s="54">
        <v>0</v>
      </c>
      <c r="J193" s="53">
        <v>50</v>
      </c>
      <c r="K193" s="53">
        <f>(F193+G193+J193)*K5</f>
        <v>8.6</v>
      </c>
      <c r="L193" s="53">
        <f>(F193+G193+J193+K193)*L5</f>
        <v>39.474</v>
      </c>
      <c r="M193" s="55">
        <f t="shared" si="28"/>
        <v>478.074</v>
      </c>
      <c r="N193" s="53">
        <f t="shared" si="29"/>
        <v>1319.48424</v>
      </c>
      <c r="O193" s="73" t="s">
        <v>111</v>
      </c>
    </row>
    <row r="194" s="4" customFormat="1" ht="42.75" customHeight="1" spans="1:15">
      <c r="A194" s="25">
        <v>183</v>
      </c>
      <c r="B194" s="26" t="s">
        <v>376</v>
      </c>
      <c r="C194" s="68" t="s">
        <v>377</v>
      </c>
      <c r="D194" s="26" t="s">
        <v>35</v>
      </c>
      <c r="E194" s="53">
        <v>1</v>
      </c>
      <c r="F194" s="30">
        <v>0</v>
      </c>
      <c r="G194" s="31">
        <f t="shared" si="27"/>
        <v>3500</v>
      </c>
      <c r="H194" s="30">
        <v>3500</v>
      </c>
      <c r="I194" s="54">
        <v>0</v>
      </c>
      <c r="J194" s="53">
        <v>0</v>
      </c>
      <c r="K194" s="53">
        <f>(F194+G194+J194)*K5</f>
        <v>70</v>
      </c>
      <c r="L194" s="53">
        <f>(F194+G194+J194+K194)*L5</f>
        <v>321.3</v>
      </c>
      <c r="M194" s="55">
        <f t="shared" si="28"/>
        <v>3891.3</v>
      </c>
      <c r="N194" s="53">
        <f t="shared" si="29"/>
        <v>3891.3</v>
      </c>
      <c r="O194" s="74"/>
    </row>
    <row r="195" s="4" customFormat="1" ht="45" customHeight="1" spans="1:15">
      <c r="A195" s="25">
        <v>184</v>
      </c>
      <c r="B195" s="26" t="s">
        <v>378</v>
      </c>
      <c r="C195" s="26" t="s">
        <v>379</v>
      </c>
      <c r="D195" s="26" t="s">
        <v>85</v>
      </c>
      <c r="E195" s="53">
        <v>7.65</v>
      </c>
      <c r="F195" s="30">
        <v>20</v>
      </c>
      <c r="G195" s="31">
        <f t="shared" si="27"/>
        <v>120</v>
      </c>
      <c r="H195" s="30">
        <v>120</v>
      </c>
      <c r="I195" s="54">
        <v>0</v>
      </c>
      <c r="J195" s="53">
        <v>120</v>
      </c>
      <c r="K195" s="53">
        <f>(F195+G195+J195)*K5</f>
        <v>5.2</v>
      </c>
      <c r="L195" s="53">
        <f>(F195+G195+J195+K195)*L5</f>
        <v>23.868</v>
      </c>
      <c r="M195" s="55">
        <f t="shared" si="28"/>
        <v>289.068</v>
      </c>
      <c r="N195" s="53">
        <f t="shared" si="29"/>
        <v>2211.3702</v>
      </c>
      <c r="O195" s="73" t="s">
        <v>134</v>
      </c>
    </row>
    <row r="196" s="4" customFormat="1" ht="48" customHeight="1" spans="1:15">
      <c r="A196" s="25">
        <v>185</v>
      </c>
      <c r="B196" s="26" t="s">
        <v>380</v>
      </c>
      <c r="C196" s="26" t="s">
        <v>381</v>
      </c>
      <c r="D196" s="26" t="s">
        <v>69</v>
      </c>
      <c r="E196" s="53">
        <v>1.48</v>
      </c>
      <c r="F196" s="30">
        <v>100</v>
      </c>
      <c r="G196" s="31">
        <f t="shared" si="27"/>
        <v>750</v>
      </c>
      <c r="H196" s="30">
        <v>750</v>
      </c>
      <c r="I196" s="54">
        <v>0</v>
      </c>
      <c r="J196" s="53">
        <v>155</v>
      </c>
      <c r="K196" s="53">
        <f>(F196+G196+J196)*K5</f>
        <v>20.1</v>
      </c>
      <c r="L196" s="53">
        <f>(F196+G196+J196+K196)*L5</f>
        <v>92.259</v>
      </c>
      <c r="M196" s="55">
        <f t="shared" si="28"/>
        <v>1117.359</v>
      </c>
      <c r="N196" s="53">
        <f t="shared" si="29"/>
        <v>1653.69132</v>
      </c>
      <c r="O196" s="73" t="s">
        <v>134</v>
      </c>
    </row>
    <row r="197" s="4" customFormat="1" ht="48" customHeight="1" spans="1:15">
      <c r="A197" s="25">
        <v>186</v>
      </c>
      <c r="B197" s="26" t="s">
        <v>126</v>
      </c>
      <c r="C197" s="26" t="s">
        <v>382</v>
      </c>
      <c r="D197" s="26" t="s">
        <v>69</v>
      </c>
      <c r="E197" s="53">
        <v>0.71</v>
      </c>
      <c r="F197" s="30">
        <v>100</v>
      </c>
      <c r="G197" s="31">
        <f t="shared" si="27"/>
        <v>750</v>
      </c>
      <c r="H197" s="30">
        <v>750</v>
      </c>
      <c r="I197" s="54">
        <v>0</v>
      </c>
      <c r="J197" s="53">
        <v>155</v>
      </c>
      <c r="K197" s="53">
        <f>(F197+G197+J197)*K5</f>
        <v>20.1</v>
      </c>
      <c r="L197" s="53">
        <f>(F197+G197+J197+K197)*L5</f>
        <v>92.259</v>
      </c>
      <c r="M197" s="55">
        <f t="shared" si="28"/>
        <v>1117.359</v>
      </c>
      <c r="N197" s="53">
        <f t="shared" si="29"/>
        <v>793.32489</v>
      </c>
      <c r="O197" s="73" t="s">
        <v>134</v>
      </c>
    </row>
    <row r="198" s="4" customFormat="1" ht="64.5" customHeight="1" spans="1:15">
      <c r="A198" s="25">
        <v>187</v>
      </c>
      <c r="B198" s="26" t="s">
        <v>128</v>
      </c>
      <c r="C198" s="26" t="s">
        <v>383</v>
      </c>
      <c r="D198" s="26" t="s">
        <v>69</v>
      </c>
      <c r="E198" s="53">
        <v>1.12</v>
      </c>
      <c r="F198" s="30">
        <v>80</v>
      </c>
      <c r="G198" s="31">
        <f t="shared" si="27"/>
        <v>180</v>
      </c>
      <c r="H198" s="30">
        <v>180</v>
      </c>
      <c r="I198" s="54">
        <v>0</v>
      </c>
      <c r="J198" s="53">
        <v>20</v>
      </c>
      <c r="K198" s="53">
        <f>(F198+G198+J198)*K5</f>
        <v>5.6</v>
      </c>
      <c r="L198" s="53">
        <f>(F198+G198+J198+K198)*L5</f>
        <v>25.704</v>
      </c>
      <c r="M198" s="55">
        <f t="shared" si="28"/>
        <v>311.304</v>
      </c>
      <c r="N198" s="53">
        <f t="shared" si="29"/>
        <v>348.66048</v>
      </c>
      <c r="O198" s="74"/>
    </row>
    <row r="199" s="4" customFormat="1" ht="53.25" customHeight="1" spans="1:15">
      <c r="A199" s="25">
        <v>188</v>
      </c>
      <c r="B199" s="26" t="s">
        <v>384</v>
      </c>
      <c r="C199" s="26" t="s">
        <v>385</v>
      </c>
      <c r="D199" s="26" t="s">
        <v>35</v>
      </c>
      <c r="E199" s="53">
        <v>1</v>
      </c>
      <c r="F199" s="30">
        <v>0</v>
      </c>
      <c r="G199" s="31">
        <f t="shared" si="27"/>
        <v>17000</v>
      </c>
      <c r="H199" s="30">
        <v>17000</v>
      </c>
      <c r="I199" s="54">
        <v>0</v>
      </c>
      <c r="J199" s="53">
        <v>0</v>
      </c>
      <c r="K199" s="53">
        <f>(F199+G199+J199)*K5</f>
        <v>340</v>
      </c>
      <c r="L199" s="53">
        <f>(F199+G199+J199+K199)*L5</f>
        <v>1560.6</v>
      </c>
      <c r="M199" s="55">
        <f t="shared" si="28"/>
        <v>18900.6</v>
      </c>
      <c r="N199" s="53">
        <f t="shared" si="29"/>
        <v>18900.6</v>
      </c>
      <c r="O199" s="74"/>
    </row>
    <row r="200" s="4" customFormat="1" ht="49.5" customHeight="1" spans="1:15">
      <c r="A200" s="25">
        <v>189</v>
      </c>
      <c r="B200" s="26" t="s">
        <v>386</v>
      </c>
      <c r="C200" s="26" t="s">
        <v>387</v>
      </c>
      <c r="D200" s="26" t="s">
        <v>69</v>
      </c>
      <c r="E200" s="53">
        <v>0.67</v>
      </c>
      <c r="F200" s="30">
        <v>40</v>
      </c>
      <c r="G200" s="31">
        <f t="shared" si="27"/>
        <v>1700</v>
      </c>
      <c r="H200" s="30">
        <v>1700</v>
      </c>
      <c r="I200" s="54">
        <v>0</v>
      </c>
      <c r="J200" s="53">
        <v>70</v>
      </c>
      <c r="K200" s="53">
        <f>(F200+G200+J200)*K5</f>
        <v>36.2</v>
      </c>
      <c r="L200" s="53">
        <f>(F200+G200+J200+K200)*L5</f>
        <v>166.158</v>
      </c>
      <c r="M200" s="55">
        <f t="shared" si="28"/>
        <v>2012.358</v>
      </c>
      <c r="N200" s="53">
        <f t="shared" si="29"/>
        <v>1348.27986</v>
      </c>
      <c r="O200" s="74"/>
    </row>
    <row r="201" customFormat="1" ht="42.75" customHeight="1" spans="1:15">
      <c r="A201" s="34" t="s">
        <v>388</v>
      </c>
      <c r="B201" s="38" t="s">
        <v>241</v>
      </c>
      <c r="C201" s="38" t="s">
        <v>212</v>
      </c>
      <c r="D201" s="38" t="s">
        <v>69</v>
      </c>
      <c r="E201" s="58"/>
      <c r="F201" s="39"/>
      <c r="G201" s="40"/>
      <c r="H201" s="39"/>
      <c r="I201" s="57"/>
      <c r="J201" s="58"/>
      <c r="K201" s="58"/>
      <c r="L201" s="58"/>
      <c r="M201" s="59"/>
      <c r="N201" s="58"/>
      <c r="O201" s="74"/>
    </row>
    <row r="202" s="4" customFormat="1" ht="32.25" customHeight="1" spans="1:15">
      <c r="A202" s="25">
        <v>191</v>
      </c>
      <c r="B202" s="32" t="s">
        <v>389</v>
      </c>
      <c r="C202" s="26"/>
      <c r="D202" s="26"/>
      <c r="E202" s="53"/>
      <c r="F202" s="30"/>
      <c r="G202" s="31">
        <f t="shared" si="27"/>
        <v>0</v>
      </c>
      <c r="H202" s="30"/>
      <c r="I202" s="54"/>
      <c r="J202" s="53"/>
      <c r="K202" s="53"/>
      <c r="L202" s="53"/>
      <c r="M202" s="55">
        <f t="shared" si="28"/>
        <v>0</v>
      </c>
      <c r="N202" s="53">
        <f t="shared" si="29"/>
        <v>0</v>
      </c>
      <c r="O202" s="74"/>
    </row>
    <row r="203" s="4" customFormat="1" ht="54" customHeight="1" spans="1:15">
      <c r="A203" s="25">
        <v>192</v>
      </c>
      <c r="B203" s="38" t="s">
        <v>228</v>
      </c>
      <c r="C203" s="38" t="s">
        <v>229</v>
      </c>
      <c r="D203" s="26" t="s">
        <v>69</v>
      </c>
      <c r="E203" s="53">
        <f>60.28+13</f>
        <v>73.28</v>
      </c>
      <c r="F203" s="30">
        <v>65</v>
      </c>
      <c r="G203" s="31">
        <f t="shared" si="27"/>
        <v>35</v>
      </c>
      <c r="H203" s="30">
        <v>35</v>
      </c>
      <c r="I203" s="54">
        <v>0</v>
      </c>
      <c r="J203" s="53">
        <v>23</v>
      </c>
      <c r="K203" s="53">
        <f>(F203+G203+J203)*K5</f>
        <v>2.46</v>
      </c>
      <c r="L203" s="53">
        <f>(F203+G203+J203+K203)*L5</f>
        <v>11.2914</v>
      </c>
      <c r="M203" s="55">
        <f t="shared" si="28"/>
        <v>136.7514</v>
      </c>
      <c r="N203" s="53">
        <f t="shared" si="29"/>
        <v>10021.142592</v>
      </c>
      <c r="O203" s="73" t="s">
        <v>160</v>
      </c>
    </row>
    <row r="204" s="4" customFormat="1" ht="67" customHeight="1" spans="1:15">
      <c r="A204" s="25">
        <v>193</v>
      </c>
      <c r="B204" s="26" t="s">
        <v>328</v>
      </c>
      <c r="C204" s="26" t="s">
        <v>329</v>
      </c>
      <c r="D204" s="26" t="s">
        <v>85</v>
      </c>
      <c r="E204" s="53">
        <f>2.17+3.35</f>
        <v>5.52</v>
      </c>
      <c r="F204" s="30">
        <v>20</v>
      </c>
      <c r="G204" s="31">
        <f t="shared" si="27"/>
        <v>140</v>
      </c>
      <c r="H204" s="30">
        <v>140</v>
      </c>
      <c r="I204" s="54">
        <v>0</v>
      </c>
      <c r="J204" s="53">
        <v>5</v>
      </c>
      <c r="K204" s="53">
        <f>(F204+G204+J204)*K5</f>
        <v>3.3</v>
      </c>
      <c r="L204" s="53">
        <f>(F204+G204+J204+K204)*L5</f>
        <v>15.147</v>
      </c>
      <c r="M204" s="55">
        <f t="shared" si="28"/>
        <v>183.447</v>
      </c>
      <c r="N204" s="53">
        <f t="shared" si="29"/>
        <v>1012.62744</v>
      </c>
      <c r="O204" s="73" t="s">
        <v>134</v>
      </c>
    </row>
    <row r="205" s="4" customFormat="1" ht="48.75" customHeight="1" spans="1:15">
      <c r="A205" s="25">
        <v>194</v>
      </c>
      <c r="B205" s="26" t="s">
        <v>181</v>
      </c>
      <c r="C205" s="26" t="s">
        <v>390</v>
      </c>
      <c r="D205" s="26" t="s">
        <v>69</v>
      </c>
      <c r="E205" s="53">
        <v>0.96</v>
      </c>
      <c r="F205" s="30">
        <v>95</v>
      </c>
      <c r="G205" s="31">
        <f t="shared" si="27"/>
        <v>483</v>
      </c>
      <c r="H205" s="30">
        <v>460</v>
      </c>
      <c r="I205" s="54">
        <v>0.05</v>
      </c>
      <c r="J205" s="53">
        <v>90</v>
      </c>
      <c r="K205" s="53">
        <f>(F205+G205+J205)*K5</f>
        <v>13.36</v>
      </c>
      <c r="L205" s="53">
        <f>(F205+G205+J205+K205)*L5</f>
        <v>61.3224</v>
      </c>
      <c r="M205" s="55">
        <f t="shared" si="28"/>
        <v>742.6824</v>
      </c>
      <c r="N205" s="53">
        <f t="shared" si="29"/>
        <v>712.975104</v>
      </c>
      <c r="O205" s="73" t="s">
        <v>73</v>
      </c>
    </row>
    <row r="206" s="4" customFormat="1" ht="81.95" customHeight="1" spans="1:15">
      <c r="A206" s="25">
        <v>195</v>
      </c>
      <c r="B206" s="26" t="s">
        <v>391</v>
      </c>
      <c r="C206" s="26" t="s">
        <v>392</v>
      </c>
      <c r="D206" s="26" t="s">
        <v>69</v>
      </c>
      <c r="E206" s="53">
        <v>11.27</v>
      </c>
      <c r="F206" s="30">
        <v>260</v>
      </c>
      <c r="G206" s="31">
        <f t="shared" ref="G206:G211" si="30">H206*(1+I206)</f>
        <v>630</v>
      </c>
      <c r="H206" s="30">
        <v>600</v>
      </c>
      <c r="I206" s="54">
        <v>0.05</v>
      </c>
      <c r="J206" s="53">
        <v>150</v>
      </c>
      <c r="K206" s="53">
        <f>(F206+G206+J206)*K5</f>
        <v>20.8</v>
      </c>
      <c r="L206" s="53">
        <f>(F206+G206+J206+K206)*L5</f>
        <v>95.472</v>
      </c>
      <c r="M206" s="55">
        <f t="shared" ref="M206:M211" si="31">F206+G206+J206+K206+L206</f>
        <v>1156.272</v>
      </c>
      <c r="N206" s="53">
        <f t="shared" ref="N206:N211" si="32">E206*M206</f>
        <v>13031.18544</v>
      </c>
      <c r="O206" s="73" t="s">
        <v>73</v>
      </c>
    </row>
    <row r="207" s="4" customFormat="1" ht="81.95" customHeight="1" spans="1:15">
      <c r="A207" s="25">
        <v>196</v>
      </c>
      <c r="B207" s="26" t="s">
        <v>391</v>
      </c>
      <c r="C207" s="26" t="s">
        <v>393</v>
      </c>
      <c r="D207" s="26" t="s">
        <v>69</v>
      </c>
      <c r="E207" s="53">
        <v>10.54</v>
      </c>
      <c r="F207" s="30">
        <v>260</v>
      </c>
      <c r="G207" s="31">
        <f t="shared" si="30"/>
        <v>630</v>
      </c>
      <c r="H207" s="30">
        <v>600</v>
      </c>
      <c r="I207" s="54">
        <v>0.05</v>
      </c>
      <c r="J207" s="53">
        <v>150</v>
      </c>
      <c r="K207" s="53">
        <f>(F207+G207+J207)*K5</f>
        <v>20.8</v>
      </c>
      <c r="L207" s="53">
        <f>(F207+G207+J207+K207)*L5</f>
        <v>95.472</v>
      </c>
      <c r="M207" s="55">
        <f t="shared" si="31"/>
        <v>1156.272</v>
      </c>
      <c r="N207" s="53">
        <f t="shared" si="32"/>
        <v>12187.10688</v>
      </c>
      <c r="O207" s="73" t="s">
        <v>73</v>
      </c>
    </row>
    <row r="208" s="4" customFormat="1" ht="39" customHeight="1" spans="1:15">
      <c r="A208" s="25">
        <v>197</v>
      </c>
      <c r="B208" s="26" t="s">
        <v>365</v>
      </c>
      <c r="C208" s="26" t="s">
        <v>366</v>
      </c>
      <c r="D208" s="26" t="s">
        <v>85</v>
      </c>
      <c r="E208" s="53">
        <f>33.81+37.19</f>
        <v>71</v>
      </c>
      <c r="F208" s="30">
        <v>15</v>
      </c>
      <c r="G208" s="31">
        <f t="shared" si="30"/>
        <v>40</v>
      </c>
      <c r="H208" s="30">
        <v>40</v>
      </c>
      <c r="I208" s="54">
        <v>0</v>
      </c>
      <c r="J208" s="53">
        <v>3</v>
      </c>
      <c r="K208" s="53">
        <f>(F208+G208+J208)*K5</f>
        <v>1.16</v>
      </c>
      <c r="L208" s="53">
        <f>(F208+G208+J208+K208)*L5</f>
        <v>5.3244</v>
      </c>
      <c r="M208" s="55">
        <f t="shared" si="31"/>
        <v>64.4844</v>
      </c>
      <c r="N208" s="53">
        <f t="shared" si="32"/>
        <v>4578.3924</v>
      </c>
      <c r="O208" s="73" t="s">
        <v>367</v>
      </c>
    </row>
    <row r="209" s="4" customFormat="1" ht="39" customHeight="1" spans="1:15">
      <c r="A209" s="25">
        <v>198</v>
      </c>
      <c r="B209" s="26" t="s">
        <v>368</v>
      </c>
      <c r="C209" s="26" t="s">
        <v>369</v>
      </c>
      <c r="D209" s="26" t="s">
        <v>85</v>
      </c>
      <c r="E209" s="53">
        <f>31.22+32.56</f>
        <v>63.78</v>
      </c>
      <c r="F209" s="30">
        <v>15</v>
      </c>
      <c r="G209" s="31">
        <f t="shared" si="30"/>
        <v>40</v>
      </c>
      <c r="H209" s="30">
        <v>40</v>
      </c>
      <c r="I209" s="54">
        <v>0</v>
      </c>
      <c r="J209" s="53">
        <v>3</v>
      </c>
      <c r="K209" s="53">
        <f>(F209+G209+J209)*K5</f>
        <v>1.16</v>
      </c>
      <c r="L209" s="53">
        <f>(F209+G209+J209+K209)*L5</f>
        <v>5.3244</v>
      </c>
      <c r="M209" s="55">
        <f t="shared" si="31"/>
        <v>64.4844</v>
      </c>
      <c r="N209" s="53">
        <f t="shared" si="32"/>
        <v>4112.815032</v>
      </c>
      <c r="O209" s="73" t="s">
        <v>367</v>
      </c>
    </row>
    <row r="210" s="4" customFormat="1" ht="47.25" customHeight="1" spans="1:15">
      <c r="A210" s="25">
        <v>199</v>
      </c>
      <c r="B210" s="26" t="s">
        <v>165</v>
      </c>
      <c r="C210" s="26" t="s">
        <v>394</v>
      </c>
      <c r="D210" s="26" t="s">
        <v>85</v>
      </c>
      <c r="E210" s="53">
        <v>6.6</v>
      </c>
      <c r="F210" s="30">
        <v>110</v>
      </c>
      <c r="G210" s="31">
        <f t="shared" si="30"/>
        <v>620</v>
      </c>
      <c r="H210" s="30">
        <v>620</v>
      </c>
      <c r="I210" s="54">
        <v>0</v>
      </c>
      <c r="J210" s="53">
        <v>280</v>
      </c>
      <c r="K210" s="53">
        <f>(F210+G210+J210)*K5</f>
        <v>20.2</v>
      </c>
      <c r="L210" s="53">
        <f>(F210+G210+J210+K210)*L5</f>
        <v>92.718</v>
      </c>
      <c r="M210" s="55">
        <f t="shared" si="31"/>
        <v>1122.918</v>
      </c>
      <c r="N210" s="53">
        <f t="shared" si="32"/>
        <v>7411.2588</v>
      </c>
      <c r="O210" s="73" t="s">
        <v>265</v>
      </c>
    </row>
    <row r="211" customFormat="1" ht="82.5" customHeight="1" spans="1:15">
      <c r="A211" s="25"/>
      <c r="B211" s="38" t="s">
        <v>267</v>
      </c>
      <c r="C211" s="38" t="s">
        <v>268</v>
      </c>
      <c r="D211" s="26" t="s">
        <v>69</v>
      </c>
      <c r="E211" s="53">
        <f>(0.98+1.49+1.82+1.37)*1.8*2*0.3</f>
        <v>6.1128</v>
      </c>
      <c r="F211" s="30">
        <v>100</v>
      </c>
      <c r="G211" s="31">
        <f t="shared" si="30"/>
        <v>450</v>
      </c>
      <c r="H211" s="30">
        <v>450</v>
      </c>
      <c r="I211" s="54">
        <v>0</v>
      </c>
      <c r="J211" s="53">
        <v>180</v>
      </c>
      <c r="K211" s="53">
        <f>(F211+G211+J211)*K94</f>
        <v>8176</v>
      </c>
      <c r="L211" s="53">
        <f>(F211+G211+J211+K211)*L5</f>
        <v>801.54</v>
      </c>
      <c r="M211" s="55">
        <f t="shared" si="31"/>
        <v>9707.54</v>
      </c>
      <c r="N211" s="53">
        <f t="shared" si="32"/>
        <v>59340.250512</v>
      </c>
      <c r="O211" s="73" t="s">
        <v>395</v>
      </c>
    </row>
    <row r="212" customFormat="1" ht="42.75" customHeight="1" spans="1:15">
      <c r="A212" s="34" t="s">
        <v>396</v>
      </c>
      <c r="B212" s="38" t="s">
        <v>241</v>
      </c>
      <c r="C212" s="38" t="s">
        <v>212</v>
      </c>
      <c r="D212" s="38" t="s">
        <v>69</v>
      </c>
      <c r="E212" s="58"/>
      <c r="F212" s="39"/>
      <c r="G212" s="40"/>
      <c r="H212" s="39"/>
      <c r="I212" s="57"/>
      <c r="J212" s="58"/>
      <c r="K212" s="58"/>
      <c r="L212" s="58"/>
      <c r="M212" s="59"/>
      <c r="N212" s="58"/>
      <c r="O212" s="74"/>
    </row>
    <row r="213" s="4" customFormat="1" ht="38" customHeight="1" spans="1:15">
      <c r="A213" s="25">
        <v>201</v>
      </c>
      <c r="B213" s="32" t="s">
        <v>397</v>
      </c>
      <c r="C213" s="26"/>
      <c r="D213" s="26"/>
      <c r="E213" s="53"/>
      <c r="F213" s="30"/>
      <c r="G213" s="31">
        <f t="shared" ref="G213:G218" si="33">H213*(1+I213)</f>
        <v>0</v>
      </c>
      <c r="H213" s="30"/>
      <c r="I213" s="54"/>
      <c r="J213" s="53"/>
      <c r="K213" s="53"/>
      <c r="L213" s="53"/>
      <c r="M213" s="55">
        <f t="shared" ref="M212:M218" si="34">F213+G213+J213+K213+L213</f>
        <v>0</v>
      </c>
      <c r="N213" s="53">
        <f t="shared" ref="N212:N218" si="35">E213*M213</f>
        <v>0</v>
      </c>
      <c r="O213" s="74"/>
    </row>
    <row r="214" s="4" customFormat="1" ht="56" customHeight="1" spans="1:15">
      <c r="A214" s="25">
        <v>202</v>
      </c>
      <c r="B214" s="38" t="s">
        <v>228</v>
      </c>
      <c r="C214" s="38" t="s">
        <v>229</v>
      </c>
      <c r="D214" s="26" t="s">
        <v>69</v>
      </c>
      <c r="E214" s="53">
        <f>28.85+25.49</f>
        <v>54.34</v>
      </c>
      <c r="F214" s="30">
        <v>65</v>
      </c>
      <c r="G214" s="31">
        <f t="shared" si="33"/>
        <v>35</v>
      </c>
      <c r="H214" s="30">
        <v>35</v>
      </c>
      <c r="I214" s="54">
        <v>0</v>
      </c>
      <c r="J214" s="53">
        <v>23</v>
      </c>
      <c r="K214" s="53">
        <f>(F214+G214+J214)*K5</f>
        <v>2.46</v>
      </c>
      <c r="L214" s="53">
        <f>(F214+G214+J214+K214)*L5</f>
        <v>11.2914</v>
      </c>
      <c r="M214" s="55">
        <f t="shared" si="34"/>
        <v>136.7514</v>
      </c>
      <c r="N214" s="53">
        <f t="shared" si="35"/>
        <v>7431.071076</v>
      </c>
      <c r="O214" s="73" t="s">
        <v>160</v>
      </c>
    </row>
    <row r="215" s="4" customFormat="1" ht="67" customHeight="1" spans="1:15">
      <c r="A215" s="25">
        <v>203</v>
      </c>
      <c r="B215" s="26" t="s">
        <v>328</v>
      </c>
      <c r="C215" s="26" t="s">
        <v>329</v>
      </c>
      <c r="D215" s="26" t="s">
        <v>85</v>
      </c>
      <c r="E215" s="53">
        <f>12.37+8.56</f>
        <v>20.93</v>
      </c>
      <c r="F215" s="30">
        <v>20</v>
      </c>
      <c r="G215" s="31">
        <f t="shared" si="33"/>
        <v>140</v>
      </c>
      <c r="H215" s="30">
        <v>140</v>
      </c>
      <c r="I215" s="54">
        <v>0</v>
      </c>
      <c r="J215" s="53">
        <v>5</v>
      </c>
      <c r="K215" s="53">
        <f>(F215+G215+J215)*K5</f>
        <v>3.3</v>
      </c>
      <c r="L215" s="53">
        <f>(F215+G215+J215+K215)*L5</f>
        <v>15.147</v>
      </c>
      <c r="M215" s="55">
        <f t="shared" si="34"/>
        <v>183.447</v>
      </c>
      <c r="N215" s="53">
        <f t="shared" si="35"/>
        <v>3839.54571</v>
      </c>
      <c r="O215" s="73" t="s">
        <v>134</v>
      </c>
    </row>
    <row r="216" s="4" customFormat="1" ht="48" customHeight="1" spans="1:15">
      <c r="A216" s="25">
        <v>204</v>
      </c>
      <c r="B216" s="26" t="s">
        <v>232</v>
      </c>
      <c r="C216" s="26" t="s">
        <v>398</v>
      </c>
      <c r="D216" s="26" t="s">
        <v>69</v>
      </c>
      <c r="E216" s="53">
        <v>6.38</v>
      </c>
      <c r="F216" s="30">
        <v>60</v>
      </c>
      <c r="G216" s="31">
        <f t="shared" si="33"/>
        <v>480</v>
      </c>
      <c r="H216" s="30">
        <v>480</v>
      </c>
      <c r="I216" s="54">
        <v>0</v>
      </c>
      <c r="J216" s="53">
        <v>150</v>
      </c>
      <c r="K216" s="53">
        <f>(F216+G216+J216)*K5</f>
        <v>13.8</v>
      </c>
      <c r="L216" s="53">
        <f>(F216+G216+J216+K216)*L5</f>
        <v>63.342</v>
      </c>
      <c r="M216" s="55">
        <f t="shared" si="34"/>
        <v>767.142</v>
      </c>
      <c r="N216" s="53">
        <f t="shared" si="35"/>
        <v>4894.36596</v>
      </c>
      <c r="O216" s="74"/>
    </row>
    <row r="217" s="4" customFormat="1" ht="48" customHeight="1" spans="1:15">
      <c r="A217" s="25">
        <v>205</v>
      </c>
      <c r="B217" s="26" t="s">
        <v>399</v>
      </c>
      <c r="C217" s="26" t="s">
        <v>400</v>
      </c>
      <c r="D217" s="26" t="s">
        <v>69</v>
      </c>
      <c r="E217" s="53">
        <v>6.22</v>
      </c>
      <c r="F217" s="30">
        <v>120</v>
      </c>
      <c r="G217" s="31">
        <f t="shared" si="33"/>
        <v>500</v>
      </c>
      <c r="H217" s="30">
        <v>500</v>
      </c>
      <c r="I217" s="54">
        <v>0</v>
      </c>
      <c r="J217" s="53">
        <v>155</v>
      </c>
      <c r="K217" s="53">
        <f>(F217+G217+J217)*K5</f>
        <v>15.5</v>
      </c>
      <c r="L217" s="53">
        <f>(F217+G217+J217+K217)*L5</f>
        <v>71.145</v>
      </c>
      <c r="M217" s="55">
        <f t="shared" si="34"/>
        <v>861.645</v>
      </c>
      <c r="N217" s="53">
        <f t="shared" si="35"/>
        <v>5359.4319</v>
      </c>
      <c r="O217" s="73" t="s">
        <v>134</v>
      </c>
    </row>
    <row r="218" s="4" customFormat="1" ht="36" customHeight="1" spans="1:15">
      <c r="A218" s="25">
        <v>206</v>
      </c>
      <c r="B218" s="38" t="s">
        <v>334</v>
      </c>
      <c r="C218" s="68" t="s">
        <v>335</v>
      </c>
      <c r="D218" s="26" t="s">
        <v>274</v>
      </c>
      <c r="E218" s="53">
        <v>1</v>
      </c>
      <c r="F218" s="30">
        <v>150</v>
      </c>
      <c r="G218" s="31">
        <f t="shared" si="33"/>
        <v>2450</v>
      </c>
      <c r="H218" s="30">
        <v>2450</v>
      </c>
      <c r="I218" s="54">
        <v>0</v>
      </c>
      <c r="J218" s="53">
        <v>350</v>
      </c>
      <c r="K218" s="53">
        <f>(F218+G218+J218)*K5</f>
        <v>59</v>
      </c>
      <c r="L218" s="53">
        <f>(F218+G218+J218+K218)*L5</f>
        <v>270.81</v>
      </c>
      <c r="M218" s="55">
        <f t="shared" si="34"/>
        <v>3279.81</v>
      </c>
      <c r="N218" s="53">
        <f t="shared" si="35"/>
        <v>3279.81</v>
      </c>
      <c r="O218" s="73" t="s">
        <v>134</v>
      </c>
    </row>
    <row r="219" s="4" customFormat="1" ht="50" customHeight="1" spans="1:15">
      <c r="A219" s="25">
        <v>207</v>
      </c>
      <c r="B219" s="38" t="s">
        <v>322</v>
      </c>
      <c r="C219" s="26" t="s">
        <v>337</v>
      </c>
      <c r="D219" s="26" t="s">
        <v>85</v>
      </c>
      <c r="E219" s="53">
        <v>6.6</v>
      </c>
      <c r="F219" s="30"/>
      <c r="G219" s="31"/>
      <c r="H219" s="30"/>
      <c r="I219" s="54"/>
      <c r="J219" s="53"/>
      <c r="K219" s="53"/>
      <c r="L219" s="53"/>
      <c r="M219" s="55"/>
      <c r="N219" s="53"/>
      <c r="O219" s="74"/>
    </row>
    <row r="220" s="4" customFormat="1" ht="58" customHeight="1" spans="1:15">
      <c r="A220" s="25">
        <v>208</v>
      </c>
      <c r="B220" s="26" t="s">
        <v>338</v>
      </c>
      <c r="C220" s="141" t="s">
        <v>401</v>
      </c>
      <c r="D220" s="26" t="s">
        <v>35</v>
      </c>
      <c r="E220" s="53">
        <v>1</v>
      </c>
      <c r="F220" s="30">
        <v>400</v>
      </c>
      <c r="G220" s="31">
        <f t="shared" ref="G220:G224" si="36">H220*(1+I220)</f>
        <v>6800</v>
      </c>
      <c r="H220" s="30">
        <v>6800</v>
      </c>
      <c r="I220" s="54">
        <v>0</v>
      </c>
      <c r="J220" s="53">
        <v>100</v>
      </c>
      <c r="K220" s="53">
        <f>(F220+G220+J220)*K5</f>
        <v>146</v>
      </c>
      <c r="L220" s="53">
        <f>(F220+G220+J220+K220)*L5</f>
        <v>670.14</v>
      </c>
      <c r="M220" s="55">
        <f t="shared" ref="M220:M224" si="37">F220+G220+J220+K220+L220</f>
        <v>8116.14</v>
      </c>
      <c r="N220" s="53">
        <f t="shared" ref="N220:N224" si="38">E220*M220</f>
        <v>8116.14</v>
      </c>
      <c r="O220" s="73" t="s">
        <v>134</v>
      </c>
    </row>
    <row r="221" s="4" customFormat="1" ht="60" customHeight="1" spans="1:15">
      <c r="A221" s="25">
        <v>209</v>
      </c>
      <c r="B221" s="26" t="s">
        <v>402</v>
      </c>
      <c r="C221" s="141" t="s">
        <v>403</v>
      </c>
      <c r="D221" s="26" t="s">
        <v>35</v>
      </c>
      <c r="E221" s="53">
        <v>1</v>
      </c>
      <c r="F221" s="30">
        <v>1000</v>
      </c>
      <c r="G221" s="31">
        <f t="shared" si="36"/>
        <v>25000</v>
      </c>
      <c r="H221" s="30">
        <v>25000</v>
      </c>
      <c r="I221" s="54">
        <v>0</v>
      </c>
      <c r="J221" s="53">
        <v>500</v>
      </c>
      <c r="K221" s="53">
        <f>(F221+G221+J221)*K5</f>
        <v>530</v>
      </c>
      <c r="L221" s="53">
        <f>(F221+G221+J221+K221)*L5</f>
        <v>2432.7</v>
      </c>
      <c r="M221" s="55">
        <f t="shared" si="37"/>
        <v>29462.7</v>
      </c>
      <c r="N221" s="53">
        <f t="shared" si="38"/>
        <v>29462.7</v>
      </c>
      <c r="O221" s="73" t="s">
        <v>134</v>
      </c>
    </row>
    <row r="222" s="4" customFormat="1" ht="44" customHeight="1" spans="1:15">
      <c r="A222" s="25">
        <v>210</v>
      </c>
      <c r="B222" s="38" t="s">
        <v>320</v>
      </c>
      <c r="C222" s="26" t="s">
        <v>321</v>
      </c>
      <c r="D222" s="26" t="s">
        <v>274</v>
      </c>
      <c r="E222" s="53">
        <v>1</v>
      </c>
      <c r="F222" s="30">
        <v>150</v>
      </c>
      <c r="G222" s="31">
        <v>4800</v>
      </c>
      <c r="H222" s="30">
        <v>4800</v>
      </c>
      <c r="I222" s="54">
        <v>0</v>
      </c>
      <c r="J222" s="53">
        <v>350</v>
      </c>
      <c r="K222" s="53">
        <f>(F222+G222+J222)*K5</f>
        <v>106</v>
      </c>
      <c r="L222" s="53">
        <f>(F222+G222+J222+K222)*L5</f>
        <v>486.54</v>
      </c>
      <c r="M222" s="55">
        <f t="shared" si="37"/>
        <v>5892.54</v>
      </c>
      <c r="N222" s="53">
        <f t="shared" si="38"/>
        <v>5892.54</v>
      </c>
      <c r="O222" s="74"/>
    </row>
    <row r="223" s="4" customFormat="1" ht="60" customHeight="1" spans="1:15">
      <c r="A223" s="25">
        <v>211</v>
      </c>
      <c r="B223" s="38" t="s">
        <v>322</v>
      </c>
      <c r="C223" s="26" t="s">
        <v>323</v>
      </c>
      <c r="D223" s="26" t="s">
        <v>85</v>
      </c>
      <c r="E223" s="53">
        <v>5.7</v>
      </c>
      <c r="F223" s="30"/>
      <c r="G223" s="31"/>
      <c r="H223" s="30"/>
      <c r="I223" s="54"/>
      <c r="J223" s="53"/>
      <c r="K223" s="53"/>
      <c r="L223" s="53"/>
      <c r="M223" s="55"/>
      <c r="N223" s="53"/>
      <c r="O223" s="74"/>
    </row>
    <row r="224" customFormat="1" ht="42.75" customHeight="1" spans="1:15">
      <c r="A224" s="34" t="s">
        <v>404</v>
      </c>
      <c r="B224" s="38" t="s">
        <v>241</v>
      </c>
      <c r="C224" s="38" t="s">
        <v>212</v>
      </c>
      <c r="D224" s="38" t="s">
        <v>69</v>
      </c>
      <c r="E224" s="58"/>
      <c r="F224" s="39"/>
      <c r="G224" s="40"/>
      <c r="H224" s="39"/>
      <c r="I224" s="57"/>
      <c r="J224" s="58"/>
      <c r="K224" s="58"/>
      <c r="L224" s="58"/>
      <c r="M224" s="59"/>
      <c r="N224" s="58"/>
      <c r="O224" s="74"/>
    </row>
    <row r="225" s="4" customFormat="1" ht="32" customHeight="1" spans="1:15">
      <c r="A225" s="25">
        <v>213</v>
      </c>
      <c r="B225" s="32" t="s">
        <v>405</v>
      </c>
      <c r="C225" s="26"/>
      <c r="D225" s="26"/>
      <c r="E225" s="53"/>
      <c r="F225" s="30"/>
      <c r="G225" s="31">
        <f t="shared" ref="G225:G267" si="39">H225*(1+I225)</f>
        <v>0</v>
      </c>
      <c r="H225" s="30"/>
      <c r="I225" s="54"/>
      <c r="J225" s="53"/>
      <c r="K225" s="53"/>
      <c r="L225" s="53"/>
      <c r="M225" s="55">
        <f t="shared" ref="M225:M267" si="40">F225+G225+J225+K225+L225</f>
        <v>0</v>
      </c>
      <c r="N225" s="53">
        <f t="shared" ref="N225:N267" si="41">E225*M225</f>
        <v>0</v>
      </c>
      <c r="O225" s="74"/>
    </row>
    <row r="226" s="4" customFormat="1" ht="105" customHeight="1" spans="1:15">
      <c r="A226" s="25">
        <v>214</v>
      </c>
      <c r="B226" s="26" t="s">
        <v>318</v>
      </c>
      <c r="C226" s="26" t="s">
        <v>406</v>
      </c>
      <c r="D226" s="26" t="s">
        <v>69</v>
      </c>
      <c r="E226" s="53">
        <v>22.09</v>
      </c>
      <c r="F226" s="30">
        <v>150</v>
      </c>
      <c r="G226" s="31">
        <f t="shared" si="39"/>
        <v>378</v>
      </c>
      <c r="H226" s="30">
        <v>360</v>
      </c>
      <c r="I226" s="54">
        <v>0.05</v>
      </c>
      <c r="J226" s="53">
        <v>155</v>
      </c>
      <c r="K226" s="53">
        <f>(F226+G226+J226)*K5</f>
        <v>13.66</v>
      </c>
      <c r="L226" s="53">
        <f>(F226+G226+J226+K226)*L5</f>
        <v>62.6994</v>
      </c>
      <c r="M226" s="55">
        <f t="shared" si="40"/>
        <v>759.3594</v>
      </c>
      <c r="N226" s="53">
        <f t="shared" si="41"/>
        <v>16774.249146</v>
      </c>
      <c r="O226" s="74"/>
    </row>
    <row r="227" s="4" customFormat="1" ht="60" customHeight="1" spans="1:15">
      <c r="A227" s="25">
        <v>215</v>
      </c>
      <c r="B227" s="26" t="s">
        <v>201</v>
      </c>
      <c r="C227" s="26" t="s">
        <v>202</v>
      </c>
      <c r="D227" s="26" t="s">
        <v>69</v>
      </c>
      <c r="E227" s="53">
        <v>3.19</v>
      </c>
      <c r="F227" s="30">
        <v>100</v>
      </c>
      <c r="G227" s="31">
        <f t="shared" si="39"/>
        <v>750</v>
      </c>
      <c r="H227" s="30">
        <v>750</v>
      </c>
      <c r="I227" s="54">
        <v>0</v>
      </c>
      <c r="J227" s="53">
        <v>35</v>
      </c>
      <c r="K227" s="53">
        <f>(F227+G227+J227)*K5</f>
        <v>17.7</v>
      </c>
      <c r="L227" s="53">
        <f>(F227+G227+J227+K227)*L5</f>
        <v>81.243</v>
      </c>
      <c r="M227" s="55">
        <f t="shared" si="40"/>
        <v>983.943</v>
      </c>
      <c r="N227" s="53">
        <f t="shared" si="41"/>
        <v>3138.77817</v>
      </c>
      <c r="O227" s="74"/>
    </row>
    <row r="228" s="4" customFormat="1" ht="60" customHeight="1" spans="1:15">
      <c r="A228" s="25">
        <v>216</v>
      </c>
      <c r="B228" s="26" t="s">
        <v>407</v>
      </c>
      <c r="C228" s="140" t="s">
        <v>408</v>
      </c>
      <c r="D228" s="26" t="s">
        <v>35</v>
      </c>
      <c r="E228" s="53">
        <v>1</v>
      </c>
      <c r="F228" s="30">
        <v>150</v>
      </c>
      <c r="G228" s="31">
        <f t="shared" si="39"/>
        <v>1000</v>
      </c>
      <c r="H228" s="30">
        <v>1000</v>
      </c>
      <c r="I228" s="54">
        <v>0</v>
      </c>
      <c r="J228" s="53">
        <v>50</v>
      </c>
      <c r="K228" s="53">
        <f>(F228+G228+J228)*K5</f>
        <v>24</v>
      </c>
      <c r="L228" s="53">
        <f>(F228+G228+J228+K228)*L5</f>
        <v>110.16</v>
      </c>
      <c r="M228" s="55">
        <f t="shared" si="40"/>
        <v>1334.16</v>
      </c>
      <c r="N228" s="53">
        <f t="shared" si="41"/>
        <v>1334.16</v>
      </c>
      <c r="O228" s="74"/>
    </row>
    <row r="229" s="4" customFormat="1" ht="60" customHeight="1" spans="1:15">
      <c r="A229" s="25">
        <v>217</v>
      </c>
      <c r="B229" s="26" t="s">
        <v>324</v>
      </c>
      <c r="C229" s="140" t="s">
        <v>409</v>
      </c>
      <c r="D229" s="26" t="s">
        <v>35</v>
      </c>
      <c r="E229" s="53">
        <v>1</v>
      </c>
      <c r="F229" s="30">
        <v>300</v>
      </c>
      <c r="G229" s="31">
        <v>2800</v>
      </c>
      <c r="H229" s="30">
        <v>1700</v>
      </c>
      <c r="I229" s="54">
        <v>0</v>
      </c>
      <c r="J229" s="53">
        <v>100</v>
      </c>
      <c r="K229" s="53">
        <f>(F229+G229+J229)*K5</f>
        <v>64</v>
      </c>
      <c r="L229" s="53">
        <f>(F229+G229+J229+K229)*L5</f>
        <v>293.76</v>
      </c>
      <c r="M229" s="55">
        <f t="shared" si="40"/>
        <v>3557.76</v>
      </c>
      <c r="N229" s="53">
        <f t="shared" si="41"/>
        <v>3557.76</v>
      </c>
      <c r="O229" s="73" t="s">
        <v>205</v>
      </c>
    </row>
    <row r="230" s="4" customFormat="1" ht="64.5" customHeight="1" spans="1:15">
      <c r="A230" s="25">
        <v>218</v>
      </c>
      <c r="B230" s="26" t="s">
        <v>206</v>
      </c>
      <c r="C230" s="26" t="s">
        <v>410</v>
      </c>
      <c r="D230" s="26" t="s">
        <v>35</v>
      </c>
      <c r="E230" s="53">
        <v>1</v>
      </c>
      <c r="F230" s="30">
        <v>0</v>
      </c>
      <c r="G230" s="31">
        <f t="shared" si="39"/>
        <v>2200</v>
      </c>
      <c r="H230" s="30">
        <v>2200</v>
      </c>
      <c r="I230" s="54">
        <v>0</v>
      </c>
      <c r="J230" s="53">
        <v>1700</v>
      </c>
      <c r="K230" s="53">
        <f>(F230+G230+J230)*K5</f>
        <v>78</v>
      </c>
      <c r="L230" s="53">
        <f>(F230+G230+J230+K230)*L5</f>
        <v>358.02</v>
      </c>
      <c r="M230" s="55">
        <f t="shared" si="40"/>
        <v>4336.02</v>
      </c>
      <c r="N230" s="53">
        <f t="shared" si="41"/>
        <v>4336.02</v>
      </c>
      <c r="O230" s="73" t="s">
        <v>134</v>
      </c>
    </row>
    <row r="231" s="4" customFormat="1" ht="37" customHeight="1" spans="1:15">
      <c r="A231" s="25">
        <v>219</v>
      </c>
      <c r="B231" s="32" t="s">
        <v>411</v>
      </c>
      <c r="C231" s="26"/>
      <c r="D231" s="26"/>
      <c r="E231" s="53"/>
      <c r="F231" s="30"/>
      <c r="G231" s="31">
        <f t="shared" si="39"/>
        <v>0</v>
      </c>
      <c r="H231" s="30"/>
      <c r="I231" s="54"/>
      <c r="J231" s="53"/>
      <c r="K231" s="53"/>
      <c r="L231" s="53"/>
      <c r="M231" s="55">
        <f t="shared" si="40"/>
        <v>0</v>
      </c>
      <c r="N231" s="53">
        <f t="shared" si="41"/>
        <v>0</v>
      </c>
      <c r="O231" s="74"/>
    </row>
    <row r="232" s="4" customFormat="1" ht="56" customHeight="1" spans="1:15">
      <c r="A232" s="25">
        <v>220</v>
      </c>
      <c r="B232" s="38" t="s">
        <v>228</v>
      </c>
      <c r="C232" s="38" t="s">
        <v>229</v>
      </c>
      <c r="D232" s="26" t="s">
        <v>69</v>
      </c>
      <c r="E232" s="53">
        <f>46.14+4.88</f>
        <v>51.02</v>
      </c>
      <c r="F232" s="30">
        <v>65</v>
      </c>
      <c r="G232" s="31">
        <f t="shared" si="39"/>
        <v>35</v>
      </c>
      <c r="H232" s="30">
        <v>35</v>
      </c>
      <c r="I232" s="54">
        <v>0</v>
      </c>
      <c r="J232" s="53">
        <v>23</v>
      </c>
      <c r="K232" s="53">
        <f>(F232+G232+J232)*K5</f>
        <v>2.46</v>
      </c>
      <c r="L232" s="53">
        <f>(F232+G232+J232+K232)*L5</f>
        <v>11.2914</v>
      </c>
      <c r="M232" s="55">
        <f t="shared" si="40"/>
        <v>136.7514</v>
      </c>
      <c r="N232" s="53">
        <f t="shared" si="41"/>
        <v>6977.056428</v>
      </c>
      <c r="O232" s="74" t="s">
        <v>160</v>
      </c>
    </row>
    <row r="233" s="4" customFormat="1" ht="76" customHeight="1" spans="1:15">
      <c r="A233" s="25">
        <v>221</v>
      </c>
      <c r="B233" s="26" t="s">
        <v>328</v>
      </c>
      <c r="C233" s="26" t="s">
        <v>329</v>
      </c>
      <c r="D233" s="26" t="s">
        <v>85</v>
      </c>
      <c r="E233" s="53">
        <f>17.63+1.95+0.31</f>
        <v>19.89</v>
      </c>
      <c r="F233" s="30">
        <v>20</v>
      </c>
      <c r="G233" s="31">
        <f t="shared" si="39"/>
        <v>140</v>
      </c>
      <c r="H233" s="30">
        <v>140</v>
      </c>
      <c r="I233" s="54">
        <v>0</v>
      </c>
      <c r="J233" s="53">
        <v>5</v>
      </c>
      <c r="K233" s="53">
        <f>(F233+G233+J233)*K5</f>
        <v>3.3</v>
      </c>
      <c r="L233" s="53">
        <f>(F233+G233+J233+K233)*L5</f>
        <v>15.147</v>
      </c>
      <c r="M233" s="55">
        <f t="shared" si="40"/>
        <v>183.447</v>
      </c>
      <c r="N233" s="53">
        <f t="shared" si="41"/>
        <v>3648.76083</v>
      </c>
      <c r="O233" s="73" t="s">
        <v>134</v>
      </c>
    </row>
    <row r="234" s="4" customFormat="1" ht="42.75" customHeight="1" spans="1:15">
      <c r="A234" s="25">
        <v>222</v>
      </c>
      <c r="B234" s="26" t="s">
        <v>412</v>
      </c>
      <c r="C234" s="26" t="s">
        <v>413</v>
      </c>
      <c r="D234" s="26" t="s">
        <v>69</v>
      </c>
      <c r="E234" s="53">
        <v>11.09</v>
      </c>
      <c r="F234" s="30">
        <v>60</v>
      </c>
      <c r="G234" s="31">
        <f t="shared" si="39"/>
        <v>380</v>
      </c>
      <c r="H234" s="30">
        <v>380</v>
      </c>
      <c r="I234" s="54">
        <v>0</v>
      </c>
      <c r="J234" s="53">
        <v>150</v>
      </c>
      <c r="K234" s="53">
        <f>(F234+G234+J234)*K5</f>
        <v>11.8</v>
      </c>
      <c r="L234" s="53">
        <f>(F234+G234+J234+K234)*L5</f>
        <v>54.162</v>
      </c>
      <c r="M234" s="55">
        <f t="shared" si="40"/>
        <v>655.962</v>
      </c>
      <c r="N234" s="53">
        <f t="shared" si="41"/>
        <v>7274.61858</v>
      </c>
      <c r="O234" s="74"/>
    </row>
    <row r="235" s="4" customFormat="1" ht="112" customHeight="1" spans="1:15">
      <c r="A235" s="25">
        <v>223</v>
      </c>
      <c r="B235" s="26" t="s">
        <v>318</v>
      </c>
      <c r="C235" s="26" t="s">
        <v>414</v>
      </c>
      <c r="D235" s="26" t="s">
        <v>69</v>
      </c>
      <c r="E235" s="53">
        <v>12.62</v>
      </c>
      <c r="F235" s="30">
        <v>150</v>
      </c>
      <c r="G235" s="31">
        <f t="shared" si="39"/>
        <v>378</v>
      </c>
      <c r="H235" s="30">
        <v>360</v>
      </c>
      <c r="I235" s="54">
        <v>0.05</v>
      </c>
      <c r="J235" s="53">
        <v>150</v>
      </c>
      <c r="K235" s="53">
        <f>(F235+G235+J235)*K5</f>
        <v>13.56</v>
      </c>
      <c r="L235" s="53">
        <f>(F235+G235+J235+K235)*L5</f>
        <v>62.2404</v>
      </c>
      <c r="M235" s="55">
        <f t="shared" si="40"/>
        <v>753.8004</v>
      </c>
      <c r="N235" s="53">
        <f t="shared" si="41"/>
        <v>9512.961048</v>
      </c>
      <c r="O235" s="74"/>
    </row>
    <row r="236" s="4" customFormat="1" ht="46" customHeight="1" spans="1:15">
      <c r="A236" s="25">
        <v>224</v>
      </c>
      <c r="B236" s="26" t="s">
        <v>234</v>
      </c>
      <c r="C236" s="26" t="s">
        <v>332</v>
      </c>
      <c r="D236" s="26" t="s">
        <v>69</v>
      </c>
      <c r="E236" s="53">
        <f>0.26+32.1*0.03</f>
        <v>1.223</v>
      </c>
      <c r="F236" s="30">
        <v>100</v>
      </c>
      <c r="G236" s="31">
        <f t="shared" si="39"/>
        <v>550</v>
      </c>
      <c r="H236" s="30">
        <v>550</v>
      </c>
      <c r="I236" s="54">
        <v>0</v>
      </c>
      <c r="J236" s="53">
        <v>50</v>
      </c>
      <c r="K236" s="53">
        <f>(F236+G236+J236)*K5</f>
        <v>14</v>
      </c>
      <c r="L236" s="53">
        <f>(F236+G236+J236+K236)*L5</f>
        <v>64.26</v>
      </c>
      <c r="M236" s="55">
        <f t="shared" si="40"/>
        <v>778.26</v>
      </c>
      <c r="N236" s="53">
        <f t="shared" si="41"/>
        <v>951.81198</v>
      </c>
      <c r="O236" s="73" t="s">
        <v>415</v>
      </c>
    </row>
    <row r="237" s="4" customFormat="1" ht="39" customHeight="1" spans="1:15">
      <c r="A237" s="25">
        <v>225</v>
      </c>
      <c r="B237" s="26" t="s">
        <v>365</v>
      </c>
      <c r="C237" s="26" t="s">
        <v>366</v>
      </c>
      <c r="D237" s="26" t="s">
        <v>85</v>
      </c>
      <c r="E237" s="142">
        <f>50.73+11.5</f>
        <v>62.23</v>
      </c>
      <c r="F237" s="30">
        <v>15</v>
      </c>
      <c r="G237" s="31">
        <f t="shared" si="39"/>
        <v>40</v>
      </c>
      <c r="H237" s="30">
        <v>40</v>
      </c>
      <c r="I237" s="54">
        <v>0</v>
      </c>
      <c r="J237" s="53">
        <v>3</v>
      </c>
      <c r="K237" s="53">
        <f>(F237+G237+J237)*K5</f>
        <v>1.16</v>
      </c>
      <c r="L237" s="53">
        <f>(F237+G237+J237+K237)*L5</f>
        <v>5.3244</v>
      </c>
      <c r="M237" s="55">
        <f t="shared" si="40"/>
        <v>64.4844</v>
      </c>
      <c r="N237" s="53">
        <f t="shared" si="41"/>
        <v>4012.864212</v>
      </c>
      <c r="O237" s="73" t="s">
        <v>367</v>
      </c>
    </row>
    <row r="238" s="4" customFormat="1" ht="39" customHeight="1" spans="1:15">
      <c r="A238" s="25">
        <v>226</v>
      </c>
      <c r="B238" s="26" t="s">
        <v>368</v>
      </c>
      <c r="C238" s="26" t="s">
        <v>369</v>
      </c>
      <c r="D238" s="26" t="s">
        <v>85</v>
      </c>
      <c r="E238" s="142">
        <f>45.44+10.18</f>
        <v>55.62</v>
      </c>
      <c r="F238" s="30">
        <v>15</v>
      </c>
      <c r="G238" s="31">
        <f t="shared" si="39"/>
        <v>40</v>
      </c>
      <c r="H238" s="30">
        <v>40</v>
      </c>
      <c r="I238" s="54">
        <v>0</v>
      </c>
      <c r="J238" s="53">
        <v>3</v>
      </c>
      <c r="K238" s="53">
        <f>(F238+G238+J238)*K5</f>
        <v>1.16</v>
      </c>
      <c r="L238" s="53">
        <f>(F238+G238+J238+K238)*L5</f>
        <v>5.3244</v>
      </c>
      <c r="M238" s="55">
        <f t="shared" si="40"/>
        <v>64.4844</v>
      </c>
      <c r="N238" s="53">
        <f t="shared" si="41"/>
        <v>3586.622328</v>
      </c>
      <c r="O238" s="73" t="s">
        <v>367</v>
      </c>
    </row>
    <row r="239" s="4" customFormat="1" ht="47" customHeight="1" spans="1:15">
      <c r="A239" s="25">
        <v>227</v>
      </c>
      <c r="B239" s="26" t="s">
        <v>378</v>
      </c>
      <c r="C239" s="26" t="s">
        <v>379</v>
      </c>
      <c r="D239" s="26" t="s">
        <v>85</v>
      </c>
      <c r="E239" s="53">
        <v>14.57</v>
      </c>
      <c r="F239" s="30">
        <v>20</v>
      </c>
      <c r="G239" s="31">
        <f t="shared" si="39"/>
        <v>120</v>
      </c>
      <c r="H239" s="30">
        <v>120</v>
      </c>
      <c r="I239" s="54">
        <v>0</v>
      </c>
      <c r="J239" s="53">
        <v>120</v>
      </c>
      <c r="K239" s="53">
        <f>(F239+G239+J239)*K5</f>
        <v>5.2</v>
      </c>
      <c r="L239" s="53">
        <f>(F239+G239+J239+K239)*L5</f>
        <v>23.868</v>
      </c>
      <c r="M239" s="55">
        <f t="shared" si="40"/>
        <v>289.068</v>
      </c>
      <c r="N239" s="53">
        <f t="shared" si="41"/>
        <v>4211.72076</v>
      </c>
      <c r="O239" s="73" t="s">
        <v>134</v>
      </c>
    </row>
    <row r="240" s="4" customFormat="1" ht="49.5" customHeight="1" spans="1:15">
      <c r="A240" s="25">
        <v>228</v>
      </c>
      <c r="B240" s="26" t="s">
        <v>386</v>
      </c>
      <c r="C240" s="26" t="s">
        <v>416</v>
      </c>
      <c r="D240" s="26" t="s">
        <v>69</v>
      </c>
      <c r="E240" s="53">
        <v>0.52</v>
      </c>
      <c r="F240" s="30">
        <v>40</v>
      </c>
      <c r="G240" s="31">
        <f t="shared" si="39"/>
        <v>480</v>
      </c>
      <c r="H240" s="30">
        <v>480</v>
      </c>
      <c r="I240" s="54">
        <v>0</v>
      </c>
      <c r="J240" s="53">
        <v>70</v>
      </c>
      <c r="K240" s="53">
        <f>(F240+G240+J240)*K5</f>
        <v>11.8</v>
      </c>
      <c r="L240" s="53">
        <f>(F240+G240+J240+K240)*L5</f>
        <v>54.162</v>
      </c>
      <c r="M240" s="55">
        <f t="shared" si="40"/>
        <v>655.962</v>
      </c>
      <c r="N240" s="53">
        <f t="shared" si="41"/>
        <v>341.10024</v>
      </c>
      <c r="O240" s="73"/>
    </row>
    <row r="241" s="4" customFormat="1" ht="38" customHeight="1" spans="1:15">
      <c r="A241" s="25">
        <v>229</v>
      </c>
      <c r="B241" s="38" t="s">
        <v>334</v>
      </c>
      <c r="C241" s="68" t="s">
        <v>335</v>
      </c>
      <c r="D241" s="26" t="s">
        <v>274</v>
      </c>
      <c r="E241" s="53">
        <v>1</v>
      </c>
      <c r="F241" s="30">
        <v>150</v>
      </c>
      <c r="G241" s="31">
        <f t="shared" si="39"/>
        <v>2450</v>
      </c>
      <c r="H241" s="30">
        <v>2450</v>
      </c>
      <c r="I241" s="54">
        <v>0</v>
      </c>
      <c r="J241" s="53">
        <v>350</v>
      </c>
      <c r="K241" s="53">
        <f>(F241+G241+J241)*K5</f>
        <v>59</v>
      </c>
      <c r="L241" s="53">
        <f>(F241+G241+J241+K241)*L5</f>
        <v>270.81</v>
      </c>
      <c r="M241" s="55">
        <f t="shared" si="40"/>
        <v>3279.81</v>
      </c>
      <c r="N241" s="53">
        <f t="shared" si="41"/>
        <v>3279.81</v>
      </c>
      <c r="O241" s="73" t="s">
        <v>134</v>
      </c>
    </row>
    <row r="242" s="4" customFormat="1" ht="44" customHeight="1" spans="1:15">
      <c r="A242" s="25">
        <v>230</v>
      </c>
      <c r="B242" s="38" t="s">
        <v>322</v>
      </c>
      <c r="C242" s="26" t="s">
        <v>337</v>
      </c>
      <c r="D242" s="26" t="s">
        <v>85</v>
      </c>
      <c r="E242" s="53">
        <v>5.8</v>
      </c>
      <c r="F242" s="30"/>
      <c r="G242" s="31"/>
      <c r="H242" s="30"/>
      <c r="I242" s="54"/>
      <c r="J242" s="53"/>
      <c r="K242" s="53"/>
      <c r="L242" s="53"/>
      <c r="M242" s="55"/>
      <c r="N242" s="53"/>
      <c r="O242" s="74"/>
    </row>
    <row r="243" s="4" customFormat="1" ht="44" customHeight="1" spans="1:15">
      <c r="A243" s="25">
        <v>231</v>
      </c>
      <c r="B243" s="26" t="s">
        <v>417</v>
      </c>
      <c r="C243" s="26" t="s">
        <v>418</v>
      </c>
      <c r="D243" s="26" t="s">
        <v>35</v>
      </c>
      <c r="E243" s="53">
        <v>1</v>
      </c>
      <c r="F243" s="30">
        <v>0</v>
      </c>
      <c r="G243" s="31">
        <f t="shared" si="39"/>
        <v>35000</v>
      </c>
      <c r="H243" s="30">
        <v>35000</v>
      </c>
      <c r="I243" s="54">
        <v>0</v>
      </c>
      <c r="J243" s="53">
        <v>0</v>
      </c>
      <c r="K243" s="53">
        <f>(F243+G243+J243)*K5</f>
        <v>700</v>
      </c>
      <c r="L243" s="53">
        <f>(F243+G243+J243+K243)*L5</f>
        <v>3213</v>
      </c>
      <c r="M243" s="55">
        <f t="shared" si="40"/>
        <v>38913</v>
      </c>
      <c r="N243" s="53">
        <f t="shared" si="41"/>
        <v>38913</v>
      </c>
      <c r="O243" s="73" t="s">
        <v>134</v>
      </c>
    </row>
    <row r="244" s="4" customFormat="1" ht="43" customHeight="1" spans="1:15">
      <c r="A244" s="25">
        <v>232</v>
      </c>
      <c r="B244" s="26" t="s">
        <v>417</v>
      </c>
      <c r="C244" s="26" t="s">
        <v>419</v>
      </c>
      <c r="D244" s="26" t="s">
        <v>35</v>
      </c>
      <c r="E244" s="53">
        <v>1</v>
      </c>
      <c r="F244" s="30">
        <v>0</v>
      </c>
      <c r="G244" s="31">
        <f t="shared" si="39"/>
        <v>11000</v>
      </c>
      <c r="H244" s="30">
        <v>11000</v>
      </c>
      <c r="I244" s="54">
        <v>0</v>
      </c>
      <c r="J244" s="53">
        <v>0</v>
      </c>
      <c r="K244" s="53">
        <f>(F244+G244+J244)*K5</f>
        <v>220</v>
      </c>
      <c r="L244" s="53">
        <f>(F244+G244+J244+K244)*L5</f>
        <v>1009.8</v>
      </c>
      <c r="M244" s="55">
        <f t="shared" si="40"/>
        <v>12229.8</v>
      </c>
      <c r="N244" s="53">
        <f t="shared" si="41"/>
        <v>12229.8</v>
      </c>
      <c r="O244" s="73" t="s">
        <v>134</v>
      </c>
    </row>
    <row r="245" s="4" customFormat="1" ht="40" customHeight="1" spans="1:15">
      <c r="A245" s="25">
        <v>233</v>
      </c>
      <c r="B245" s="38" t="s">
        <v>320</v>
      </c>
      <c r="C245" s="26" t="s">
        <v>321</v>
      </c>
      <c r="D245" s="26" t="s">
        <v>274</v>
      </c>
      <c r="E245" s="53">
        <v>1</v>
      </c>
      <c r="F245" s="30">
        <v>150</v>
      </c>
      <c r="G245" s="31">
        <v>4800</v>
      </c>
      <c r="H245" s="30">
        <v>4800</v>
      </c>
      <c r="I245" s="54">
        <v>0</v>
      </c>
      <c r="J245" s="53">
        <v>350</v>
      </c>
      <c r="K245" s="53">
        <f>(F245+G245+J245)*K5</f>
        <v>106</v>
      </c>
      <c r="L245" s="53">
        <f>(F245+G245+J245+K245)*L5</f>
        <v>486.54</v>
      </c>
      <c r="M245" s="55">
        <f t="shared" si="40"/>
        <v>5892.54</v>
      </c>
      <c r="N245" s="53">
        <f t="shared" si="41"/>
        <v>5892.54</v>
      </c>
      <c r="O245" s="74"/>
    </row>
    <row r="246" s="4" customFormat="1" ht="60" customHeight="1" spans="1:15">
      <c r="A246" s="25">
        <v>234</v>
      </c>
      <c r="B246" s="38" t="s">
        <v>322</v>
      </c>
      <c r="C246" s="26" t="s">
        <v>323</v>
      </c>
      <c r="D246" s="26" t="s">
        <v>85</v>
      </c>
      <c r="E246" s="53">
        <v>5.7</v>
      </c>
      <c r="F246" s="30"/>
      <c r="G246" s="31"/>
      <c r="H246" s="30"/>
      <c r="I246" s="54"/>
      <c r="J246" s="53"/>
      <c r="K246" s="53"/>
      <c r="L246" s="53"/>
      <c r="M246" s="55"/>
      <c r="N246" s="53"/>
      <c r="O246" s="74"/>
    </row>
    <row r="247" s="4" customFormat="1" ht="60" customHeight="1" spans="1:15">
      <c r="A247" s="25">
        <v>235</v>
      </c>
      <c r="B247" s="26" t="s">
        <v>324</v>
      </c>
      <c r="C247" s="140" t="s">
        <v>420</v>
      </c>
      <c r="D247" s="26" t="s">
        <v>35</v>
      </c>
      <c r="E247" s="53">
        <v>1</v>
      </c>
      <c r="F247" s="30">
        <v>0</v>
      </c>
      <c r="G247" s="31">
        <f t="shared" si="39"/>
        <v>2800</v>
      </c>
      <c r="H247" s="30">
        <v>2800</v>
      </c>
      <c r="I247" s="54">
        <v>0</v>
      </c>
      <c r="J247" s="53">
        <v>0</v>
      </c>
      <c r="K247" s="53">
        <f>(F247+G247+J247)*K5</f>
        <v>56</v>
      </c>
      <c r="L247" s="53">
        <f>(F247+G247+J247+K247)*L5</f>
        <v>257.04</v>
      </c>
      <c r="M247" s="55">
        <f t="shared" si="40"/>
        <v>3113.04</v>
      </c>
      <c r="N247" s="53">
        <f t="shared" si="41"/>
        <v>3113.04</v>
      </c>
      <c r="O247" s="73" t="s">
        <v>205</v>
      </c>
    </row>
    <row r="248" s="4" customFormat="1" ht="64.5" customHeight="1" spans="1:15">
      <c r="A248" s="25">
        <v>236</v>
      </c>
      <c r="B248" s="26" t="s">
        <v>206</v>
      </c>
      <c r="C248" s="26" t="s">
        <v>421</v>
      </c>
      <c r="D248" s="26" t="s">
        <v>35</v>
      </c>
      <c r="E248" s="53">
        <v>1</v>
      </c>
      <c r="F248" s="30">
        <v>0</v>
      </c>
      <c r="G248" s="31">
        <f t="shared" si="39"/>
        <v>2400</v>
      </c>
      <c r="H248" s="30">
        <v>2400</v>
      </c>
      <c r="I248" s="54">
        <v>0</v>
      </c>
      <c r="J248" s="53">
        <v>2600</v>
      </c>
      <c r="K248" s="53">
        <f>(F248+G248+J248)*K5</f>
        <v>100</v>
      </c>
      <c r="L248" s="53">
        <f>(F248+G248+J248+K248)*L5</f>
        <v>459</v>
      </c>
      <c r="M248" s="55">
        <f t="shared" si="40"/>
        <v>5559</v>
      </c>
      <c r="N248" s="53">
        <f t="shared" si="41"/>
        <v>5559</v>
      </c>
      <c r="O248" s="73" t="s">
        <v>134</v>
      </c>
    </row>
    <row r="249" customFormat="1" ht="42.75" customHeight="1" spans="1:15">
      <c r="A249" s="34" t="s">
        <v>422</v>
      </c>
      <c r="B249" s="38" t="s">
        <v>241</v>
      </c>
      <c r="C249" s="38" t="s">
        <v>212</v>
      </c>
      <c r="D249" s="38" t="s">
        <v>69</v>
      </c>
      <c r="E249" s="58"/>
      <c r="F249" s="39"/>
      <c r="G249" s="40"/>
      <c r="H249" s="39"/>
      <c r="I249" s="57"/>
      <c r="J249" s="58"/>
      <c r="K249" s="58"/>
      <c r="L249" s="58"/>
      <c r="M249" s="59"/>
      <c r="N249" s="58"/>
      <c r="O249" s="74"/>
    </row>
    <row r="250" s="4" customFormat="1" ht="36" customHeight="1" spans="1:15">
      <c r="A250" s="25">
        <v>238</v>
      </c>
      <c r="B250" s="32" t="s">
        <v>423</v>
      </c>
      <c r="C250" s="26"/>
      <c r="D250" s="26"/>
      <c r="E250" s="53"/>
      <c r="F250" s="30"/>
      <c r="G250" s="31">
        <f t="shared" si="39"/>
        <v>0</v>
      </c>
      <c r="H250" s="30"/>
      <c r="I250" s="54"/>
      <c r="J250" s="53"/>
      <c r="K250" s="53"/>
      <c r="L250" s="53"/>
      <c r="M250" s="55">
        <f t="shared" si="40"/>
        <v>0</v>
      </c>
      <c r="N250" s="53">
        <f t="shared" si="41"/>
        <v>0</v>
      </c>
      <c r="O250" s="74"/>
    </row>
    <row r="251" s="4" customFormat="1" ht="110" customHeight="1" spans="1:15">
      <c r="A251" s="25">
        <v>239</v>
      </c>
      <c r="B251" s="26" t="s">
        <v>318</v>
      </c>
      <c r="C251" s="26" t="s">
        <v>424</v>
      </c>
      <c r="D251" s="26" t="s">
        <v>69</v>
      </c>
      <c r="E251" s="53">
        <v>20.97</v>
      </c>
      <c r="F251" s="30">
        <v>150</v>
      </c>
      <c r="G251" s="31">
        <f t="shared" si="39"/>
        <v>378</v>
      </c>
      <c r="H251" s="30">
        <v>360</v>
      </c>
      <c r="I251" s="54">
        <v>0.05</v>
      </c>
      <c r="J251" s="53">
        <v>155</v>
      </c>
      <c r="K251" s="53">
        <f>(F251+G251+J251)*K5</f>
        <v>13.66</v>
      </c>
      <c r="L251" s="53">
        <f>(F251+G251+J251+K251)*L5</f>
        <v>62.6994</v>
      </c>
      <c r="M251" s="55">
        <f t="shared" si="40"/>
        <v>759.3594</v>
      </c>
      <c r="N251" s="53">
        <f t="shared" si="41"/>
        <v>15923.766618</v>
      </c>
      <c r="O251" s="74"/>
    </row>
    <row r="252" s="4" customFormat="1" ht="114" customHeight="1" spans="1:15">
      <c r="A252" s="25">
        <v>240</v>
      </c>
      <c r="B252" s="26" t="s">
        <v>318</v>
      </c>
      <c r="C252" s="26" t="s">
        <v>425</v>
      </c>
      <c r="D252" s="26" t="s">
        <v>69</v>
      </c>
      <c r="E252" s="53">
        <v>9.82</v>
      </c>
      <c r="F252" s="30">
        <v>150</v>
      </c>
      <c r="G252" s="31">
        <f t="shared" si="39"/>
        <v>378</v>
      </c>
      <c r="H252" s="30">
        <v>360</v>
      </c>
      <c r="I252" s="54">
        <v>0.05</v>
      </c>
      <c r="J252" s="53">
        <v>155</v>
      </c>
      <c r="K252" s="53">
        <f>(F252+G252+J252)*K5</f>
        <v>13.66</v>
      </c>
      <c r="L252" s="53">
        <f>(F252+G252+J252+K252)*L5</f>
        <v>62.6994</v>
      </c>
      <c r="M252" s="55">
        <f t="shared" si="40"/>
        <v>759.3594</v>
      </c>
      <c r="N252" s="53">
        <f t="shared" si="41"/>
        <v>7456.909308</v>
      </c>
      <c r="O252" s="74"/>
    </row>
    <row r="253" s="4" customFormat="1" ht="60" customHeight="1" spans="1:15">
      <c r="A253" s="25">
        <v>241</v>
      </c>
      <c r="B253" s="26" t="s">
        <v>201</v>
      </c>
      <c r="C253" s="26" t="s">
        <v>202</v>
      </c>
      <c r="D253" s="26" t="s">
        <v>69</v>
      </c>
      <c r="E253" s="53">
        <v>3.01</v>
      </c>
      <c r="F253" s="30">
        <v>100</v>
      </c>
      <c r="G253" s="31">
        <f t="shared" si="39"/>
        <v>750</v>
      </c>
      <c r="H253" s="30">
        <v>750</v>
      </c>
      <c r="I253" s="54">
        <v>0</v>
      </c>
      <c r="J253" s="53">
        <v>35</v>
      </c>
      <c r="K253" s="53">
        <f>(F253+G253+J253)*K5</f>
        <v>17.7</v>
      </c>
      <c r="L253" s="53">
        <f>(F253+G253+J253+K253)*L5</f>
        <v>81.243</v>
      </c>
      <c r="M253" s="55">
        <f t="shared" si="40"/>
        <v>983.943</v>
      </c>
      <c r="N253" s="53">
        <f t="shared" si="41"/>
        <v>2961.66843</v>
      </c>
      <c r="O253" s="74"/>
    </row>
    <row r="254" s="4" customFormat="1" ht="60" customHeight="1" spans="1:15">
      <c r="A254" s="25">
        <v>242</v>
      </c>
      <c r="B254" s="26" t="s">
        <v>324</v>
      </c>
      <c r="C254" s="140" t="s">
        <v>426</v>
      </c>
      <c r="D254" s="26" t="s">
        <v>35</v>
      </c>
      <c r="E254" s="53">
        <v>1</v>
      </c>
      <c r="F254" s="30">
        <v>0</v>
      </c>
      <c r="G254" s="31">
        <f t="shared" si="39"/>
        <v>2600</v>
      </c>
      <c r="H254" s="30">
        <v>2600</v>
      </c>
      <c r="I254" s="54">
        <v>0</v>
      </c>
      <c r="J254" s="53">
        <v>0</v>
      </c>
      <c r="K254" s="53">
        <f>(F254+G254+J254)*K5</f>
        <v>52</v>
      </c>
      <c r="L254" s="53">
        <f>(F254+G254+J254+K254)*L5</f>
        <v>238.68</v>
      </c>
      <c r="M254" s="55">
        <f t="shared" si="40"/>
        <v>2890.68</v>
      </c>
      <c r="N254" s="53">
        <f t="shared" si="41"/>
        <v>2890.68</v>
      </c>
      <c r="O254" s="73" t="s">
        <v>205</v>
      </c>
    </row>
    <row r="255" s="4" customFormat="1" ht="64.5" customHeight="1" spans="1:15">
      <c r="A255" s="25">
        <v>243</v>
      </c>
      <c r="B255" s="26" t="s">
        <v>206</v>
      </c>
      <c r="C255" s="26" t="s">
        <v>427</v>
      </c>
      <c r="D255" s="26" t="s">
        <v>35</v>
      </c>
      <c r="E255" s="53">
        <v>1</v>
      </c>
      <c r="F255" s="30">
        <v>0</v>
      </c>
      <c r="G255" s="31">
        <f t="shared" si="39"/>
        <v>2400</v>
      </c>
      <c r="H255" s="30">
        <v>2400</v>
      </c>
      <c r="I255" s="54">
        <v>0</v>
      </c>
      <c r="J255" s="53">
        <v>1200</v>
      </c>
      <c r="K255" s="53">
        <f>(F255+G255+J255)*K5</f>
        <v>72</v>
      </c>
      <c r="L255" s="53">
        <f>(F255+G255+J255+K255)*L5</f>
        <v>330.48</v>
      </c>
      <c r="M255" s="55">
        <f t="shared" si="40"/>
        <v>4002.48</v>
      </c>
      <c r="N255" s="53">
        <f t="shared" si="41"/>
        <v>4002.48</v>
      </c>
      <c r="O255" s="73" t="s">
        <v>134</v>
      </c>
    </row>
    <row r="256" s="4" customFormat="1" ht="83" customHeight="1" spans="1:15">
      <c r="A256" s="25">
        <v>244</v>
      </c>
      <c r="B256" s="26" t="s">
        <v>428</v>
      </c>
      <c r="C256" s="68" t="s">
        <v>429</v>
      </c>
      <c r="D256" s="26" t="s">
        <v>35</v>
      </c>
      <c r="E256" s="53">
        <v>1</v>
      </c>
      <c r="F256" s="30">
        <v>500</v>
      </c>
      <c r="G256" s="31">
        <f t="shared" si="39"/>
        <v>1600</v>
      </c>
      <c r="H256" s="30">
        <v>1600</v>
      </c>
      <c r="I256" s="54">
        <v>0</v>
      </c>
      <c r="J256" s="53">
        <v>200</v>
      </c>
      <c r="K256" s="53">
        <f>(F256+G256+J256)*K5</f>
        <v>46</v>
      </c>
      <c r="L256" s="53">
        <f>(F256+G256+J256+K256)*L5</f>
        <v>211.14</v>
      </c>
      <c r="M256" s="55">
        <f t="shared" si="40"/>
        <v>2557.14</v>
      </c>
      <c r="N256" s="53">
        <f t="shared" si="41"/>
        <v>2557.14</v>
      </c>
      <c r="O256" s="74"/>
    </row>
    <row r="257" s="4" customFormat="1" ht="29" customHeight="1" spans="1:15">
      <c r="A257" s="25">
        <v>245</v>
      </c>
      <c r="B257" s="32" t="s">
        <v>430</v>
      </c>
      <c r="C257" s="26"/>
      <c r="D257" s="26"/>
      <c r="E257" s="53"/>
      <c r="F257" s="30"/>
      <c r="G257" s="31">
        <f t="shared" si="39"/>
        <v>0</v>
      </c>
      <c r="H257" s="30"/>
      <c r="I257" s="54"/>
      <c r="J257" s="53"/>
      <c r="K257" s="53"/>
      <c r="L257" s="53"/>
      <c r="M257" s="55">
        <f t="shared" si="40"/>
        <v>0</v>
      </c>
      <c r="N257" s="53">
        <f t="shared" si="41"/>
        <v>0</v>
      </c>
      <c r="O257" s="74"/>
    </row>
    <row r="258" s="4" customFormat="1" ht="128.25" customHeight="1" spans="1:15">
      <c r="A258" s="25">
        <v>246</v>
      </c>
      <c r="B258" s="26" t="s">
        <v>94</v>
      </c>
      <c r="C258" s="26" t="s">
        <v>431</v>
      </c>
      <c r="D258" s="26" t="s">
        <v>69</v>
      </c>
      <c r="E258" s="53">
        <v>192.01</v>
      </c>
      <c r="F258" s="30">
        <v>95</v>
      </c>
      <c r="G258" s="31">
        <f t="shared" si="39"/>
        <v>180</v>
      </c>
      <c r="H258" s="30">
        <v>180</v>
      </c>
      <c r="I258" s="54">
        <v>0</v>
      </c>
      <c r="J258" s="53">
        <v>23</v>
      </c>
      <c r="K258" s="53">
        <f>(F258+G258+J258)*K5</f>
        <v>5.96</v>
      </c>
      <c r="L258" s="53">
        <f>(F258+G258+J258+K258)*L5</f>
        <v>27.3564</v>
      </c>
      <c r="M258" s="55">
        <f t="shared" si="40"/>
        <v>331.3164</v>
      </c>
      <c r="N258" s="53">
        <f t="shared" si="41"/>
        <v>63616.061964</v>
      </c>
      <c r="O258" s="73" t="s">
        <v>93</v>
      </c>
    </row>
    <row r="259" s="4" customFormat="1" ht="128.25" customHeight="1" spans="1:15">
      <c r="A259" s="25">
        <v>247</v>
      </c>
      <c r="B259" s="26" t="s">
        <v>102</v>
      </c>
      <c r="C259" s="26" t="s">
        <v>432</v>
      </c>
      <c r="D259" s="26" t="s">
        <v>69</v>
      </c>
      <c r="E259" s="53">
        <v>30.36</v>
      </c>
      <c r="F259" s="30">
        <v>95</v>
      </c>
      <c r="G259" s="31">
        <f t="shared" si="39"/>
        <v>150</v>
      </c>
      <c r="H259" s="30">
        <v>150</v>
      </c>
      <c r="I259" s="54">
        <v>0</v>
      </c>
      <c r="J259" s="53">
        <v>23</v>
      </c>
      <c r="K259" s="53">
        <f>(F259+G259+J259)*K5</f>
        <v>5.36</v>
      </c>
      <c r="L259" s="53">
        <f>(F259+G259+J259+K259)*L5</f>
        <v>24.6024</v>
      </c>
      <c r="M259" s="55">
        <f t="shared" si="40"/>
        <v>297.9624</v>
      </c>
      <c r="N259" s="53">
        <f t="shared" si="41"/>
        <v>9046.138464</v>
      </c>
      <c r="O259" s="73" t="s">
        <v>93</v>
      </c>
    </row>
    <row r="260" s="4" customFormat="1" ht="87" customHeight="1" spans="1:15">
      <c r="A260" s="25">
        <v>248</v>
      </c>
      <c r="B260" s="26" t="s">
        <v>433</v>
      </c>
      <c r="C260" s="26" t="s">
        <v>434</v>
      </c>
      <c r="D260" s="26" t="s">
        <v>69</v>
      </c>
      <c r="E260" s="53">
        <v>1.27</v>
      </c>
      <c r="F260" s="30">
        <v>300</v>
      </c>
      <c r="G260" s="31">
        <f t="shared" ref="G260:G267" si="42">H260*(1+I260)</f>
        <v>1400</v>
      </c>
      <c r="H260" s="30">
        <v>1400</v>
      </c>
      <c r="I260" s="54">
        <v>0</v>
      </c>
      <c r="J260" s="53">
        <v>80</v>
      </c>
      <c r="K260" s="53">
        <f>(F260+G260+J260)*K5</f>
        <v>35.6</v>
      </c>
      <c r="L260" s="53">
        <f>(F260+G260+J260+K260)*L5</f>
        <v>163.404</v>
      </c>
      <c r="M260" s="55">
        <f t="shared" ref="M260:M269" si="43">F260+G260+J260+K260+L260</f>
        <v>1979.004</v>
      </c>
      <c r="N260" s="53">
        <f t="shared" ref="N260:N269" si="44">E260*M260</f>
        <v>2513.33508</v>
      </c>
      <c r="O260" s="74"/>
    </row>
    <row r="261" s="4" customFormat="1" ht="96.75" customHeight="1" spans="1:15">
      <c r="A261" s="25">
        <v>249</v>
      </c>
      <c r="B261" s="26" t="s">
        <v>105</v>
      </c>
      <c r="C261" s="26" t="s">
        <v>435</v>
      </c>
      <c r="D261" s="26" t="s">
        <v>69</v>
      </c>
      <c r="E261" s="58">
        <v>22</v>
      </c>
      <c r="F261" s="30">
        <v>195</v>
      </c>
      <c r="G261" s="31">
        <f t="shared" si="42"/>
        <v>450</v>
      </c>
      <c r="H261" s="30">
        <v>450</v>
      </c>
      <c r="I261" s="54">
        <v>0</v>
      </c>
      <c r="J261" s="53">
        <v>60</v>
      </c>
      <c r="K261" s="53">
        <f>(F261+G261+J261)*K5</f>
        <v>14.1</v>
      </c>
      <c r="L261" s="53">
        <f>(F261+G261+J261+K261)*L5</f>
        <v>64.719</v>
      </c>
      <c r="M261" s="55">
        <f t="shared" si="43"/>
        <v>783.819</v>
      </c>
      <c r="N261" s="53">
        <f t="shared" si="44"/>
        <v>17244.018</v>
      </c>
      <c r="O261" s="73" t="s">
        <v>107</v>
      </c>
    </row>
    <row r="262" customFormat="1" ht="39.95" customHeight="1" spans="1:15">
      <c r="A262" s="25">
        <v>250</v>
      </c>
      <c r="B262" s="26" t="s">
        <v>436</v>
      </c>
      <c r="C262" s="26" t="s">
        <v>212</v>
      </c>
      <c r="D262" s="26" t="s">
        <v>69</v>
      </c>
      <c r="E262" s="53">
        <v>12.9</v>
      </c>
      <c r="F262" s="30">
        <v>25</v>
      </c>
      <c r="G262" s="31">
        <f t="shared" si="42"/>
        <v>10</v>
      </c>
      <c r="H262" s="30">
        <v>10</v>
      </c>
      <c r="I262" s="54">
        <v>0</v>
      </c>
      <c r="J262" s="53">
        <v>18</v>
      </c>
      <c r="K262" s="53">
        <f>(F262+G262+J262)*K5</f>
        <v>1.06</v>
      </c>
      <c r="L262" s="53">
        <f>(F262+G262+J262+K262)*L5</f>
        <v>4.8654</v>
      </c>
      <c r="M262" s="55">
        <f t="shared" si="43"/>
        <v>58.9254</v>
      </c>
      <c r="N262" s="53">
        <f t="shared" si="44"/>
        <v>760.13766</v>
      </c>
      <c r="O262" s="74"/>
    </row>
    <row r="263" s="4" customFormat="1" ht="44" customHeight="1" spans="1:15">
      <c r="A263" s="25">
        <v>251</v>
      </c>
      <c r="B263" s="26" t="s">
        <v>437</v>
      </c>
      <c r="C263" s="26" t="s">
        <v>438</v>
      </c>
      <c r="D263" s="26" t="s">
        <v>85</v>
      </c>
      <c r="E263" s="53">
        <v>49.96</v>
      </c>
      <c r="F263" s="30">
        <v>30</v>
      </c>
      <c r="G263" s="31">
        <f t="shared" si="42"/>
        <v>60</v>
      </c>
      <c r="H263" s="30">
        <v>60</v>
      </c>
      <c r="I263" s="54">
        <v>0</v>
      </c>
      <c r="J263" s="53">
        <v>20</v>
      </c>
      <c r="K263" s="53">
        <f>(F263+G263+J263)*K5</f>
        <v>2.2</v>
      </c>
      <c r="L263" s="53">
        <f>(F263+G263+J263+K263)*L5</f>
        <v>10.098</v>
      </c>
      <c r="M263" s="55">
        <f t="shared" si="43"/>
        <v>122.298</v>
      </c>
      <c r="N263" s="53">
        <f t="shared" si="44"/>
        <v>6110.00808</v>
      </c>
      <c r="O263" s="73" t="s">
        <v>111</v>
      </c>
    </row>
    <row r="264" s="4" customFormat="1" ht="84" customHeight="1" spans="1:15">
      <c r="A264" s="25">
        <v>252</v>
      </c>
      <c r="B264" s="26" t="s">
        <v>376</v>
      </c>
      <c r="C264" s="26" t="s">
        <v>439</v>
      </c>
      <c r="D264" s="26" t="s">
        <v>85</v>
      </c>
      <c r="E264" s="53">
        <v>5.53</v>
      </c>
      <c r="F264" s="30">
        <v>15</v>
      </c>
      <c r="G264" s="31">
        <f t="shared" si="42"/>
        <v>25</v>
      </c>
      <c r="H264" s="30">
        <v>25</v>
      </c>
      <c r="I264" s="54">
        <v>0</v>
      </c>
      <c r="J264" s="53">
        <v>3</v>
      </c>
      <c r="K264" s="53">
        <f>(F264+G264+J264)*K5</f>
        <v>0.86</v>
      </c>
      <c r="L264" s="53">
        <f>(F264+G264+J264+K264)*L5</f>
        <v>3.9474</v>
      </c>
      <c r="M264" s="55">
        <f t="shared" si="43"/>
        <v>47.8074</v>
      </c>
      <c r="N264" s="53">
        <f t="shared" si="44"/>
        <v>264.374922</v>
      </c>
      <c r="O264" s="73" t="s">
        <v>93</v>
      </c>
    </row>
    <row r="265" customFormat="1" ht="73.5" customHeight="1" spans="1:15">
      <c r="A265" s="34" t="s">
        <v>440</v>
      </c>
      <c r="B265" s="38" t="s">
        <v>117</v>
      </c>
      <c r="C265" s="38" t="s">
        <v>118</v>
      </c>
      <c r="D265" s="38" t="s">
        <v>69</v>
      </c>
      <c r="E265" s="58">
        <v>8.4</v>
      </c>
      <c r="F265" s="39">
        <v>195</v>
      </c>
      <c r="G265" s="40">
        <f t="shared" si="42"/>
        <v>90</v>
      </c>
      <c r="H265" s="39">
        <v>90</v>
      </c>
      <c r="I265" s="57">
        <v>0</v>
      </c>
      <c r="J265" s="58">
        <v>23</v>
      </c>
      <c r="K265" s="58">
        <f>(F265+G265+J265)*K5</f>
        <v>6.16</v>
      </c>
      <c r="L265" s="58">
        <f>(F265+G265+J265+K265)*L5</f>
        <v>28.2744</v>
      </c>
      <c r="M265" s="59">
        <f t="shared" si="43"/>
        <v>342.4344</v>
      </c>
      <c r="N265" s="58">
        <f t="shared" si="44"/>
        <v>2876.44896</v>
      </c>
      <c r="O265" s="73" t="s">
        <v>93</v>
      </c>
    </row>
    <row r="266" ht="29" customHeight="1" spans="1:15">
      <c r="A266" s="25">
        <v>254</v>
      </c>
      <c r="B266" s="143" t="s">
        <v>441</v>
      </c>
      <c r="C266" s="61"/>
      <c r="D266" s="61"/>
      <c r="E266" s="61"/>
      <c r="F266" s="30"/>
      <c r="G266" s="31">
        <f t="shared" si="42"/>
        <v>0</v>
      </c>
      <c r="H266" s="30"/>
      <c r="I266" s="54"/>
      <c r="J266" s="53"/>
      <c r="K266" s="53"/>
      <c r="L266" s="53"/>
      <c r="M266" s="55">
        <f t="shared" si="43"/>
        <v>0</v>
      </c>
      <c r="N266" s="53">
        <f t="shared" si="44"/>
        <v>0</v>
      </c>
      <c r="O266" s="61"/>
    </row>
    <row r="267" ht="47" customHeight="1" spans="1:15">
      <c r="A267" s="25">
        <v>255</v>
      </c>
      <c r="B267" s="43" t="s">
        <v>442</v>
      </c>
      <c r="C267" s="26" t="s">
        <v>443</v>
      </c>
      <c r="D267" s="36" t="s">
        <v>444</v>
      </c>
      <c r="E267" s="36">
        <v>21</v>
      </c>
      <c r="F267" s="30">
        <v>90</v>
      </c>
      <c r="G267" s="31">
        <f t="shared" si="42"/>
        <v>0</v>
      </c>
      <c r="H267" s="30">
        <v>0</v>
      </c>
      <c r="I267" s="54">
        <v>0</v>
      </c>
      <c r="J267" s="53">
        <v>10</v>
      </c>
      <c r="K267" s="53">
        <f>(F267+G267+J267)*K5</f>
        <v>2</v>
      </c>
      <c r="L267" s="53">
        <f>(F267+G267+J267+K267)*L5</f>
        <v>9.18</v>
      </c>
      <c r="M267" s="55">
        <f t="shared" si="43"/>
        <v>111.18</v>
      </c>
      <c r="N267" s="53">
        <f t="shared" si="44"/>
        <v>2334.78</v>
      </c>
      <c r="O267" s="61"/>
    </row>
    <row r="268" ht="47" customHeight="1" spans="1:15">
      <c r="A268" s="25">
        <v>256</v>
      </c>
      <c r="B268" s="41" t="s">
        <v>293</v>
      </c>
      <c r="C268" s="38" t="s">
        <v>294</v>
      </c>
      <c r="D268" s="37" t="s">
        <v>85</v>
      </c>
      <c r="E268" s="37">
        <v>2</v>
      </c>
      <c r="F268" s="39">
        <v>100</v>
      </c>
      <c r="G268" s="40">
        <f t="shared" ref="G268:G275" si="45">H268*(1+I268)</f>
        <v>120</v>
      </c>
      <c r="H268" s="39">
        <v>120</v>
      </c>
      <c r="I268" s="57">
        <v>0</v>
      </c>
      <c r="J268" s="58">
        <v>15</v>
      </c>
      <c r="K268" s="58">
        <f>(F268+G268+J268)*K5</f>
        <v>4.7</v>
      </c>
      <c r="L268" s="58">
        <f>(F268+G268+J268+K268)*L5</f>
        <v>21.573</v>
      </c>
      <c r="M268" s="59">
        <f t="shared" si="43"/>
        <v>261.273</v>
      </c>
      <c r="N268" s="58">
        <f t="shared" si="44"/>
        <v>522.546</v>
      </c>
      <c r="O268" s="61"/>
    </row>
    <row r="269" customFormat="1" ht="30" customHeight="1" spans="1:15">
      <c r="A269" s="25">
        <v>257</v>
      </c>
      <c r="B269" s="38" t="s">
        <v>290</v>
      </c>
      <c r="C269" s="38" t="s">
        <v>291</v>
      </c>
      <c r="D269" s="34" t="s">
        <v>292</v>
      </c>
      <c r="E269" s="34">
        <v>51</v>
      </c>
      <c r="F269" s="39">
        <v>80</v>
      </c>
      <c r="G269" s="40">
        <f t="shared" si="45"/>
        <v>100</v>
      </c>
      <c r="H269" s="39">
        <v>100</v>
      </c>
      <c r="I269" s="57">
        <v>0</v>
      </c>
      <c r="J269" s="58">
        <v>10</v>
      </c>
      <c r="K269" s="58">
        <f>(F269+G269+J269)*K140</f>
        <v>0</v>
      </c>
      <c r="L269" s="58">
        <f>(F269+G269+J269+K269)*L140</f>
        <v>0</v>
      </c>
      <c r="M269" s="59">
        <f t="shared" si="43"/>
        <v>190</v>
      </c>
      <c r="N269" s="58">
        <f t="shared" si="44"/>
        <v>9690</v>
      </c>
      <c r="O269" s="61"/>
    </row>
    <row r="270" customFormat="1" ht="30" customHeight="1" spans="1:15">
      <c r="A270" s="25">
        <v>258</v>
      </c>
      <c r="B270" s="38" t="s">
        <v>296</v>
      </c>
      <c r="C270" s="38" t="s">
        <v>297</v>
      </c>
      <c r="D270" s="34"/>
      <c r="E270" s="34"/>
      <c r="F270" s="39"/>
      <c r="G270" s="40"/>
      <c r="H270" s="39"/>
      <c r="I270" s="57"/>
      <c r="J270" s="58"/>
      <c r="K270" s="58"/>
      <c r="L270" s="58"/>
      <c r="M270" s="59"/>
      <c r="N270" s="58"/>
      <c r="O270" s="61"/>
    </row>
    <row r="271" ht="30" customHeight="1" spans="1:15">
      <c r="A271" s="25">
        <v>259</v>
      </c>
      <c r="B271" s="41" t="s">
        <v>445</v>
      </c>
      <c r="C271" s="38" t="s">
        <v>446</v>
      </c>
      <c r="D271" s="34" t="s">
        <v>298</v>
      </c>
      <c r="E271" s="37">
        <v>6</v>
      </c>
      <c r="F271" s="39">
        <v>150</v>
      </c>
      <c r="G271" s="40">
        <f t="shared" si="45"/>
        <v>0</v>
      </c>
      <c r="H271" s="39">
        <v>0</v>
      </c>
      <c r="I271" s="57">
        <v>0</v>
      </c>
      <c r="J271" s="58">
        <v>10</v>
      </c>
      <c r="K271" s="58">
        <f>(F271+G271+J271)*K5</f>
        <v>3.2</v>
      </c>
      <c r="L271" s="58">
        <f>(F271+G271+J271+K271)*L5</f>
        <v>14.688</v>
      </c>
      <c r="M271" s="59">
        <f t="shared" ref="M270:M276" si="46">F271+G271+J271+K271+L271</f>
        <v>177.888</v>
      </c>
      <c r="N271" s="58">
        <f t="shared" ref="N270:N276" si="47">E271*M271</f>
        <v>1067.328</v>
      </c>
      <c r="O271" s="61"/>
    </row>
    <row r="272" ht="30" customHeight="1" spans="1:15">
      <c r="A272" s="25">
        <v>260</v>
      </c>
      <c r="B272" s="41" t="s">
        <v>447</v>
      </c>
      <c r="C272" s="38" t="s">
        <v>448</v>
      </c>
      <c r="D272" s="37" t="s">
        <v>35</v>
      </c>
      <c r="E272" s="37">
        <v>1</v>
      </c>
      <c r="F272" s="39">
        <v>1500</v>
      </c>
      <c r="G272" s="40">
        <f t="shared" si="45"/>
        <v>0</v>
      </c>
      <c r="H272" s="39">
        <v>0</v>
      </c>
      <c r="I272" s="57">
        <v>0</v>
      </c>
      <c r="J272" s="58">
        <v>10</v>
      </c>
      <c r="K272" s="58">
        <f>(F272+G272+J272)*K5</f>
        <v>30.2</v>
      </c>
      <c r="L272" s="58">
        <f>(F272+G272+J272+K272)*L5</f>
        <v>138.618</v>
      </c>
      <c r="M272" s="59">
        <f t="shared" si="46"/>
        <v>1678.818</v>
      </c>
      <c r="N272" s="58">
        <f t="shared" si="47"/>
        <v>1678.818</v>
      </c>
      <c r="O272" s="61"/>
    </row>
    <row r="273" ht="40" customHeight="1" spans="1:15">
      <c r="A273" s="25">
        <v>261</v>
      </c>
      <c r="B273" s="41" t="s">
        <v>449</v>
      </c>
      <c r="C273" s="38" t="s">
        <v>450</v>
      </c>
      <c r="D273" s="37" t="s">
        <v>35</v>
      </c>
      <c r="E273" s="37">
        <v>1</v>
      </c>
      <c r="F273" s="39">
        <v>1500</v>
      </c>
      <c r="G273" s="40">
        <f t="shared" si="45"/>
        <v>2000</v>
      </c>
      <c r="H273" s="39">
        <v>2000</v>
      </c>
      <c r="I273" s="57">
        <v>0</v>
      </c>
      <c r="J273" s="58">
        <v>500</v>
      </c>
      <c r="K273" s="58">
        <f>(F273+G273+J273)*K5</f>
        <v>80</v>
      </c>
      <c r="L273" s="58">
        <f>(F273+G273+J273+K273)*L5</f>
        <v>367.2</v>
      </c>
      <c r="M273" s="59">
        <f t="shared" si="46"/>
        <v>4447.2</v>
      </c>
      <c r="N273" s="58">
        <f t="shared" si="47"/>
        <v>4447.2</v>
      </c>
      <c r="O273" s="61"/>
    </row>
    <row r="274" ht="80" customHeight="1" spans="1:19">
      <c r="A274" s="25">
        <v>262</v>
      </c>
      <c r="B274" s="144" t="s">
        <v>451</v>
      </c>
      <c r="C274" s="38" t="s">
        <v>452</v>
      </c>
      <c r="D274" s="37" t="s">
        <v>69</v>
      </c>
      <c r="E274" s="145">
        <v>11.3</v>
      </c>
      <c r="F274" s="39">
        <v>100</v>
      </c>
      <c r="G274" s="40">
        <f t="shared" si="45"/>
        <v>850</v>
      </c>
      <c r="H274" s="39">
        <v>850</v>
      </c>
      <c r="I274" s="57">
        <v>0</v>
      </c>
      <c r="J274" s="58">
        <v>20</v>
      </c>
      <c r="K274" s="58">
        <f>(F274+G274+J274)*K5</f>
        <v>19.4</v>
      </c>
      <c r="L274" s="58">
        <f>(F274+G274+J274+K274)*L5</f>
        <v>89.046</v>
      </c>
      <c r="M274" s="59">
        <f t="shared" si="46"/>
        <v>1078.446</v>
      </c>
      <c r="N274" s="58">
        <f t="shared" si="47"/>
        <v>12186.4398</v>
      </c>
      <c r="O274" s="147" t="s">
        <v>143</v>
      </c>
      <c r="S274" s="4" t="e">
        <f>P274*#REF!</f>
        <v>#REF!</v>
      </c>
    </row>
    <row r="275" ht="30" customHeight="1" spans="1:15">
      <c r="A275" s="25">
        <v>263</v>
      </c>
      <c r="B275" s="144" t="s">
        <v>453</v>
      </c>
      <c r="C275" s="38"/>
      <c r="D275" s="36"/>
      <c r="E275" s="146"/>
      <c r="F275" s="30"/>
      <c r="G275" s="31">
        <f t="shared" si="45"/>
        <v>0</v>
      </c>
      <c r="H275" s="30"/>
      <c r="I275" s="54"/>
      <c r="J275" s="53"/>
      <c r="K275" s="53"/>
      <c r="L275" s="53"/>
      <c r="M275" s="55">
        <f t="shared" si="46"/>
        <v>0</v>
      </c>
      <c r="N275" s="53">
        <f t="shared" si="47"/>
        <v>0</v>
      </c>
      <c r="O275" s="61"/>
    </row>
    <row r="276" ht="30" customHeight="1" spans="1:15">
      <c r="A276" s="25">
        <v>264</v>
      </c>
      <c r="B276" s="144" t="s">
        <v>454</v>
      </c>
      <c r="C276" s="38" t="s">
        <v>455</v>
      </c>
      <c r="D276" s="37" t="s">
        <v>456</v>
      </c>
      <c r="E276" s="145">
        <v>10</v>
      </c>
      <c r="F276" s="39">
        <v>0</v>
      </c>
      <c r="G276" s="40">
        <v>0</v>
      </c>
      <c r="H276" s="39">
        <v>0</v>
      </c>
      <c r="I276" s="57">
        <v>0</v>
      </c>
      <c r="J276" s="58">
        <v>450</v>
      </c>
      <c r="K276" s="58">
        <f>(F276+G276+J276)*K5</f>
        <v>9</v>
      </c>
      <c r="L276" s="58">
        <f>(F276+G276+J276+K276)*L5</f>
        <v>41.31</v>
      </c>
      <c r="M276" s="59">
        <f t="shared" si="46"/>
        <v>500.31</v>
      </c>
      <c r="N276" s="58">
        <f t="shared" si="47"/>
        <v>5003.1</v>
      </c>
      <c r="O276" s="61"/>
    </row>
    <row r="277" ht="30" customHeight="1" spans="1:15">
      <c r="A277" s="25">
        <v>265</v>
      </c>
      <c r="B277" s="144" t="s">
        <v>457</v>
      </c>
      <c r="C277" s="38" t="s">
        <v>458</v>
      </c>
      <c r="D277" s="37" t="s">
        <v>35</v>
      </c>
      <c r="E277" s="145">
        <v>1</v>
      </c>
      <c r="F277" s="39">
        <v>0</v>
      </c>
      <c r="G277" s="40">
        <v>0</v>
      </c>
      <c r="H277" s="39">
        <v>0</v>
      </c>
      <c r="I277" s="57">
        <v>0</v>
      </c>
      <c r="J277" s="58">
        <v>3500</v>
      </c>
      <c r="K277" s="58">
        <f>(F277+G277+J277)*K5</f>
        <v>70</v>
      </c>
      <c r="L277" s="58">
        <f>(F277+G277+J277+K277)*L5</f>
        <v>321.3</v>
      </c>
      <c r="M277" s="59">
        <f t="shared" ref="M277:M280" si="48">F277+G277+J277+K277+L277</f>
        <v>3891.3</v>
      </c>
      <c r="N277" s="58">
        <f t="shared" ref="N277:N280" si="49">E277*M277</f>
        <v>3891.3</v>
      </c>
      <c r="O277" s="61"/>
    </row>
    <row r="278" ht="30" customHeight="1" spans="1:15">
      <c r="A278" s="25">
        <v>266</v>
      </c>
      <c r="B278" s="144" t="s">
        <v>459</v>
      </c>
      <c r="C278" s="38"/>
      <c r="D278" s="37" t="s">
        <v>35</v>
      </c>
      <c r="E278" s="145">
        <v>1</v>
      </c>
      <c r="F278" s="39">
        <v>0</v>
      </c>
      <c r="G278" s="40">
        <v>0</v>
      </c>
      <c r="H278" s="39">
        <v>0</v>
      </c>
      <c r="I278" s="57">
        <v>0</v>
      </c>
      <c r="J278" s="58">
        <v>5000</v>
      </c>
      <c r="K278" s="58">
        <f>(F278+G278+J278)*K5</f>
        <v>100</v>
      </c>
      <c r="L278" s="58">
        <f>(F278+G278+J278+K278)*L5</f>
        <v>459</v>
      </c>
      <c r="M278" s="59">
        <f t="shared" si="48"/>
        <v>5559</v>
      </c>
      <c r="N278" s="58">
        <f t="shared" si="49"/>
        <v>5559</v>
      </c>
      <c r="O278" s="61"/>
    </row>
    <row r="279" ht="30" customHeight="1" spans="1:15">
      <c r="A279" s="25">
        <v>267</v>
      </c>
      <c r="B279" s="144" t="s">
        <v>460</v>
      </c>
      <c r="C279" s="38"/>
      <c r="D279" s="37" t="s">
        <v>69</v>
      </c>
      <c r="E279" s="145">
        <v>500</v>
      </c>
      <c r="F279" s="39">
        <v>0</v>
      </c>
      <c r="G279" s="40">
        <v>0</v>
      </c>
      <c r="H279" s="39">
        <v>0</v>
      </c>
      <c r="I279" s="57">
        <v>0</v>
      </c>
      <c r="J279" s="58">
        <v>8</v>
      </c>
      <c r="K279" s="58">
        <f>(F279+G279+J279)*K5</f>
        <v>0.16</v>
      </c>
      <c r="L279" s="58">
        <f>(F279+G279+J279+K279)*L5</f>
        <v>0.7344</v>
      </c>
      <c r="M279" s="59">
        <f t="shared" si="48"/>
        <v>8.8944</v>
      </c>
      <c r="N279" s="58">
        <f t="shared" si="49"/>
        <v>4447.2</v>
      </c>
      <c r="O279" s="61"/>
    </row>
    <row r="280" ht="30" customHeight="1" spans="1:15">
      <c r="A280" s="25">
        <v>268</v>
      </c>
      <c r="B280" s="144" t="s">
        <v>461</v>
      </c>
      <c r="C280" s="38"/>
      <c r="D280" s="37" t="s">
        <v>35</v>
      </c>
      <c r="E280" s="145">
        <v>1</v>
      </c>
      <c r="F280" s="39">
        <v>0</v>
      </c>
      <c r="G280" s="40">
        <v>0</v>
      </c>
      <c r="H280" s="39">
        <v>0</v>
      </c>
      <c r="I280" s="57">
        <v>0</v>
      </c>
      <c r="J280" s="58">
        <v>4000</v>
      </c>
      <c r="K280" s="58">
        <f>(F280+G280+J280)*K5</f>
        <v>80</v>
      </c>
      <c r="L280" s="58">
        <f>(F280+G280+J280+K280)*L5</f>
        <v>367.2</v>
      </c>
      <c r="M280" s="59">
        <f t="shared" si="48"/>
        <v>4447.2</v>
      </c>
      <c r="N280" s="58">
        <f t="shared" si="49"/>
        <v>4447.2</v>
      </c>
      <c r="O280" s="61"/>
    </row>
    <row r="281" ht="28" customHeight="1" spans="1:15">
      <c r="A281" s="25">
        <v>263</v>
      </c>
      <c r="B281" s="43"/>
      <c r="C281" s="36" t="s">
        <v>462</v>
      </c>
      <c r="D281" s="36"/>
      <c r="E281" s="36"/>
      <c r="F281" s="30"/>
      <c r="G281" s="31"/>
      <c r="H281" s="30"/>
      <c r="I281" s="54"/>
      <c r="J281" s="53"/>
      <c r="K281" s="53"/>
      <c r="L281" s="53"/>
      <c r="M281" s="55"/>
      <c r="N281" s="148">
        <f>SUM(N7:N280)</f>
        <v>1731440.57338872</v>
      </c>
      <c r="O281" s="61"/>
    </row>
  </sheetData>
  <autoFilter ref="A1:O281">
    <extLst/>
  </autoFilter>
  <mergeCells count="14">
    <mergeCell ref="A1:O1"/>
    <mergeCell ref="A2:F2"/>
    <mergeCell ref="G2:M2"/>
    <mergeCell ref="N2:O2"/>
    <mergeCell ref="F3:L3"/>
    <mergeCell ref="A3:A5"/>
    <mergeCell ref="B3:B5"/>
    <mergeCell ref="C3:C5"/>
    <mergeCell ref="D3:D5"/>
    <mergeCell ref="E3:E5"/>
    <mergeCell ref="F4:F5"/>
    <mergeCell ref="J4:J5"/>
    <mergeCell ref="M3:M5"/>
    <mergeCell ref="O3:O5"/>
  </mergeCells>
  <pageMargins left="0.75" right="0.75" top="1" bottom="1" header="0.5" footer="0.5"/>
  <pageSetup paperSize="9" scale="61"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66"/>
  <sheetViews>
    <sheetView view="pageBreakPreview" zoomScaleNormal="100" workbookViewId="0">
      <pane ySplit="5" topLeftCell="A60" activePane="bottomLeft" state="frozen"/>
      <selection/>
      <selection pane="bottomLeft" activeCell="A1" sqref="A1:O1"/>
    </sheetView>
  </sheetViews>
  <sheetFormatPr defaultColWidth="9" defaultRowHeight="10.8"/>
  <cols>
    <col min="1" max="1" width="6.13888888888889" style="109" customWidth="1"/>
    <col min="2" max="2" width="15.1388888888889" style="18" customWidth="1"/>
    <col min="3" max="3" width="36.1388888888889" style="18" customWidth="1"/>
    <col min="4" max="4" width="6.42592592592593" style="109" customWidth="1"/>
    <col min="5" max="5" width="6.72222222222222" style="109" customWidth="1"/>
    <col min="6" max="6" width="8.42592592592593" style="109" customWidth="1"/>
    <col min="7" max="7" width="10.1111111111111" style="109" customWidth="1"/>
    <col min="8" max="8" width="10.287037037037" style="109" customWidth="1"/>
    <col min="9" max="9" width="7.57407407407407" style="109" customWidth="1"/>
    <col min="10" max="10" width="9" style="109" customWidth="1"/>
    <col min="11" max="11" width="10.4259259259259" style="109" customWidth="1"/>
    <col min="12" max="12" width="9.86111111111111" style="109" customWidth="1"/>
    <col min="13" max="13" width="9.28703703703704" style="109" customWidth="1"/>
    <col min="14" max="14" width="11.7222222222222" style="110" customWidth="1"/>
    <col min="15" max="15" width="14" style="111" customWidth="1"/>
    <col min="16" max="16" width="9" style="18"/>
    <col min="17" max="18" width="11" style="18"/>
    <col min="19" max="16384" width="9" style="18"/>
  </cols>
  <sheetData>
    <row r="1" ht="35.1" customHeight="1" spans="1:15">
      <c r="A1" s="22" t="s">
        <v>463</v>
      </c>
      <c r="B1" s="22"/>
      <c r="C1" s="22"/>
      <c r="D1" s="22"/>
      <c r="E1" s="22"/>
      <c r="F1" s="22"/>
      <c r="G1" s="22"/>
      <c r="H1" s="22"/>
      <c r="I1" s="22"/>
      <c r="J1" s="22"/>
      <c r="K1" s="22"/>
      <c r="L1" s="22"/>
      <c r="M1" s="22"/>
      <c r="N1" s="51"/>
      <c r="O1" s="22"/>
    </row>
    <row r="2" ht="18.95" customHeight="1" spans="1:15">
      <c r="A2" s="23" t="s">
        <v>464</v>
      </c>
      <c r="B2" s="23"/>
      <c r="C2" s="23"/>
      <c r="D2" s="23"/>
      <c r="E2" s="23"/>
      <c r="F2" s="23"/>
      <c r="G2" s="24"/>
      <c r="H2" s="24"/>
      <c r="I2" s="24"/>
      <c r="J2" s="24"/>
      <c r="K2" s="24"/>
      <c r="L2" s="24"/>
      <c r="M2" s="24"/>
      <c r="N2" s="52"/>
      <c r="O2" s="24"/>
    </row>
    <row r="3" spans="1:15">
      <c r="A3" s="25" t="s">
        <v>48</v>
      </c>
      <c r="B3" s="26" t="s">
        <v>49</v>
      </c>
      <c r="C3" s="26" t="s">
        <v>50</v>
      </c>
      <c r="D3" s="25" t="s">
        <v>30</v>
      </c>
      <c r="E3" s="25" t="s">
        <v>51</v>
      </c>
      <c r="F3" s="25" t="s">
        <v>52</v>
      </c>
      <c r="G3" s="25"/>
      <c r="H3" s="25"/>
      <c r="I3" s="25"/>
      <c r="J3" s="25"/>
      <c r="K3" s="25"/>
      <c r="L3" s="25"/>
      <c r="M3" s="25" t="s">
        <v>53</v>
      </c>
      <c r="N3" s="53" t="s">
        <v>54</v>
      </c>
      <c r="O3" s="25" t="s">
        <v>55</v>
      </c>
    </row>
    <row r="4" ht="51" customHeight="1" spans="1:15">
      <c r="A4" s="25"/>
      <c r="B4" s="26"/>
      <c r="C4" s="26"/>
      <c r="D4" s="25"/>
      <c r="E4" s="25"/>
      <c r="F4" s="25" t="s">
        <v>56</v>
      </c>
      <c r="G4" s="25" t="s">
        <v>57</v>
      </c>
      <c r="H4" s="25" t="s">
        <v>58</v>
      </c>
      <c r="I4" s="25" t="s">
        <v>59</v>
      </c>
      <c r="J4" s="25" t="s">
        <v>60</v>
      </c>
      <c r="K4" s="25" t="s">
        <v>61</v>
      </c>
      <c r="L4" s="25" t="s">
        <v>62</v>
      </c>
      <c r="M4" s="25"/>
      <c r="N4" s="53"/>
      <c r="O4" s="25"/>
    </row>
    <row r="5" spans="1:15">
      <c r="A5" s="25"/>
      <c r="B5" s="26"/>
      <c r="C5" s="26"/>
      <c r="D5" s="25"/>
      <c r="E5" s="25"/>
      <c r="F5" s="25"/>
      <c r="G5" s="25" t="s">
        <v>63</v>
      </c>
      <c r="H5" s="25" t="s">
        <v>64</v>
      </c>
      <c r="I5" s="25" t="s">
        <v>65</v>
      </c>
      <c r="J5" s="25"/>
      <c r="K5" s="54">
        <v>0.02</v>
      </c>
      <c r="L5" s="54">
        <v>0.09</v>
      </c>
      <c r="M5" s="25"/>
      <c r="N5" s="53"/>
      <c r="O5" s="25"/>
    </row>
    <row r="6" s="21" customFormat="1" ht="27" customHeight="1" spans="1:17">
      <c r="A6" s="112" t="s">
        <v>33</v>
      </c>
      <c r="B6" s="45" t="s">
        <v>465</v>
      </c>
      <c r="C6" s="45"/>
      <c r="D6" s="113"/>
      <c r="E6" s="113"/>
      <c r="F6" s="30"/>
      <c r="G6" s="31">
        <f>H6*(1+I6)</f>
        <v>0</v>
      </c>
      <c r="H6" s="30"/>
      <c r="I6" s="54"/>
      <c r="J6" s="53"/>
      <c r="K6" s="53"/>
      <c r="L6" s="53"/>
      <c r="M6" s="55">
        <f>F6+G6+J6+K6+L6</f>
        <v>0</v>
      </c>
      <c r="N6" s="53">
        <f>E6*M6</f>
        <v>0</v>
      </c>
      <c r="O6" s="118"/>
      <c r="P6" s="119"/>
      <c r="Q6" s="119"/>
    </row>
    <row r="7" s="21" customFormat="1" ht="29.1" customHeight="1" spans="1:15">
      <c r="A7" s="27">
        <v>1</v>
      </c>
      <c r="B7" s="28" t="s">
        <v>466</v>
      </c>
      <c r="C7" s="29"/>
      <c r="D7" s="27"/>
      <c r="E7" s="25"/>
      <c r="F7" s="30"/>
      <c r="G7" s="31">
        <f>H7*(1+I7)</f>
        <v>0</v>
      </c>
      <c r="H7" s="30"/>
      <c r="I7" s="54"/>
      <c r="J7" s="53"/>
      <c r="K7" s="53"/>
      <c r="L7" s="53"/>
      <c r="M7" s="55">
        <f>F7+G7+J7+K7+L7</f>
        <v>0</v>
      </c>
      <c r="N7" s="53">
        <f>E7*M7</f>
        <v>0</v>
      </c>
      <c r="O7" s="120"/>
    </row>
    <row r="8" s="21" customFormat="1" ht="41.1" customHeight="1" spans="1:15">
      <c r="A8" s="27">
        <v>1.1</v>
      </c>
      <c r="B8" s="29" t="s">
        <v>467</v>
      </c>
      <c r="C8" s="29" t="s">
        <v>468</v>
      </c>
      <c r="D8" s="27" t="s">
        <v>35</v>
      </c>
      <c r="E8" s="25">
        <v>1</v>
      </c>
      <c r="F8" s="30"/>
      <c r="G8" s="31"/>
      <c r="H8" s="30"/>
      <c r="I8" s="54"/>
      <c r="J8" s="53"/>
      <c r="K8" s="53"/>
      <c r="L8" s="53"/>
      <c r="M8" s="55"/>
      <c r="N8" s="53"/>
      <c r="O8" s="120" t="s">
        <v>469</v>
      </c>
    </row>
    <row r="9" s="21" customFormat="1" ht="42" customHeight="1" spans="1:15">
      <c r="A9" s="27">
        <v>1.2</v>
      </c>
      <c r="B9" s="29" t="s">
        <v>470</v>
      </c>
      <c r="C9" s="29" t="s">
        <v>471</v>
      </c>
      <c r="D9" s="27" t="s">
        <v>472</v>
      </c>
      <c r="E9" s="25">
        <v>4</v>
      </c>
      <c r="F9" s="30">
        <v>0</v>
      </c>
      <c r="G9" s="31"/>
      <c r="H9" s="30"/>
      <c r="I9" s="54"/>
      <c r="J9" s="53"/>
      <c r="K9" s="53"/>
      <c r="L9" s="53"/>
      <c r="M9" s="55"/>
      <c r="N9" s="53"/>
      <c r="O9" s="121" t="s">
        <v>473</v>
      </c>
    </row>
    <row r="10" s="21" customFormat="1" ht="42" customHeight="1" spans="1:15">
      <c r="A10" s="27">
        <v>1.3</v>
      </c>
      <c r="B10" s="29" t="s">
        <v>474</v>
      </c>
      <c r="C10" s="29" t="s">
        <v>475</v>
      </c>
      <c r="D10" s="27" t="s">
        <v>472</v>
      </c>
      <c r="E10" s="25">
        <v>1</v>
      </c>
      <c r="F10" s="30"/>
      <c r="G10" s="31"/>
      <c r="H10" s="30"/>
      <c r="I10" s="54"/>
      <c r="J10" s="53"/>
      <c r="K10" s="53"/>
      <c r="L10" s="53"/>
      <c r="M10" s="55"/>
      <c r="N10" s="53"/>
      <c r="O10" s="120" t="s">
        <v>473</v>
      </c>
    </row>
    <row r="11" s="21" customFormat="1" ht="42" customHeight="1" spans="1:15">
      <c r="A11" s="27">
        <v>1.4</v>
      </c>
      <c r="B11" s="29" t="s">
        <v>476</v>
      </c>
      <c r="C11" s="29" t="s">
        <v>477</v>
      </c>
      <c r="D11" s="27" t="s">
        <v>472</v>
      </c>
      <c r="E11" s="25">
        <v>1</v>
      </c>
      <c r="F11" s="30">
        <v>0</v>
      </c>
      <c r="G11" s="31">
        <f t="shared" ref="G11:G16" si="0">H11*(1+I11)</f>
        <v>12500</v>
      </c>
      <c r="H11" s="30">
        <v>12500</v>
      </c>
      <c r="I11" s="54">
        <v>0</v>
      </c>
      <c r="J11" s="53">
        <v>0</v>
      </c>
      <c r="K11" s="53">
        <f>(F11+G11+J11)*K5</f>
        <v>250</v>
      </c>
      <c r="L11" s="53">
        <f>(F11+G11+J11+K11)*L5</f>
        <v>1147.5</v>
      </c>
      <c r="M11" s="55">
        <f t="shared" ref="M11:M16" si="1">F11+G11+J11+K11+L11</f>
        <v>13897.5</v>
      </c>
      <c r="N11" s="53">
        <f t="shared" ref="N11:N16" si="2">E11*M11</f>
        <v>13897.5</v>
      </c>
      <c r="O11" s="122" t="s">
        <v>478</v>
      </c>
    </row>
    <row r="12" s="21" customFormat="1" ht="44.1" customHeight="1" spans="1:15">
      <c r="A12" s="27">
        <v>1.5</v>
      </c>
      <c r="B12" s="29" t="s">
        <v>479</v>
      </c>
      <c r="C12" s="29" t="s">
        <v>480</v>
      </c>
      <c r="D12" s="27" t="s">
        <v>472</v>
      </c>
      <c r="E12" s="25">
        <v>1</v>
      </c>
      <c r="F12" s="30">
        <v>0</v>
      </c>
      <c r="G12" s="31">
        <f t="shared" si="0"/>
        <v>6000</v>
      </c>
      <c r="H12" s="30">
        <v>6000</v>
      </c>
      <c r="I12" s="54">
        <v>0</v>
      </c>
      <c r="J12" s="53">
        <v>0</v>
      </c>
      <c r="K12" s="53">
        <f>(F12+G12+J12)*K5</f>
        <v>120</v>
      </c>
      <c r="L12" s="53">
        <f>(F12+G12+J12+K12)*L5</f>
        <v>550.8</v>
      </c>
      <c r="M12" s="55">
        <f t="shared" si="1"/>
        <v>6670.8</v>
      </c>
      <c r="N12" s="53">
        <f t="shared" si="2"/>
        <v>6670.8</v>
      </c>
      <c r="O12" s="122" t="s">
        <v>481</v>
      </c>
    </row>
    <row r="13" s="21" customFormat="1" ht="45.95" customHeight="1" spans="1:15">
      <c r="A13" s="27">
        <v>1.6</v>
      </c>
      <c r="B13" s="29" t="s">
        <v>482</v>
      </c>
      <c r="C13" s="29" t="s">
        <v>483</v>
      </c>
      <c r="D13" s="27" t="s">
        <v>472</v>
      </c>
      <c r="E13" s="25">
        <v>3</v>
      </c>
      <c r="F13" s="30">
        <v>0</v>
      </c>
      <c r="G13" s="31">
        <f t="shared" si="0"/>
        <v>4200</v>
      </c>
      <c r="H13" s="30">
        <v>4200</v>
      </c>
      <c r="I13" s="54">
        <v>0</v>
      </c>
      <c r="J13" s="53">
        <v>0</v>
      </c>
      <c r="K13" s="53">
        <f>(F13+G13+J13)*K5</f>
        <v>84</v>
      </c>
      <c r="L13" s="53">
        <f>(F13+G13+J13+K13)*L5</f>
        <v>385.56</v>
      </c>
      <c r="M13" s="55">
        <f t="shared" si="1"/>
        <v>4669.56</v>
      </c>
      <c r="N13" s="53">
        <f t="shared" si="2"/>
        <v>14008.68</v>
      </c>
      <c r="O13" s="123" t="s">
        <v>484</v>
      </c>
    </row>
    <row r="14" s="21" customFormat="1" ht="42" customHeight="1" spans="1:15">
      <c r="A14" s="27">
        <v>1.7</v>
      </c>
      <c r="B14" s="29" t="s">
        <v>485</v>
      </c>
      <c r="C14" s="29" t="s">
        <v>486</v>
      </c>
      <c r="D14" s="27" t="s">
        <v>472</v>
      </c>
      <c r="E14" s="25">
        <v>1</v>
      </c>
      <c r="F14" s="30">
        <v>0</v>
      </c>
      <c r="G14" s="31">
        <f t="shared" si="0"/>
        <v>4200</v>
      </c>
      <c r="H14" s="30">
        <v>4200</v>
      </c>
      <c r="I14" s="54">
        <v>0</v>
      </c>
      <c r="J14" s="53">
        <v>0</v>
      </c>
      <c r="K14" s="53">
        <f>(F14+G14+J14)*K5</f>
        <v>84</v>
      </c>
      <c r="L14" s="53">
        <f>(F14+G14+J14+K14)*L5</f>
        <v>385.56</v>
      </c>
      <c r="M14" s="55">
        <f t="shared" si="1"/>
        <v>4669.56</v>
      </c>
      <c r="N14" s="53">
        <f t="shared" si="2"/>
        <v>4669.56</v>
      </c>
      <c r="O14" s="122" t="s">
        <v>487</v>
      </c>
    </row>
    <row r="15" s="21" customFormat="1" ht="44.1" customHeight="1" spans="1:15">
      <c r="A15" s="27">
        <v>1.8</v>
      </c>
      <c r="B15" s="29" t="s">
        <v>488</v>
      </c>
      <c r="C15" s="29" t="s">
        <v>489</v>
      </c>
      <c r="D15" s="27" t="s">
        <v>472</v>
      </c>
      <c r="E15" s="25">
        <v>1</v>
      </c>
      <c r="F15" s="30">
        <v>0</v>
      </c>
      <c r="G15" s="31">
        <f t="shared" si="0"/>
        <v>2200</v>
      </c>
      <c r="H15" s="30">
        <v>2200</v>
      </c>
      <c r="I15" s="54">
        <v>0</v>
      </c>
      <c r="J15" s="53">
        <v>0</v>
      </c>
      <c r="K15" s="53">
        <f>(F15+G15+J15)*K5</f>
        <v>44</v>
      </c>
      <c r="L15" s="53">
        <f>(F15+G15+J15+K15)*L5</f>
        <v>201.96</v>
      </c>
      <c r="M15" s="55">
        <f t="shared" si="1"/>
        <v>2445.96</v>
      </c>
      <c r="N15" s="53">
        <f t="shared" si="2"/>
        <v>2445.96</v>
      </c>
      <c r="O15" s="122" t="s">
        <v>490</v>
      </c>
    </row>
    <row r="16" s="21" customFormat="1" ht="45" customHeight="1" spans="1:15">
      <c r="A16" s="27">
        <v>1.9</v>
      </c>
      <c r="B16" s="114" t="s">
        <v>491</v>
      </c>
      <c r="C16" s="29" t="s">
        <v>492</v>
      </c>
      <c r="D16" s="27" t="s">
        <v>472</v>
      </c>
      <c r="E16" s="25">
        <v>1</v>
      </c>
      <c r="F16" s="30">
        <v>0</v>
      </c>
      <c r="G16" s="31">
        <f t="shared" si="0"/>
        <v>6800</v>
      </c>
      <c r="H16" s="30">
        <v>6800</v>
      </c>
      <c r="I16" s="54">
        <v>0</v>
      </c>
      <c r="J16" s="53">
        <v>0</v>
      </c>
      <c r="K16" s="53">
        <f>(F16+G16+J16)*K5</f>
        <v>136</v>
      </c>
      <c r="L16" s="53">
        <f>(F16+G16+J16+K16)*L5</f>
        <v>624.24</v>
      </c>
      <c r="M16" s="55">
        <f t="shared" si="1"/>
        <v>7560.24</v>
      </c>
      <c r="N16" s="53">
        <f t="shared" si="2"/>
        <v>7560.24</v>
      </c>
      <c r="O16" s="122" t="s">
        <v>493</v>
      </c>
    </row>
    <row r="17" s="21" customFormat="1" ht="42" customHeight="1" spans="1:15">
      <c r="A17" s="47">
        <v>1.1</v>
      </c>
      <c r="B17" s="29" t="s">
        <v>494</v>
      </c>
      <c r="C17" s="29" t="s">
        <v>495</v>
      </c>
      <c r="D17" s="27" t="s">
        <v>472</v>
      </c>
      <c r="E17" s="25">
        <v>1</v>
      </c>
      <c r="F17" s="30">
        <v>0</v>
      </c>
      <c r="G17" s="31">
        <f t="shared" ref="G17:G39" si="3">H17*(1+I17)</f>
        <v>6000</v>
      </c>
      <c r="H17" s="30">
        <v>6000</v>
      </c>
      <c r="I17" s="54">
        <v>0</v>
      </c>
      <c r="J17" s="53">
        <v>0</v>
      </c>
      <c r="K17" s="53">
        <f>(F17+G17+J17)*K5</f>
        <v>120</v>
      </c>
      <c r="L17" s="53">
        <f>(F17+G17+J17+K17)*L5</f>
        <v>550.8</v>
      </c>
      <c r="M17" s="55">
        <f t="shared" ref="M17:M39" si="4">F17+G17+J17+K17+L17</f>
        <v>6670.8</v>
      </c>
      <c r="N17" s="53">
        <f t="shared" ref="N17:N39" si="5">E17*M17</f>
        <v>6670.8</v>
      </c>
      <c r="O17" s="122" t="s">
        <v>496</v>
      </c>
    </row>
    <row r="18" s="21" customFormat="1" ht="44.1" customHeight="1" spans="1:15">
      <c r="A18" s="48">
        <v>1.11</v>
      </c>
      <c r="B18" s="29" t="s">
        <v>497</v>
      </c>
      <c r="C18" s="29" t="s">
        <v>498</v>
      </c>
      <c r="D18" s="27" t="s">
        <v>336</v>
      </c>
      <c r="E18" s="50">
        <v>5</v>
      </c>
      <c r="F18" s="30">
        <v>0</v>
      </c>
      <c r="G18" s="31">
        <f t="shared" si="3"/>
        <v>6500</v>
      </c>
      <c r="H18" s="30">
        <v>6500</v>
      </c>
      <c r="I18" s="54">
        <v>0</v>
      </c>
      <c r="J18" s="53">
        <v>0</v>
      </c>
      <c r="K18" s="53">
        <f>(F18+G18+J18)*K5</f>
        <v>130</v>
      </c>
      <c r="L18" s="53">
        <f>(F18+G18+J18+K18)*L5</f>
        <v>596.7</v>
      </c>
      <c r="M18" s="55">
        <f t="shared" si="4"/>
        <v>7226.7</v>
      </c>
      <c r="N18" s="53">
        <f t="shared" si="5"/>
        <v>36133.5</v>
      </c>
      <c r="O18" s="123" t="s">
        <v>484</v>
      </c>
    </row>
    <row r="19" s="21" customFormat="1" ht="42" customHeight="1" spans="1:15">
      <c r="A19" s="47">
        <v>1.12</v>
      </c>
      <c r="B19" s="29" t="s">
        <v>499</v>
      </c>
      <c r="C19" s="29" t="s">
        <v>500</v>
      </c>
      <c r="D19" s="27" t="s">
        <v>336</v>
      </c>
      <c r="E19" s="50">
        <v>7</v>
      </c>
      <c r="F19" s="30">
        <v>0</v>
      </c>
      <c r="G19" s="31">
        <f t="shared" si="3"/>
        <v>3600</v>
      </c>
      <c r="H19" s="30">
        <v>3600</v>
      </c>
      <c r="I19" s="54">
        <v>0</v>
      </c>
      <c r="J19" s="53">
        <v>0</v>
      </c>
      <c r="K19" s="53">
        <f>(F19+G19+J19)*K5</f>
        <v>72</v>
      </c>
      <c r="L19" s="53">
        <f>(F19+G19+J19+K19)*L5</f>
        <v>330.48</v>
      </c>
      <c r="M19" s="55">
        <f t="shared" si="4"/>
        <v>4002.48</v>
      </c>
      <c r="N19" s="53">
        <f t="shared" si="5"/>
        <v>28017.36</v>
      </c>
      <c r="O19" s="124" t="s">
        <v>501</v>
      </c>
    </row>
    <row r="20" s="21" customFormat="1" ht="42" customHeight="1" spans="1:15">
      <c r="A20" s="48">
        <v>1.13</v>
      </c>
      <c r="B20" s="29" t="s">
        <v>502</v>
      </c>
      <c r="C20" s="29" t="s">
        <v>503</v>
      </c>
      <c r="D20" s="27" t="s">
        <v>336</v>
      </c>
      <c r="E20" s="50">
        <v>1</v>
      </c>
      <c r="F20" s="30">
        <v>0</v>
      </c>
      <c r="G20" s="31">
        <f t="shared" si="3"/>
        <v>12600</v>
      </c>
      <c r="H20" s="30">
        <v>12600</v>
      </c>
      <c r="I20" s="54">
        <v>0</v>
      </c>
      <c r="J20" s="53">
        <v>0</v>
      </c>
      <c r="K20" s="53">
        <f>(F20+G20+J20)*K5</f>
        <v>252</v>
      </c>
      <c r="L20" s="53">
        <f>(F20+G20+J20+K20)*L5</f>
        <v>1156.68</v>
      </c>
      <c r="M20" s="55">
        <f t="shared" si="4"/>
        <v>14008.68</v>
      </c>
      <c r="N20" s="53">
        <f t="shared" si="5"/>
        <v>14008.68</v>
      </c>
      <c r="O20" s="124" t="s">
        <v>504</v>
      </c>
    </row>
    <row r="21" s="21" customFormat="1" ht="56.1" customHeight="1" spans="1:15">
      <c r="A21" s="47">
        <v>1.14</v>
      </c>
      <c r="B21" s="29" t="s">
        <v>505</v>
      </c>
      <c r="C21" s="29" t="s">
        <v>506</v>
      </c>
      <c r="D21" s="27" t="s">
        <v>336</v>
      </c>
      <c r="E21" s="50">
        <v>4</v>
      </c>
      <c r="F21" s="30">
        <v>0</v>
      </c>
      <c r="G21" s="31">
        <f t="shared" si="3"/>
        <v>6300</v>
      </c>
      <c r="H21" s="30">
        <v>6300</v>
      </c>
      <c r="I21" s="54">
        <v>0</v>
      </c>
      <c r="J21" s="53">
        <v>0</v>
      </c>
      <c r="K21" s="53">
        <f>(F21+G21+J21)*K5</f>
        <v>126</v>
      </c>
      <c r="L21" s="53">
        <f>(F21+G21+J21+K21)*L5</f>
        <v>578.34</v>
      </c>
      <c r="M21" s="55">
        <f t="shared" si="4"/>
        <v>7004.34</v>
      </c>
      <c r="N21" s="53">
        <f t="shared" si="5"/>
        <v>28017.36</v>
      </c>
      <c r="O21" s="124" t="s">
        <v>507</v>
      </c>
    </row>
    <row r="22" s="21" customFormat="1" ht="42" customHeight="1" spans="1:15">
      <c r="A22" s="48">
        <v>1.15</v>
      </c>
      <c r="B22" s="29" t="s">
        <v>508</v>
      </c>
      <c r="C22" s="29" t="s">
        <v>509</v>
      </c>
      <c r="D22" s="27" t="s">
        <v>298</v>
      </c>
      <c r="E22" s="25">
        <v>4</v>
      </c>
      <c r="F22" s="30">
        <v>100</v>
      </c>
      <c r="G22" s="31">
        <f t="shared" si="3"/>
        <v>1200</v>
      </c>
      <c r="H22" s="30">
        <v>1200</v>
      </c>
      <c r="I22" s="54">
        <v>0</v>
      </c>
      <c r="J22" s="53">
        <v>0</v>
      </c>
      <c r="K22" s="53">
        <f>(F22+G22+J22)*K5</f>
        <v>26</v>
      </c>
      <c r="L22" s="53">
        <f>(F22+G22+J22+K22)*L5</f>
        <v>119.34</v>
      </c>
      <c r="M22" s="55">
        <f t="shared" si="4"/>
        <v>1445.34</v>
      </c>
      <c r="N22" s="53">
        <f t="shared" si="5"/>
        <v>5781.36</v>
      </c>
      <c r="O22" s="123" t="s">
        <v>510</v>
      </c>
    </row>
    <row r="23" s="21" customFormat="1" ht="42" customHeight="1" spans="1:15">
      <c r="A23" s="48">
        <v>1.15</v>
      </c>
      <c r="B23" s="29" t="s">
        <v>508</v>
      </c>
      <c r="C23" s="29" t="s">
        <v>511</v>
      </c>
      <c r="D23" s="27" t="s">
        <v>298</v>
      </c>
      <c r="E23" s="25">
        <v>5</v>
      </c>
      <c r="F23" s="30">
        <v>50</v>
      </c>
      <c r="G23" s="31">
        <f t="shared" si="3"/>
        <v>125</v>
      </c>
      <c r="H23" s="30">
        <v>125</v>
      </c>
      <c r="I23" s="54">
        <v>0</v>
      </c>
      <c r="J23" s="53">
        <v>0</v>
      </c>
      <c r="K23" s="53">
        <f>(F23+G23+J23)*K5</f>
        <v>3.5</v>
      </c>
      <c r="L23" s="53">
        <f>(F23+G23+J23+K23)*L5</f>
        <v>16.065</v>
      </c>
      <c r="M23" s="55">
        <f t="shared" si="4"/>
        <v>194.565</v>
      </c>
      <c r="N23" s="53">
        <f t="shared" si="5"/>
        <v>972.825</v>
      </c>
      <c r="O23" s="123" t="s">
        <v>510</v>
      </c>
    </row>
    <row r="24" s="21" customFormat="1" ht="42" customHeight="1" spans="1:15">
      <c r="A24" s="47">
        <v>1.16</v>
      </c>
      <c r="B24" s="29" t="s">
        <v>512</v>
      </c>
      <c r="C24" s="29" t="s">
        <v>513</v>
      </c>
      <c r="D24" s="27" t="s">
        <v>298</v>
      </c>
      <c r="E24" s="25">
        <v>1</v>
      </c>
      <c r="F24" s="30">
        <v>0</v>
      </c>
      <c r="G24" s="31">
        <f t="shared" si="3"/>
        <v>125</v>
      </c>
      <c r="H24" s="30">
        <v>125</v>
      </c>
      <c r="I24" s="54">
        <v>0</v>
      </c>
      <c r="J24" s="53">
        <v>0</v>
      </c>
      <c r="K24" s="53">
        <f>(F24+G24+J24)*K5</f>
        <v>2.5</v>
      </c>
      <c r="L24" s="53">
        <f>(F24+G24+J24+K24)*L5</f>
        <v>11.475</v>
      </c>
      <c r="M24" s="55">
        <f t="shared" si="4"/>
        <v>138.975</v>
      </c>
      <c r="N24" s="53">
        <f t="shared" si="5"/>
        <v>138.975</v>
      </c>
      <c r="O24" s="123" t="s">
        <v>510</v>
      </c>
    </row>
    <row r="25" s="21" customFormat="1" ht="42" customHeight="1" spans="1:15">
      <c r="A25" s="48">
        <v>1.17</v>
      </c>
      <c r="B25" s="29" t="s">
        <v>514</v>
      </c>
      <c r="C25" s="29" t="s">
        <v>515</v>
      </c>
      <c r="D25" s="27" t="s">
        <v>298</v>
      </c>
      <c r="E25" s="25">
        <v>1</v>
      </c>
      <c r="F25" s="30">
        <v>0</v>
      </c>
      <c r="G25" s="31">
        <f t="shared" si="3"/>
        <v>150</v>
      </c>
      <c r="H25" s="30">
        <v>150</v>
      </c>
      <c r="I25" s="54">
        <v>0</v>
      </c>
      <c r="J25" s="53">
        <v>0</v>
      </c>
      <c r="K25" s="53">
        <f>(F25+G25+J25)*K5</f>
        <v>3</v>
      </c>
      <c r="L25" s="53">
        <f>(F25+G25+J25+K25)*L5</f>
        <v>13.77</v>
      </c>
      <c r="M25" s="55">
        <f t="shared" si="4"/>
        <v>166.77</v>
      </c>
      <c r="N25" s="53">
        <f t="shared" si="5"/>
        <v>166.77</v>
      </c>
      <c r="O25" s="123" t="s">
        <v>484</v>
      </c>
    </row>
    <row r="26" s="21" customFormat="1" ht="31" customHeight="1" spans="1:15">
      <c r="A26" s="47">
        <v>1.18</v>
      </c>
      <c r="B26" s="26" t="s">
        <v>516</v>
      </c>
      <c r="C26" s="26" t="s">
        <v>517</v>
      </c>
      <c r="D26" s="27" t="s">
        <v>518</v>
      </c>
      <c r="E26" s="34">
        <v>470</v>
      </c>
      <c r="F26" s="30">
        <v>20</v>
      </c>
      <c r="G26" s="31">
        <f t="shared" si="3"/>
        <v>35</v>
      </c>
      <c r="H26" s="30">
        <v>35</v>
      </c>
      <c r="I26" s="54">
        <v>0</v>
      </c>
      <c r="J26" s="53">
        <v>5</v>
      </c>
      <c r="K26" s="53">
        <f>(F26+G26+J26)*K5</f>
        <v>1.2</v>
      </c>
      <c r="L26" s="53">
        <f>(F26+G26+J26+K26)*L5</f>
        <v>5.508</v>
      </c>
      <c r="M26" s="55">
        <f t="shared" si="4"/>
        <v>66.708</v>
      </c>
      <c r="N26" s="53">
        <f t="shared" si="5"/>
        <v>31352.76</v>
      </c>
      <c r="O26" s="64" t="s">
        <v>519</v>
      </c>
    </row>
    <row r="27" s="21" customFormat="1" ht="80" customHeight="1" spans="1:15">
      <c r="A27" s="48">
        <v>1.19</v>
      </c>
      <c r="B27" s="29" t="s">
        <v>520</v>
      </c>
      <c r="C27" s="29" t="s">
        <v>521</v>
      </c>
      <c r="D27" s="27" t="s">
        <v>69</v>
      </c>
      <c r="E27" s="34">
        <v>357</v>
      </c>
      <c r="F27" s="30">
        <v>40</v>
      </c>
      <c r="G27" s="31">
        <f t="shared" si="3"/>
        <v>95</v>
      </c>
      <c r="H27" s="30">
        <v>95</v>
      </c>
      <c r="I27" s="54">
        <v>0</v>
      </c>
      <c r="J27" s="53">
        <v>10</v>
      </c>
      <c r="K27" s="53">
        <f>(F27+G27+J27)*K5</f>
        <v>2.9</v>
      </c>
      <c r="L27" s="53">
        <f>(F27+G27+J27+K27)*L5</f>
        <v>13.311</v>
      </c>
      <c r="M27" s="55">
        <f t="shared" si="4"/>
        <v>161.211</v>
      </c>
      <c r="N27" s="53">
        <f t="shared" si="5"/>
        <v>57552.327</v>
      </c>
      <c r="O27" s="64" t="s">
        <v>522</v>
      </c>
    </row>
    <row r="28" s="19" customFormat="1" ht="21.95" customHeight="1" spans="1:15">
      <c r="A28" s="27">
        <v>2</v>
      </c>
      <c r="B28" s="28" t="s">
        <v>523</v>
      </c>
      <c r="C28" s="29"/>
      <c r="D28" s="27"/>
      <c r="E28" s="25"/>
      <c r="F28" s="30"/>
      <c r="G28" s="31">
        <f t="shared" si="3"/>
        <v>0</v>
      </c>
      <c r="H28" s="30"/>
      <c r="I28" s="54"/>
      <c r="J28" s="53"/>
      <c r="K28" s="53"/>
      <c r="L28" s="53"/>
      <c r="M28" s="55">
        <f t="shared" si="4"/>
        <v>0</v>
      </c>
      <c r="N28" s="53">
        <f t="shared" si="5"/>
        <v>0</v>
      </c>
      <c r="O28" s="56"/>
    </row>
    <row r="29" s="19" customFormat="1" ht="48" customHeight="1" spans="1:15">
      <c r="A29" s="27">
        <v>2.1</v>
      </c>
      <c r="B29" s="49" t="s">
        <v>524</v>
      </c>
      <c r="C29" s="49" t="s">
        <v>525</v>
      </c>
      <c r="D29" s="27" t="s">
        <v>518</v>
      </c>
      <c r="E29" s="34">
        <v>470</v>
      </c>
      <c r="F29" s="30">
        <v>50</v>
      </c>
      <c r="G29" s="31">
        <f t="shared" si="3"/>
        <v>110</v>
      </c>
      <c r="H29" s="30">
        <v>110</v>
      </c>
      <c r="I29" s="54">
        <v>0</v>
      </c>
      <c r="J29" s="53">
        <v>20</v>
      </c>
      <c r="K29" s="53">
        <f>(F29+G29+J29)*K5</f>
        <v>3.6</v>
      </c>
      <c r="L29" s="53">
        <f>(F29+G29+J29+K29)*L5</f>
        <v>16.524</v>
      </c>
      <c r="M29" s="55">
        <f t="shared" si="4"/>
        <v>200.124</v>
      </c>
      <c r="N29" s="53">
        <f t="shared" si="5"/>
        <v>94058.28</v>
      </c>
      <c r="O29" s="65" t="s">
        <v>526</v>
      </c>
    </row>
    <row r="30" s="19" customFormat="1" ht="48.95" customHeight="1" spans="1:15">
      <c r="A30" s="115">
        <v>2.2</v>
      </c>
      <c r="B30" s="29" t="s">
        <v>527</v>
      </c>
      <c r="C30" s="29" t="s">
        <v>528</v>
      </c>
      <c r="D30" s="27" t="s">
        <v>298</v>
      </c>
      <c r="E30" s="50">
        <v>3</v>
      </c>
      <c r="F30" s="30"/>
      <c r="G30" s="31">
        <f t="shared" si="3"/>
        <v>0</v>
      </c>
      <c r="H30" s="30"/>
      <c r="I30" s="54">
        <v>0</v>
      </c>
      <c r="J30" s="53"/>
      <c r="K30" s="53"/>
      <c r="L30" s="53"/>
      <c r="M30" s="55">
        <f t="shared" si="4"/>
        <v>0</v>
      </c>
      <c r="N30" s="53">
        <f t="shared" si="5"/>
        <v>0</v>
      </c>
      <c r="O30" s="56"/>
    </row>
    <row r="31" s="19" customFormat="1" ht="48.95" customHeight="1" spans="1:15">
      <c r="A31" s="27">
        <v>2.3</v>
      </c>
      <c r="B31" s="29" t="s">
        <v>527</v>
      </c>
      <c r="C31" s="29" t="s">
        <v>529</v>
      </c>
      <c r="D31" s="27" t="s">
        <v>298</v>
      </c>
      <c r="E31" s="50">
        <v>6</v>
      </c>
      <c r="F31" s="30"/>
      <c r="G31" s="31">
        <f t="shared" si="3"/>
        <v>0</v>
      </c>
      <c r="H31" s="30"/>
      <c r="I31" s="54">
        <v>0</v>
      </c>
      <c r="J31" s="53"/>
      <c r="K31" s="53"/>
      <c r="L31" s="53"/>
      <c r="M31" s="55">
        <f t="shared" si="4"/>
        <v>0</v>
      </c>
      <c r="N31" s="53">
        <f t="shared" si="5"/>
        <v>0</v>
      </c>
      <c r="O31" s="65" t="s">
        <v>473</v>
      </c>
    </row>
    <row r="32" s="19" customFormat="1" ht="57" customHeight="1" spans="1:15">
      <c r="A32" s="115">
        <v>2.4</v>
      </c>
      <c r="B32" s="29" t="s">
        <v>527</v>
      </c>
      <c r="C32" s="29" t="s">
        <v>530</v>
      </c>
      <c r="D32" s="27" t="s">
        <v>298</v>
      </c>
      <c r="E32" s="50">
        <v>16</v>
      </c>
      <c r="F32" s="30">
        <v>50</v>
      </c>
      <c r="G32" s="31">
        <f t="shared" si="3"/>
        <v>580</v>
      </c>
      <c r="H32" s="30">
        <v>580</v>
      </c>
      <c r="I32" s="54">
        <v>0</v>
      </c>
      <c r="J32" s="53">
        <v>0</v>
      </c>
      <c r="K32" s="53">
        <f>(F32+G32+J32)*K5</f>
        <v>12.6</v>
      </c>
      <c r="L32" s="53">
        <f>(F32+G32+J32+K32)*L5</f>
        <v>57.834</v>
      </c>
      <c r="M32" s="55">
        <f t="shared" si="4"/>
        <v>700.434</v>
      </c>
      <c r="N32" s="53">
        <f t="shared" si="5"/>
        <v>11206.944</v>
      </c>
      <c r="O32" s="56" t="s">
        <v>531</v>
      </c>
    </row>
    <row r="33" s="19" customFormat="1" ht="48.95" customHeight="1" spans="1:15">
      <c r="A33" s="27">
        <v>2.5</v>
      </c>
      <c r="B33" s="29" t="s">
        <v>527</v>
      </c>
      <c r="C33" s="49" t="s">
        <v>532</v>
      </c>
      <c r="D33" s="27" t="s">
        <v>298</v>
      </c>
      <c r="E33" s="50">
        <v>23</v>
      </c>
      <c r="F33" s="30">
        <v>5</v>
      </c>
      <c r="G33" s="31">
        <f t="shared" si="3"/>
        <v>88</v>
      </c>
      <c r="H33" s="30">
        <v>88</v>
      </c>
      <c r="I33" s="54">
        <v>0</v>
      </c>
      <c r="J33" s="53">
        <v>0</v>
      </c>
      <c r="K33" s="53">
        <f>(F33+G33+J33)*K5</f>
        <v>1.86</v>
      </c>
      <c r="L33" s="53">
        <f>(F33+G33+J33+K33)*L5</f>
        <v>8.5374</v>
      </c>
      <c r="M33" s="55">
        <f t="shared" si="4"/>
        <v>103.3974</v>
      </c>
      <c r="N33" s="53">
        <f t="shared" si="5"/>
        <v>2378.1402</v>
      </c>
      <c r="O33" s="56" t="s">
        <v>533</v>
      </c>
    </row>
    <row r="34" s="19" customFormat="1" ht="48.95" customHeight="1" spans="1:15">
      <c r="A34" s="115">
        <v>2.6</v>
      </c>
      <c r="B34" s="29" t="s">
        <v>527</v>
      </c>
      <c r="C34" s="49" t="s">
        <v>534</v>
      </c>
      <c r="D34" s="27" t="s">
        <v>298</v>
      </c>
      <c r="E34" s="50">
        <v>6</v>
      </c>
      <c r="F34" s="30">
        <v>10</v>
      </c>
      <c r="G34" s="31">
        <f t="shared" si="3"/>
        <v>245</v>
      </c>
      <c r="H34" s="30">
        <v>245</v>
      </c>
      <c r="I34" s="54">
        <v>0</v>
      </c>
      <c r="J34" s="53">
        <v>0</v>
      </c>
      <c r="K34" s="53">
        <f>(F34+G34+J34)*K5</f>
        <v>5.1</v>
      </c>
      <c r="L34" s="53">
        <f>(F34+G34+J34+K34)*L5</f>
        <v>23.409</v>
      </c>
      <c r="M34" s="55">
        <f t="shared" si="4"/>
        <v>283.509</v>
      </c>
      <c r="N34" s="53">
        <f t="shared" si="5"/>
        <v>1701.054</v>
      </c>
      <c r="O34" s="56" t="s">
        <v>531</v>
      </c>
    </row>
    <row r="35" s="19" customFormat="1" ht="48.95" customHeight="1" spans="1:15">
      <c r="A35" s="27">
        <v>2.7</v>
      </c>
      <c r="B35" s="29" t="s">
        <v>527</v>
      </c>
      <c r="C35" s="49" t="s">
        <v>535</v>
      </c>
      <c r="D35" s="27" t="s">
        <v>298</v>
      </c>
      <c r="E35" s="50">
        <v>122</v>
      </c>
      <c r="F35" s="30">
        <v>5</v>
      </c>
      <c r="G35" s="31">
        <f t="shared" si="3"/>
        <v>120</v>
      </c>
      <c r="H35" s="30">
        <v>120</v>
      </c>
      <c r="I35" s="54">
        <v>0</v>
      </c>
      <c r="J35" s="53">
        <v>0</v>
      </c>
      <c r="K35" s="53">
        <f>(F35+G35+J35)*K5</f>
        <v>2.5</v>
      </c>
      <c r="L35" s="53">
        <f>(F35+G35+J35+K35)*L5</f>
        <v>11.475</v>
      </c>
      <c r="M35" s="55">
        <f t="shared" si="4"/>
        <v>138.975</v>
      </c>
      <c r="N35" s="53">
        <f t="shared" si="5"/>
        <v>16954.95</v>
      </c>
      <c r="O35" s="56" t="s">
        <v>533</v>
      </c>
    </row>
    <row r="36" s="19" customFormat="1" ht="48.95" customHeight="1" spans="1:15">
      <c r="A36" s="115">
        <v>2.8</v>
      </c>
      <c r="B36" s="29" t="s">
        <v>527</v>
      </c>
      <c r="C36" s="49" t="s">
        <v>536</v>
      </c>
      <c r="D36" s="27" t="s">
        <v>298</v>
      </c>
      <c r="E36" s="50">
        <v>1</v>
      </c>
      <c r="F36" s="30"/>
      <c r="G36" s="31">
        <f t="shared" si="3"/>
        <v>0</v>
      </c>
      <c r="H36" s="30"/>
      <c r="I36" s="54">
        <v>0</v>
      </c>
      <c r="J36" s="53"/>
      <c r="K36" s="53"/>
      <c r="L36" s="53"/>
      <c r="M36" s="55">
        <f t="shared" si="4"/>
        <v>0</v>
      </c>
      <c r="N36" s="53">
        <f t="shared" si="5"/>
        <v>0</v>
      </c>
      <c r="O36" s="56"/>
    </row>
    <row r="37" s="19" customFormat="1" ht="48.95" customHeight="1" spans="1:15">
      <c r="A37" s="27">
        <v>2.9</v>
      </c>
      <c r="B37" s="29" t="s">
        <v>527</v>
      </c>
      <c r="C37" s="49" t="s">
        <v>537</v>
      </c>
      <c r="D37" s="27" t="s">
        <v>298</v>
      </c>
      <c r="E37" s="50">
        <v>1</v>
      </c>
      <c r="F37" s="30"/>
      <c r="G37" s="31">
        <f t="shared" si="3"/>
        <v>0</v>
      </c>
      <c r="H37" s="30"/>
      <c r="I37" s="54">
        <v>0</v>
      </c>
      <c r="J37" s="53"/>
      <c r="K37" s="53"/>
      <c r="L37" s="53"/>
      <c r="M37" s="55">
        <f t="shared" si="4"/>
        <v>0</v>
      </c>
      <c r="N37" s="53">
        <f t="shared" si="5"/>
        <v>0</v>
      </c>
      <c r="O37" s="56"/>
    </row>
    <row r="38" s="19" customFormat="1" ht="48.95" customHeight="1" spans="1:15">
      <c r="A38" s="47">
        <v>2.1</v>
      </c>
      <c r="B38" s="29" t="s">
        <v>527</v>
      </c>
      <c r="C38" s="49" t="s">
        <v>538</v>
      </c>
      <c r="D38" s="27" t="s">
        <v>298</v>
      </c>
      <c r="E38" s="50">
        <v>1</v>
      </c>
      <c r="F38" s="30"/>
      <c r="G38" s="31">
        <f t="shared" si="3"/>
        <v>0</v>
      </c>
      <c r="H38" s="30"/>
      <c r="I38" s="54"/>
      <c r="J38" s="53"/>
      <c r="K38" s="53"/>
      <c r="L38" s="53"/>
      <c r="M38" s="55">
        <f t="shared" si="4"/>
        <v>0</v>
      </c>
      <c r="N38" s="53">
        <f t="shared" si="5"/>
        <v>0</v>
      </c>
      <c r="O38" s="56"/>
    </row>
    <row r="39" s="19" customFormat="1" ht="48.95" customHeight="1" spans="1:15">
      <c r="A39" s="27">
        <v>2.11</v>
      </c>
      <c r="B39" s="29" t="s">
        <v>527</v>
      </c>
      <c r="C39" s="49" t="s">
        <v>539</v>
      </c>
      <c r="D39" s="27" t="s">
        <v>298</v>
      </c>
      <c r="E39" s="50">
        <v>1</v>
      </c>
      <c r="F39" s="30"/>
      <c r="G39" s="31">
        <f t="shared" si="3"/>
        <v>0</v>
      </c>
      <c r="H39" s="30"/>
      <c r="I39" s="54"/>
      <c r="J39" s="53"/>
      <c r="K39" s="53"/>
      <c r="L39" s="53"/>
      <c r="M39" s="55">
        <f t="shared" si="4"/>
        <v>0</v>
      </c>
      <c r="N39" s="53">
        <f t="shared" si="5"/>
        <v>0</v>
      </c>
      <c r="O39" s="56"/>
    </row>
    <row r="40" s="19" customFormat="1" ht="48.95" customHeight="1" spans="1:15">
      <c r="A40" s="47">
        <v>2.12</v>
      </c>
      <c r="B40" s="29" t="s">
        <v>527</v>
      </c>
      <c r="C40" s="49" t="s">
        <v>540</v>
      </c>
      <c r="D40" s="27" t="s">
        <v>298</v>
      </c>
      <c r="E40" s="50">
        <v>1</v>
      </c>
      <c r="F40" s="30"/>
      <c r="G40" s="31">
        <f t="shared" ref="G40:G67" si="6">H40*(1+I40)</f>
        <v>0</v>
      </c>
      <c r="H40" s="30"/>
      <c r="I40" s="54"/>
      <c r="J40" s="53"/>
      <c r="K40" s="53"/>
      <c r="L40" s="53"/>
      <c r="M40" s="55">
        <f t="shared" ref="M40:M67" si="7">F40+G40+J40+K40+L40</f>
        <v>0</v>
      </c>
      <c r="N40" s="53">
        <f t="shared" ref="N40:N67" si="8">E40*M40</f>
        <v>0</v>
      </c>
      <c r="O40" s="56"/>
    </row>
    <row r="41" s="19" customFormat="1" ht="48.95" customHeight="1" spans="1:15">
      <c r="A41" s="27">
        <v>2.13</v>
      </c>
      <c r="B41" s="29" t="s">
        <v>527</v>
      </c>
      <c r="C41" s="49" t="s">
        <v>541</v>
      </c>
      <c r="D41" s="27" t="s">
        <v>298</v>
      </c>
      <c r="E41" s="50">
        <v>2</v>
      </c>
      <c r="F41" s="30"/>
      <c r="G41" s="31">
        <f t="shared" si="6"/>
        <v>0</v>
      </c>
      <c r="H41" s="30"/>
      <c r="I41" s="54"/>
      <c r="J41" s="53"/>
      <c r="K41" s="53"/>
      <c r="L41" s="53"/>
      <c r="M41" s="55">
        <f t="shared" si="7"/>
        <v>0</v>
      </c>
      <c r="N41" s="53">
        <f t="shared" si="8"/>
        <v>0</v>
      </c>
      <c r="O41" s="56"/>
    </row>
    <row r="42" s="19" customFormat="1" ht="48.95" customHeight="1" spans="1:15">
      <c r="A42" s="47">
        <v>2.14</v>
      </c>
      <c r="B42" s="29" t="s">
        <v>527</v>
      </c>
      <c r="C42" s="29" t="s">
        <v>542</v>
      </c>
      <c r="D42" s="25" t="s">
        <v>85</v>
      </c>
      <c r="E42" s="34">
        <f>247.92+62.66+1*20-17</f>
        <v>313.58</v>
      </c>
      <c r="F42" s="30">
        <v>5</v>
      </c>
      <c r="G42" s="31">
        <f t="shared" si="6"/>
        <v>70</v>
      </c>
      <c r="H42" s="30">
        <v>70</v>
      </c>
      <c r="I42" s="54">
        <v>0</v>
      </c>
      <c r="J42" s="53">
        <v>0</v>
      </c>
      <c r="K42" s="53">
        <f>(F42+G42+J42)*K5</f>
        <v>1.5</v>
      </c>
      <c r="L42" s="53">
        <f>(F42+G42+J42+K42)*L5</f>
        <v>6.885</v>
      </c>
      <c r="M42" s="55">
        <f t="shared" si="7"/>
        <v>83.385</v>
      </c>
      <c r="N42" s="53">
        <f t="shared" si="8"/>
        <v>26147.8683</v>
      </c>
      <c r="O42" s="56" t="s">
        <v>531</v>
      </c>
    </row>
    <row r="43" s="108" customFormat="1" ht="48.95" customHeight="1" spans="1:15">
      <c r="A43" s="27">
        <v>2.15</v>
      </c>
      <c r="B43" s="29" t="s">
        <v>543</v>
      </c>
      <c r="C43" s="49" t="s">
        <v>544</v>
      </c>
      <c r="D43" s="27" t="s">
        <v>472</v>
      </c>
      <c r="E43" s="50">
        <v>5</v>
      </c>
      <c r="F43" s="30">
        <v>100</v>
      </c>
      <c r="G43" s="31">
        <f t="shared" si="6"/>
        <v>1500</v>
      </c>
      <c r="H43" s="30">
        <v>1500</v>
      </c>
      <c r="I43" s="54">
        <v>0</v>
      </c>
      <c r="J43" s="53">
        <v>0</v>
      </c>
      <c r="K43" s="53">
        <f>(F43+G43+J43)*K5</f>
        <v>32</v>
      </c>
      <c r="L43" s="53">
        <f>(F43+G43+J43+K43)*L5</f>
        <v>146.88</v>
      </c>
      <c r="M43" s="55">
        <f t="shared" si="7"/>
        <v>1778.88</v>
      </c>
      <c r="N43" s="53">
        <f t="shared" si="8"/>
        <v>8894.4</v>
      </c>
      <c r="O43" s="56"/>
    </row>
    <row r="44" s="19" customFormat="1" ht="48.95" customHeight="1" spans="1:15">
      <c r="A44" s="47">
        <v>2.16</v>
      </c>
      <c r="B44" s="29" t="s">
        <v>543</v>
      </c>
      <c r="C44" s="29" t="s">
        <v>545</v>
      </c>
      <c r="D44" s="27" t="s">
        <v>298</v>
      </c>
      <c r="E44" s="50">
        <v>5</v>
      </c>
      <c r="F44" s="30">
        <v>3</v>
      </c>
      <c r="G44" s="31">
        <f t="shared" si="6"/>
        <v>45</v>
      </c>
      <c r="H44" s="30">
        <v>45</v>
      </c>
      <c r="I44" s="54">
        <v>0</v>
      </c>
      <c r="J44" s="53">
        <v>0</v>
      </c>
      <c r="K44" s="53">
        <f>(F44+G44+J44)*K5</f>
        <v>0.96</v>
      </c>
      <c r="L44" s="53">
        <f>(F44+G44+J44+K44)*L5</f>
        <v>4.4064</v>
      </c>
      <c r="M44" s="55">
        <f t="shared" si="7"/>
        <v>53.3664</v>
      </c>
      <c r="N44" s="53">
        <f t="shared" si="8"/>
        <v>266.832</v>
      </c>
      <c r="O44" s="56" t="s">
        <v>546</v>
      </c>
    </row>
    <row r="45" s="19" customFormat="1" ht="48.95" customHeight="1" spans="1:15">
      <c r="A45" s="27">
        <v>2.17</v>
      </c>
      <c r="B45" s="29" t="s">
        <v>543</v>
      </c>
      <c r="C45" s="29" t="s">
        <v>547</v>
      </c>
      <c r="D45" s="27" t="s">
        <v>298</v>
      </c>
      <c r="E45" s="50">
        <v>2</v>
      </c>
      <c r="F45" s="30">
        <v>3</v>
      </c>
      <c r="G45" s="31">
        <f t="shared" si="6"/>
        <v>55</v>
      </c>
      <c r="H45" s="30">
        <v>55</v>
      </c>
      <c r="I45" s="54">
        <v>0</v>
      </c>
      <c r="J45" s="53">
        <v>0</v>
      </c>
      <c r="K45" s="53">
        <f>(F45+G45+J45)*K5</f>
        <v>1.16</v>
      </c>
      <c r="L45" s="53">
        <f>(F45+G45+J45+K45)*L5</f>
        <v>5.3244</v>
      </c>
      <c r="M45" s="55">
        <f t="shared" si="7"/>
        <v>64.4844</v>
      </c>
      <c r="N45" s="53">
        <f t="shared" si="8"/>
        <v>128.9688</v>
      </c>
      <c r="O45" s="56" t="s">
        <v>546</v>
      </c>
    </row>
    <row r="46" s="19" customFormat="1" ht="54" customHeight="1" spans="1:15">
      <c r="A46" s="47">
        <v>2.18</v>
      </c>
      <c r="B46" s="29" t="s">
        <v>543</v>
      </c>
      <c r="C46" s="29" t="s">
        <v>548</v>
      </c>
      <c r="D46" s="27" t="s">
        <v>298</v>
      </c>
      <c r="E46" s="50">
        <v>12</v>
      </c>
      <c r="F46" s="30">
        <v>3</v>
      </c>
      <c r="G46" s="31">
        <f t="shared" si="6"/>
        <v>78</v>
      </c>
      <c r="H46" s="30">
        <v>78</v>
      </c>
      <c r="I46" s="54">
        <v>0</v>
      </c>
      <c r="J46" s="53">
        <v>0</v>
      </c>
      <c r="K46" s="53">
        <f>(F46+G46+J46)*K5</f>
        <v>1.62</v>
      </c>
      <c r="L46" s="53">
        <f>(F46+G46+J46+K46)*L5</f>
        <v>7.4358</v>
      </c>
      <c r="M46" s="55">
        <f t="shared" si="7"/>
        <v>90.0558</v>
      </c>
      <c r="N46" s="53">
        <f t="shared" si="8"/>
        <v>1080.6696</v>
      </c>
      <c r="O46" s="56" t="s">
        <v>546</v>
      </c>
    </row>
    <row r="47" s="19" customFormat="1" ht="48.95" customHeight="1" spans="1:15">
      <c r="A47" s="27">
        <v>2.19</v>
      </c>
      <c r="B47" s="29" t="s">
        <v>543</v>
      </c>
      <c r="C47" s="29" t="s">
        <v>549</v>
      </c>
      <c r="D47" s="27" t="s">
        <v>298</v>
      </c>
      <c r="E47" s="50">
        <v>6</v>
      </c>
      <c r="F47" s="30">
        <v>3</v>
      </c>
      <c r="G47" s="31">
        <f t="shared" si="6"/>
        <v>88</v>
      </c>
      <c r="H47" s="30">
        <v>88</v>
      </c>
      <c r="I47" s="54">
        <v>0</v>
      </c>
      <c r="J47" s="53">
        <v>0</v>
      </c>
      <c r="K47" s="53">
        <f>(F47+G47+J47)*K5</f>
        <v>1.82</v>
      </c>
      <c r="L47" s="53">
        <f>(F47+G47+J47+K47)*L5</f>
        <v>8.3538</v>
      </c>
      <c r="M47" s="55">
        <f t="shared" si="7"/>
        <v>101.1738</v>
      </c>
      <c r="N47" s="53">
        <f t="shared" si="8"/>
        <v>607.0428</v>
      </c>
      <c r="O47" s="56" t="s">
        <v>546</v>
      </c>
    </row>
    <row r="48" s="19" customFormat="1" ht="48.95" customHeight="1" spans="1:15">
      <c r="A48" s="47">
        <v>2.2</v>
      </c>
      <c r="B48" s="29" t="s">
        <v>543</v>
      </c>
      <c r="C48" s="29" t="s">
        <v>550</v>
      </c>
      <c r="D48" s="27" t="s">
        <v>298</v>
      </c>
      <c r="E48" s="50">
        <v>7</v>
      </c>
      <c r="F48" s="30">
        <v>3</v>
      </c>
      <c r="G48" s="31">
        <f t="shared" si="6"/>
        <v>98</v>
      </c>
      <c r="H48" s="30">
        <v>98</v>
      </c>
      <c r="I48" s="54">
        <v>0</v>
      </c>
      <c r="J48" s="53">
        <v>0</v>
      </c>
      <c r="K48" s="53">
        <f>(F48+G48+J48)*K5</f>
        <v>2.02</v>
      </c>
      <c r="L48" s="53">
        <f>(F48+G48+J48+K48)*L5</f>
        <v>9.2718</v>
      </c>
      <c r="M48" s="55">
        <f t="shared" si="7"/>
        <v>112.2918</v>
      </c>
      <c r="N48" s="53">
        <f t="shared" si="8"/>
        <v>786.0426</v>
      </c>
      <c r="O48" s="56" t="s">
        <v>546</v>
      </c>
    </row>
    <row r="49" s="19" customFormat="1" ht="60" customHeight="1" spans="1:15">
      <c r="A49" s="27">
        <v>2.21</v>
      </c>
      <c r="B49" s="29" t="s">
        <v>543</v>
      </c>
      <c r="C49" s="29" t="s">
        <v>551</v>
      </c>
      <c r="D49" s="27" t="s">
        <v>298</v>
      </c>
      <c r="E49" s="50">
        <v>21</v>
      </c>
      <c r="F49" s="30">
        <v>3</v>
      </c>
      <c r="G49" s="31">
        <f t="shared" si="6"/>
        <v>110</v>
      </c>
      <c r="H49" s="30">
        <v>110</v>
      </c>
      <c r="I49" s="54">
        <v>0</v>
      </c>
      <c r="J49" s="53">
        <v>0</v>
      </c>
      <c r="K49" s="53">
        <f>(F49+G49+J49)*K5</f>
        <v>2.26</v>
      </c>
      <c r="L49" s="53">
        <f>(F49+G49+J49+K49)*L5</f>
        <v>10.3734</v>
      </c>
      <c r="M49" s="55">
        <f t="shared" si="7"/>
        <v>125.6334</v>
      </c>
      <c r="N49" s="53">
        <f t="shared" si="8"/>
        <v>2638.3014</v>
      </c>
      <c r="O49" s="56" t="s">
        <v>546</v>
      </c>
    </row>
    <row r="50" s="19" customFormat="1" ht="48.95" customHeight="1" spans="1:15">
      <c r="A50" s="27">
        <v>2.23</v>
      </c>
      <c r="B50" s="29" t="s">
        <v>543</v>
      </c>
      <c r="C50" s="29" t="s">
        <v>552</v>
      </c>
      <c r="D50" s="27" t="s">
        <v>298</v>
      </c>
      <c r="E50" s="50">
        <v>95</v>
      </c>
      <c r="F50" s="30">
        <v>3</v>
      </c>
      <c r="G50" s="31">
        <f t="shared" si="6"/>
        <v>52</v>
      </c>
      <c r="H50" s="30">
        <v>52</v>
      </c>
      <c r="I50" s="54">
        <v>0</v>
      </c>
      <c r="J50" s="53">
        <v>0</v>
      </c>
      <c r="K50" s="53">
        <f>(F50+G50+J50)*K5</f>
        <v>1.1</v>
      </c>
      <c r="L50" s="53">
        <f>(F50+G50+J50+K50)*L5</f>
        <v>5.049</v>
      </c>
      <c r="M50" s="55">
        <f t="shared" si="7"/>
        <v>61.149</v>
      </c>
      <c r="N50" s="53">
        <f t="shared" si="8"/>
        <v>5809.155</v>
      </c>
      <c r="O50" s="56" t="s">
        <v>546</v>
      </c>
    </row>
    <row r="51" s="19" customFormat="1" ht="48.95" customHeight="1" spans="1:15">
      <c r="A51" s="47">
        <v>2.24</v>
      </c>
      <c r="B51" s="29" t="s">
        <v>543</v>
      </c>
      <c r="C51" s="29" t="s">
        <v>553</v>
      </c>
      <c r="D51" s="27" t="s">
        <v>298</v>
      </c>
      <c r="E51" s="50">
        <v>17</v>
      </c>
      <c r="F51" s="30">
        <v>3</v>
      </c>
      <c r="G51" s="31">
        <f t="shared" si="6"/>
        <v>92</v>
      </c>
      <c r="H51" s="30">
        <v>92</v>
      </c>
      <c r="I51" s="54">
        <v>0</v>
      </c>
      <c r="J51" s="53">
        <v>0</v>
      </c>
      <c r="K51" s="53">
        <f>(F51+G51+J51)*K5</f>
        <v>1.9</v>
      </c>
      <c r="L51" s="53">
        <f>(F51+G51+J51+K51)*L5</f>
        <v>8.721</v>
      </c>
      <c r="M51" s="55">
        <f t="shared" si="7"/>
        <v>105.621</v>
      </c>
      <c r="N51" s="53">
        <f t="shared" si="8"/>
        <v>1795.557</v>
      </c>
      <c r="O51" s="56" t="s">
        <v>546</v>
      </c>
    </row>
    <row r="52" s="19" customFormat="1" ht="48.95" customHeight="1" spans="1:15">
      <c r="A52" s="27">
        <v>2.25</v>
      </c>
      <c r="B52" s="29" t="s">
        <v>543</v>
      </c>
      <c r="C52" s="29" t="s">
        <v>554</v>
      </c>
      <c r="D52" s="27" t="s">
        <v>298</v>
      </c>
      <c r="E52" s="50">
        <f>21+4+1</f>
        <v>26</v>
      </c>
      <c r="F52" s="30">
        <v>3</v>
      </c>
      <c r="G52" s="31">
        <f t="shared" si="6"/>
        <v>72</v>
      </c>
      <c r="H52" s="30">
        <v>72</v>
      </c>
      <c r="I52" s="54">
        <v>0</v>
      </c>
      <c r="J52" s="53">
        <v>0</v>
      </c>
      <c r="K52" s="53">
        <f>(F52+G52+J52)*K5</f>
        <v>1.5</v>
      </c>
      <c r="L52" s="53">
        <f>(F52+G52+J52+K52)*L5</f>
        <v>6.885</v>
      </c>
      <c r="M52" s="55">
        <f t="shared" si="7"/>
        <v>83.385</v>
      </c>
      <c r="N52" s="53">
        <f t="shared" si="8"/>
        <v>2168.01</v>
      </c>
      <c r="O52" s="56" t="s">
        <v>546</v>
      </c>
    </row>
    <row r="53" s="19" customFormat="1" ht="48.95" customHeight="1" spans="1:15">
      <c r="A53" s="47">
        <v>2.26</v>
      </c>
      <c r="B53" s="29" t="s">
        <v>543</v>
      </c>
      <c r="C53" s="29" t="s">
        <v>555</v>
      </c>
      <c r="D53" s="27" t="s">
        <v>298</v>
      </c>
      <c r="E53" s="50">
        <v>8</v>
      </c>
      <c r="F53" s="30">
        <v>3</v>
      </c>
      <c r="G53" s="31">
        <f t="shared" si="6"/>
        <v>200</v>
      </c>
      <c r="H53" s="30">
        <v>200</v>
      </c>
      <c r="I53" s="54">
        <v>0</v>
      </c>
      <c r="J53" s="53">
        <v>0</v>
      </c>
      <c r="K53" s="53">
        <f>(F53+G53+J53)*K5</f>
        <v>4.06</v>
      </c>
      <c r="L53" s="53">
        <f>(F53+G53+J53+K53)*L5</f>
        <v>18.6354</v>
      </c>
      <c r="M53" s="55">
        <f t="shared" si="7"/>
        <v>225.6954</v>
      </c>
      <c r="N53" s="53">
        <f t="shared" si="8"/>
        <v>1805.5632</v>
      </c>
      <c r="O53" s="56" t="s">
        <v>546</v>
      </c>
    </row>
    <row r="54" s="19" customFormat="1" ht="48.95" customHeight="1" spans="1:15">
      <c r="A54" s="27">
        <v>2.27</v>
      </c>
      <c r="B54" s="29" t="s">
        <v>543</v>
      </c>
      <c r="C54" s="29" t="s">
        <v>556</v>
      </c>
      <c r="D54" s="27" t="s">
        <v>298</v>
      </c>
      <c r="E54" s="50">
        <v>8</v>
      </c>
      <c r="F54" s="30">
        <v>15</v>
      </c>
      <c r="G54" s="31">
        <f t="shared" si="6"/>
        <v>300</v>
      </c>
      <c r="H54" s="30">
        <v>300</v>
      </c>
      <c r="I54" s="54">
        <v>0</v>
      </c>
      <c r="J54" s="53">
        <v>0</v>
      </c>
      <c r="K54" s="53">
        <f>(F54+G54+J54)*K5</f>
        <v>6.3</v>
      </c>
      <c r="L54" s="53">
        <f>(F54+G54+J54+K54)*L5</f>
        <v>28.917</v>
      </c>
      <c r="M54" s="55">
        <f t="shared" si="7"/>
        <v>350.217</v>
      </c>
      <c r="N54" s="53">
        <f t="shared" si="8"/>
        <v>2801.736</v>
      </c>
      <c r="O54" s="56"/>
    </row>
    <row r="55" s="19" customFormat="1" ht="48.95" customHeight="1" spans="1:15">
      <c r="A55" s="47">
        <v>2.28</v>
      </c>
      <c r="B55" s="29" t="s">
        <v>543</v>
      </c>
      <c r="C55" s="29" t="s">
        <v>557</v>
      </c>
      <c r="D55" s="27" t="s">
        <v>298</v>
      </c>
      <c r="E55" s="50">
        <v>9</v>
      </c>
      <c r="F55" s="30">
        <v>3</v>
      </c>
      <c r="G55" s="31">
        <f t="shared" si="6"/>
        <v>75</v>
      </c>
      <c r="H55" s="30">
        <v>75</v>
      </c>
      <c r="I55" s="54">
        <v>0</v>
      </c>
      <c r="J55" s="53">
        <v>0</v>
      </c>
      <c r="K55" s="53">
        <f>(F55+G55+J55)*K5</f>
        <v>1.56</v>
      </c>
      <c r="L55" s="53">
        <f>(F55+G55+J55+K55)*L5</f>
        <v>7.1604</v>
      </c>
      <c r="M55" s="55">
        <f t="shared" si="7"/>
        <v>86.7204</v>
      </c>
      <c r="N55" s="53">
        <f t="shared" si="8"/>
        <v>780.4836</v>
      </c>
      <c r="O55" s="56" t="s">
        <v>546</v>
      </c>
    </row>
    <row r="56" s="19" customFormat="1" ht="48.95" customHeight="1" spans="1:15">
      <c r="A56" s="47">
        <v>2.3</v>
      </c>
      <c r="B56" s="29" t="s">
        <v>543</v>
      </c>
      <c r="C56" s="29" t="s">
        <v>558</v>
      </c>
      <c r="D56" s="27" t="s">
        <v>298</v>
      </c>
      <c r="E56" s="50">
        <v>10</v>
      </c>
      <c r="F56" s="30">
        <v>3</v>
      </c>
      <c r="G56" s="31">
        <f t="shared" si="6"/>
        <v>75</v>
      </c>
      <c r="H56" s="30">
        <v>75</v>
      </c>
      <c r="I56" s="54">
        <v>0</v>
      </c>
      <c r="J56" s="53">
        <v>0</v>
      </c>
      <c r="K56" s="53">
        <f>(F56+G56+J56)*K5</f>
        <v>1.56</v>
      </c>
      <c r="L56" s="53">
        <f>(F56+G56+J56+K56)*L5</f>
        <v>7.1604</v>
      </c>
      <c r="M56" s="55">
        <f t="shared" si="7"/>
        <v>86.7204</v>
      </c>
      <c r="N56" s="53">
        <f t="shared" si="8"/>
        <v>867.204</v>
      </c>
      <c r="O56" s="56" t="s">
        <v>546</v>
      </c>
    </row>
    <row r="57" s="19" customFormat="1" ht="57" customHeight="1" spans="1:15">
      <c r="A57" s="27">
        <v>2.31</v>
      </c>
      <c r="B57" s="29" t="s">
        <v>543</v>
      </c>
      <c r="C57" s="29" t="s">
        <v>559</v>
      </c>
      <c r="D57" s="27" t="s">
        <v>336</v>
      </c>
      <c r="E57" s="50">
        <v>1</v>
      </c>
      <c r="F57" s="30"/>
      <c r="G57" s="31">
        <f t="shared" si="6"/>
        <v>0</v>
      </c>
      <c r="H57" s="30"/>
      <c r="I57" s="54"/>
      <c r="J57" s="53"/>
      <c r="K57" s="53"/>
      <c r="L57" s="53"/>
      <c r="M57" s="55">
        <f t="shared" si="7"/>
        <v>0</v>
      </c>
      <c r="N57" s="53">
        <f t="shared" si="8"/>
        <v>0</v>
      </c>
      <c r="O57" s="56"/>
    </row>
    <row r="58" s="19" customFormat="1" ht="48.95" customHeight="1" spans="1:15">
      <c r="A58" s="47">
        <v>2.32</v>
      </c>
      <c r="B58" s="29" t="s">
        <v>543</v>
      </c>
      <c r="C58" s="29" t="s">
        <v>560</v>
      </c>
      <c r="D58" s="27" t="s">
        <v>336</v>
      </c>
      <c r="E58" s="50">
        <v>1</v>
      </c>
      <c r="F58" s="30"/>
      <c r="G58" s="31">
        <f t="shared" si="6"/>
        <v>0</v>
      </c>
      <c r="H58" s="30"/>
      <c r="I58" s="54"/>
      <c r="J58" s="53"/>
      <c r="K58" s="53"/>
      <c r="L58" s="53"/>
      <c r="M58" s="55">
        <f t="shared" si="7"/>
        <v>0</v>
      </c>
      <c r="N58" s="53">
        <f t="shared" si="8"/>
        <v>0</v>
      </c>
      <c r="O58" s="56"/>
    </row>
    <row r="59" s="19" customFormat="1" ht="36" spans="1:15">
      <c r="A59" s="27">
        <v>2.33</v>
      </c>
      <c r="B59" s="29" t="s">
        <v>543</v>
      </c>
      <c r="C59" s="29" t="s">
        <v>561</v>
      </c>
      <c r="D59" s="27" t="s">
        <v>336</v>
      </c>
      <c r="E59" s="50">
        <v>1</v>
      </c>
      <c r="F59" s="30"/>
      <c r="G59" s="31">
        <f t="shared" si="6"/>
        <v>0</v>
      </c>
      <c r="H59" s="30"/>
      <c r="I59" s="54"/>
      <c r="J59" s="53"/>
      <c r="K59" s="53"/>
      <c r="L59" s="53"/>
      <c r="M59" s="55">
        <f t="shared" si="7"/>
        <v>0</v>
      </c>
      <c r="N59" s="53">
        <f t="shared" si="8"/>
        <v>0</v>
      </c>
      <c r="O59" s="56"/>
    </row>
    <row r="60" s="19" customFormat="1" ht="59" customHeight="1" spans="1:15">
      <c r="A60" s="47">
        <v>2.33999999999999</v>
      </c>
      <c r="B60" s="29" t="s">
        <v>543</v>
      </c>
      <c r="C60" s="29" t="s">
        <v>562</v>
      </c>
      <c r="D60" s="27" t="s">
        <v>336</v>
      </c>
      <c r="E60" s="50">
        <v>1</v>
      </c>
      <c r="F60" s="30"/>
      <c r="G60" s="31">
        <f t="shared" si="6"/>
        <v>0</v>
      </c>
      <c r="H60" s="30"/>
      <c r="I60" s="54"/>
      <c r="J60" s="53"/>
      <c r="K60" s="53"/>
      <c r="L60" s="53"/>
      <c r="M60" s="55">
        <f t="shared" si="7"/>
        <v>0</v>
      </c>
      <c r="N60" s="53">
        <f t="shared" si="8"/>
        <v>0</v>
      </c>
      <c r="O60" s="56"/>
    </row>
    <row r="61" s="19" customFormat="1" ht="36" spans="1:15">
      <c r="A61" s="27">
        <v>2.34999999999999</v>
      </c>
      <c r="B61" s="29" t="s">
        <v>543</v>
      </c>
      <c r="C61" s="29" t="s">
        <v>563</v>
      </c>
      <c r="D61" s="27" t="s">
        <v>298</v>
      </c>
      <c r="E61" s="50">
        <v>60</v>
      </c>
      <c r="F61" s="30"/>
      <c r="G61" s="31">
        <f t="shared" si="6"/>
        <v>0</v>
      </c>
      <c r="H61" s="30"/>
      <c r="I61" s="54"/>
      <c r="J61" s="53"/>
      <c r="K61" s="53"/>
      <c r="L61" s="53"/>
      <c r="M61" s="55">
        <f t="shared" si="7"/>
        <v>0</v>
      </c>
      <c r="N61" s="53">
        <f t="shared" si="8"/>
        <v>0</v>
      </c>
      <c r="O61" s="56"/>
    </row>
    <row r="62" s="19" customFormat="1" ht="30" customHeight="1" spans="1:15">
      <c r="A62" s="27" t="s">
        <v>564</v>
      </c>
      <c r="B62" s="114" t="s">
        <v>565</v>
      </c>
      <c r="C62" s="114" t="s">
        <v>566</v>
      </c>
      <c r="D62" s="116" t="s">
        <v>336</v>
      </c>
      <c r="E62" s="117">
        <v>1</v>
      </c>
      <c r="F62" s="39">
        <v>0</v>
      </c>
      <c r="G62" s="40">
        <f t="shared" si="6"/>
        <v>35000</v>
      </c>
      <c r="H62" s="39">
        <v>35000</v>
      </c>
      <c r="I62" s="57">
        <v>0</v>
      </c>
      <c r="J62" s="58">
        <v>0</v>
      </c>
      <c r="K62" s="58">
        <f>(F62+G62+J62)*K5</f>
        <v>700</v>
      </c>
      <c r="L62" s="58">
        <f>(F62+G62+J62+K62)*L5</f>
        <v>3213</v>
      </c>
      <c r="M62" s="59">
        <f t="shared" si="7"/>
        <v>38913</v>
      </c>
      <c r="N62" s="58">
        <f t="shared" si="8"/>
        <v>38913</v>
      </c>
      <c r="O62" s="65" t="s">
        <v>567</v>
      </c>
    </row>
    <row r="63" s="19" customFormat="1" ht="30" customHeight="1" spans="1:15">
      <c r="A63" s="27" t="s">
        <v>564</v>
      </c>
      <c r="B63" s="114" t="s">
        <v>568</v>
      </c>
      <c r="C63" s="114" t="s">
        <v>569</v>
      </c>
      <c r="D63" s="116" t="s">
        <v>336</v>
      </c>
      <c r="E63" s="117">
        <v>1</v>
      </c>
      <c r="F63" s="39">
        <v>0</v>
      </c>
      <c r="G63" s="40">
        <f t="shared" si="6"/>
        <v>16000</v>
      </c>
      <c r="H63" s="39">
        <v>16000</v>
      </c>
      <c r="I63" s="57">
        <v>0</v>
      </c>
      <c r="J63" s="58">
        <v>0</v>
      </c>
      <c r="K63" s="58">
        <f>(F63+G63+J63)*K5</f>
        <v>320</v>
      </c>
      <c r="L63" s="58">
        <f>(F63+G63+J63+K63)*L5</f>
        <v>1468.8</v>
      </c>
      <c r="M63" s="59">
        <f t="shared" si="7"/>
        <v>17788.8</v>
      </c>
      <c r="N63" s="58">
        <f t="shared" si="8"/>
        <v>17788.8</v>
      </c>
      <c r="O63" s="65" t="s">
        <v>570</v>
      </c>
    </row>
    <row r="64" s="19" customFormat="1" ht="30" customHeight="1" spans="1:15">
      <c r="A64" s="27" t="s">
        <v>564</v>
      </c>
      <c r="B64" s="114" t="s">
        <v>571</v>
      </c>
      <c r="C64" s="114"/>
      <c r="D64" s="116" t="s">
        <v>336</v>
      </c>
      <c r="E64" s="117">
        <v>1</v>
      </c>
      <c r="F64" s="39">
        <v>600</v>
      </c>
      <c r="G64" s="40">
        <f t="shared" si="6"/>
        <v>4500</v>
      </c>
      <c r="H64" s="39">
        <v>4500</v>
      </c>
      <c r="I64" s="57">
        <v>0</v>
      </c>
      <c r="J64" s="58">
        <v>0</v>
      </c>
      <c r="K64" s="58">
        <f>(F64+G64+J64)*K5</f>
        <v>102</v>
      </c>
      <c r="L64" s="58">
        <f>(F64+G64+J64+K64)*L5</f>
        <v>468.18</v>
      </c>
      <c r="M64" s="59">
        <f t="shared" si="7"/>
        <v>5670.18</v>
      </c>
      <c r="N64" s="58">
        <f t="shared" si="8"/>
        <v>5670.18</v>
      </c>
      <c r="O64" s="65" t="s">
        <v>572</v>
      </c>
    </row>
    <row r="65" s="19" customFormat="1" ht="30" customHeight="1" spans="1:15">
      <c r="A65" s="27" t="s">
        <v>564</v>
      </c>
      <c r="B65" s="114" t="s">
        <v>573</v>
      </c>
      <c r="C65" s="114"/>
      <c r="D65" s="116" t="s">
        <v>336</v>
      </c>
      <c r="E65" s="117">
        <v>1</v>
      </c>
      <c r="F65" s="39">
        <v>800</v>
      </c>
      <c r="G65" s="40">
        <f t="shared" si="6"/>
        <v>16000</v>
      </c>
      <c r="H65" s="39">
        <v>16000</v>
      </c>
      <c r="I65" s="57">
        <v>0</v>
      </c>
      <c r="J65" s="58">
        <v>0</v>
      </c>
      <c r="K65" s="58">
        <f>(F65+G65+J65)*K5</f>
        <v>336</v>
      </c>
      <c r="L65" s="58">
        <f>(F65+G65+J65+K65)*L5</f>
        <v>1542.24</v>
      </c>
      <c r="M65" s="59">
        <f t="shared" si="7"/>
        <v>18678.24</v>
      </c>
      <c r="N65" s="58">
        <f t="shared" si="8"/>
        <v>18678.24</v>
      </c>
      <c r="O65" s="65" t="s">
        <v>572</v>
      </c>
    </row>
    <row r="66" s="20" customFormat="1" ht="34" customHeight="1" spans="1:15">
      <c r="A66" s="44" t="s">
        <v>41</v>
      </c>
      <c r="B66" s="45" t="s">
        <v>574</v>
      </c>
      <c r="C66" s="45" t="s">
        <v>462</v>
      </c>
      <c r="D66" s="44"/>
      <c r="E66" s="44"/>
      <c r="F66" s="44"/>
      <c r="G66" s="44"/>
      <c r="H66" s="46"/>
      <c r="I66" s="44"/>
      <c r="J66" s="44"/>
      <c r="K66" s="44"/>
      <c r="L66" s="44"/>
      <c r="M66" s="44"/>
      <c r="N66" s="62">
        <f>SUM(N6:N65)</f>
        <v>521992.8795</v>
      </c>
      <c r="O66" s="63"/>
    </row>
  </sheetData>
  <autoFilter ref="A5:P66">
    <extLst/>
  </autoFilter>
  <mergeCells count="17">
    <mergeCell ref="A1:O1"/>
    <mergeCell ref="A2:F2"/>
    <mergeCell ref="G2:M2"/>
    <mergeCell ref="N2:O2"/>
    <mergeCell ref="F3:L3"/>
    <mergeCell ref="B6:C6"/>
    <mergeCell ref="B66:C66"/>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77" fitToHeight="0"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5" zoomScaleNormal="85" workbookViewId="0">
      <selection activeCell="F12" sqref="F12"/>
    </sheetView>
  </sheetViews>
  <sheetFormatPr defaultColWidth="9.13888888888889" defaultRowHeight="25" customHeight="1"/>
  <cols>
    <col min="1" max="1" width="6.71296296296296" style="3" customWidth="1"/>
    <col min="2" max="2" width="20.287037037037" customWidth="1"/>
    <col min="3" max="3" width="8.42592592592593" style="3" customWidth="1"/>
    <col min="4" max="4" width="11.712962962963" customWidth="1"/>
    <col min="5" max="5" width="12.5740740740741" customWidth="1"/>
    <col min="6" max="6" width="29.4259259259259" customWidth="1"/>
    <col min="7" max="7" width="6.71296296296296" customWidth="1"/>
    <col min="8" max="9" width="14.1388888888889" style="3" customWidth="1"/>
    <col min="10" max="10" width="14"/>
  </cols>
  <sheetData>
    <row r="1" ht="33" customHeight="1" spans="1:6">
      <c r="A1" s="96" t="s">
        <v>575</v>
      </c>
      <c r="B1" s="97"/>
      <c r="C1" s="97"/>
      <c r="D1" s="97"/>
      <c r="E1" s="97"/>
      <c r="F1" s="97"/>
    </row>
    <row r="2" s="95" customFormat="1" customHeight="1" spans="1:10">
      <c r="A2" s="98" t="s">
        <v>48</v>
      </c>
      <c r="B2" s="98" t="s">
        <v>576</v>
      </c>
      <c r="C2" s="98" t="s">
        <v>577</v>
      </c>
      <c r="D2" s="98" t="s">
        <v>578</v>
      </c>
      <c r="E2" s="98" t="s">
        <v>462</v>
      </c>
      <c r="F2" s="98" t="s">
        <v>579</v>
      </c>
      <c r="H2" s="99" t="s">
        <v>580</v>
      </c>
      <c r="I2" s="99" t="s">
        <v>581</v>
      </c>
      <c r="J2" s="67"/>
    </row>
    <row r="3" s="95" customFormat="1" customHeight="1" spans="1:6">
      <c r="A3" s="98" t="s">
        <v>33</v>
      </c>
      <c r="B3" s="98" t="s">
        <v>582</v>
      </c>
      <c r="C3" s="98"/>
      <c r="D3" s="98"/>
      <c r="E3" s="98"/>
      <c r="F3" s="98"/>
    </row>
    <row r="4" customHeight="1" spans="1:9">
      <c r="A4" s="100">
        <v>1</v>
      </c>
      <c r="B4" s="101" t="s">
        <v>476</v>
      </c>
      <c r="C4" s="100">
        <f>'03、安装工程'!E11</f>
        <v>1</v>
      </c>
      <c r="D4" s="101">
        <f>'03、安装工程'!M11</f>
        <v>13897.5</v>
      </c>
      <c r="E4" s="100">
        <f t="shared" ref="E4:E11" si="0">C4*D4</f>
        <v>13897.5</v>
      </c>
      <c r="F4" s="102" t="str">
        <f>'03、安装工程'!O11</f>
        <v>西门子WT45UMD80W  WG52A108AW</v>
      </c>
      <c r="H4" s="3">
        <f>3290+8699</f>
        <v>11989</v>
      </c>
      <c r="I4" s="3">
        <f t="shared" ref="I4:I9" si="1">H4-E4</f>
        <v>-1908.5</v>
      </c>
    </row>
    <row r="5" customHeight="1" spans="1:9">
      <c r="A5" s="100">
        <v>2</v>
      </c>
      <c r="B5" s="101" t="str">
        <f>'03、安装工程'!B12</f>
        <v>冰箱</v>
      </c>
      <c r="C5" s="100">
        <f>'03、安装工程'!E12</f>
        <v>1</v>
      </c>
      <c r="D5" s="101">
        <f>'03、安装工程'!M12</f>
        <v>6670.8</v>
      </c>
      <c r="E5" s="100">
        <f t="shared" si="0"/>
        <v>6670.8</v>
      </c>
      <c r="F5" s="101" t="str">
        <f>'03、安装工程'!O12</f>
        <v>西门子KA505691VC</v>
      </c>
      <c r="H5" s="3">
        <v>5938</v>
      </c>
      <c r="I5" s="3">
        <f t="shared" si="1"/>
        <v>-732.8</v>
      </c>
    </row>
    <row r="6" customHeight="1" spans="1:9">
      <c r="A6" s="100">
        <v>3</v>
      </c>
      <c r="B6" s="101" t="str">
        <f>'03、安装工程'!B14</f>
        <v>抽油烟机</v>
      </c>
      <c r="C6" s="100">
        <v>1</v>
      </c>
      <c r="D6" s="101">
        <f>'03、安装工程'!M14</f>
        <v>4669.56</v>
      </c>
      <c r="E6" s="100">
        <f t="shared" si="0"/>
        <v>4669.56</v>
      </c>
      <c r="F6" s="101" t="str">
        <f>'03、安装工程'!O14</f>
        <v>方太CXW-258-EM18TS</v>
      </c>
      <c r="G6" t="str">
        <f>_xlfn.DISPIMG("ID_9F8B2F476F7D429A86B881002254A14F",1)</f>
        <v>=DISPIMG("ID_9F8B2F476F7D429A86B881002254A14F",1)</v>
      </c>
      <c r="H6" s="3">
        <v>4680</v>
      </c>
      <c r="I6" s="3">
        <f t="shared" si="1"/>
        <v>10.4399999999996</v>
      </c>
    </row>
    <row r="7" customHeight="1" spans="1:10">
      <c r="A7" s="100">
        <v>4</v>
      </c>
      <c r="B7" s="101" t="str">
        <f>'03、安装工程'!B15</f>
        <v>灶具</v>
      </c>
      <c r="C7" s="100">
        <v>1</v>
      </c>
      <c r="D7" s="101">
        <f>'03、安装工程'!M15</f>
        <v>2445.96</v>
      </c>
      <c r="E7" s="100">
        <f t="shared" si="0"/>
        <v>2445.96</v>
      </c>
      <c r="F7" s="101" t="str">
        <f>'03、安装工程'!O15</f>
        <v>方太JZT／T／R-01-TD7B</v>
      </c>
      <c r="G7" t="str">
        <f>_xlfn.DISPIMG("ID_DF278EA430794116A0F6A02604718661",1)</f>
        <v>=DISPIMG("ID_DF278EA430794116A0F6A02604718661",1)</v>
      </c>
      <c r="H7" s="3">
        <v>2280</v>
      </c>
      <c r="I7" s="3">
        <f t="shared" si="1"/>
        <v>-165.96</v>
      </c>
      <c r="J7" s="67"/>
    </row>
    <row r="8" customHeight="1" spans="1:9">
      <c r="A8" s="100">
        <v>5</v>
      </c>
      <c r="B8" s="101" t="str">
        <f>'03、安装工程'!B16</f>
        <v>洗碗机+厨余粉碎机</v>
      </c>
      <c r="C8" s="100">
        <v>1</v>
      </c>
      <c r="D8" s="101">
        <f>'03、安装工程'!M16</f>
        <v>7560.24</v>
      </c>
      <c r="E8" s="100">
        <f t="shared" si="0"/>
        <v>7560.24</v>
      </c>
      <c r="F8" s="101" t="str">
        <f>'03、安装工程'!O16</f>
        <v>方太JPCD11E-G1</v>
      </c>
      <c r="H8" s="3">
        <f>4999+1200</f>
        <v>6199</v>
      </c>
      <c r="I8" s="3">
        <f t="shared" si="1"/>
        <v>-1361.24</v>
      </c>
    </row>
    <row r="9" customHeight="1" spans="1:9">
      <c r="A9" s="100">
        <v>6</v>
      </c>
      <c r="B9" s="101" t="str">
        <f>'03、安装工程'!B17</f>
        <v>蒸烤箱</v>
      </c>
      <c r="C9" s="100">
        <v>1</v>
      </c>
      <c r="D9" s="101">
        <f>'03、安装工程'!M17</f>
        <v>6670.8</v>
      </c>
      <c r="E9" s="100">
        <f t="shared" si="0"/>
        <v>6670.8</v>
      </c>
      <c r="F9" s="101" t="str">
        <f>'03、安装工程'!O17</f>
        <v>方太ZK42-F2.i</v>
      </c>
      <c r="H9" s="3">
        <v>6299</v>
      </c>
      <c r="I9" s="3">
        <f t="shared" si="1"/>
        <v>-371.8</v>
      </c>
    </row>
    <row r="10" customHeight="1" spans="1:6">
      <c r="A10" s="100">
        <v>7</v>
      </c>
      <c r="B10" s="101" t="str">
        <f>'03、安装工程'!B63</f>
        <v>户外燃气热水器</v>
      </c>
      <c r="C10" s="100">
        <v>1</v>
      </c>
      <c r="D10" s="101">
        <f>'03、安装工程'!M63</f>
        <v>17788.8</v>
      </c>
      <c r="E10" s="100">
        <f t="shared" si="0"/>
        <v>17788.8</v>
      </c>
      <c r="F10" s="101" t="str">
        <f>'03、安装工程'!O63</f>
        <v>日本原装进口百乐满</v>
      </c>
    </row>
    <row r="11" customHeight="1" spans="1:6">
      <c r="A11" s="100">
        <v>8</v>
      </c>
      <c r="B11" s="103" t="s">
        <v>583</v>
      </c>
      <c r="C11" s="100">
        <v>5</v>
      </c>
      <c r="D11" s="101">
        <f>'03、安装工程'!M43</f>
        <v>1778.88</v>
      </c>
      <c r="E11" s="100">
        <f t="shared" si="0"/>
        <v>8894.4</v>
      </c>
      <c r="F11" s="103" t="s">
        <v>584</v>
      </c>
    </row>
    <row r="12" customHeight="1" spans="1:10">
      <c r="A12" s="104">
        <v>9</v>
      </c>
      <c r="B12" s="98" t="s">
        <v>585</v>
      </c>
      <c r="C12" s="105"/>
      <c r="D12" s="106"/>
      <c r="E12" s="106">
        <f>SUM(E4:E11)</f>
        <v>68598.06</v>
      </c>
      <c r="F12" s="106"/>
      <c r="G12">
        <v>41914.86</v>
      </c>
      <c r="H12" s="3">
        <f>SUM(H4:H9)</f>
        <v>37385</v>
      </c>
      <c r="I12" s="3">
        <f>SUM(I4:I9)</f>
        <v>-4529.86</v>
      </c>
      <c r="J12">
        <f>I12/G12</f>
        <v>-0.108072888708205</v>
      </c>
    </row>
    <row r="13" customHeight="1" spans="1:6">
      <c r="A13" s="98" t="s">
        <v>36</v>
      </c>
      <c r="B13" s="98" t="s">
        <v>586</v>
      </c>
      <c r="C13" s="11"/>
      <c r="D13" s="14"/>
      <c r="E13" s="14"/>
      <c r="F13" s="14"/>
    </row>
    <row r="14" customHeight="1" spans="1:6">
      <c r="A14" s="100">
        <v>1</v>
      </c>
      <c r="B14" s="100" t="str">
        <f>'03、安装工程'!B13</f>
        <v>厨盆</v>
      </c>
      <c r="C14" s="100">
        <f>'03、安装工程'!E13</f>
        <v>3</v>
      </c>
      <c r="D14" s="100">
        <f>'03、安装工程'!M13</f>
        <v>4669.56</v>
      </c>
      <c r="E14" s="100">
        <f t="shared" ref="E14:E22" si="2">C14*D14</f>
        <v>14008.68</v>
      </c>
      <c r="F14" s="100" t="str">
        <f>'03、安装工程'!O13</f>
        <v>科勒</v>
      </c>
    </row>
    <row r="15" customHeight="1" spans="1:6">
      <c r="A15" s="100">
        <v>2</v>
      </c>
      <c r="B15" s="100" t="str">
        <f>'03、安装工程'!B18</f>
        <v>坐便器</v>
      </c>
      <c r="C15" s="100">
        <f>'03、安装工程'!E18</f>
        <v>5</v>
      </c>
      <c r="D15" s="100">
        <f>'03、安装工程'!M18</f>
        <v>7226.7</v>
      </c>
      <c r="E15" s="100">
        <f t="shared" si="2"/>
        <v>36133.5</v>
      </c>
      <c r="F15" s="100" t="str">
        <f>'03、安装工程'!O18</f>
        <v>科勒</v>
      </c>
    </row>
    <row r="16" customHeight="1" spans="1:6">
      <c r="A16" s="100">
        <v>3</v>
      </c>
      <c r="B16" s="100" t="str">
        <f>'03、安装工程'!B19</f>
        <v>洗脸盆</v>
      </c>
      <c r="C16" s="100">
        <f>'03、安装工程'!E19</f>
        <v>7</v>
      </c>
      <c r="D16" s="100">
        <f>'03、安装工程'!M19</f>
        <v>4002.48</v>
      </c>
      <c r="E16" s="100">
        <f t="shared" si="2"/>
        <v>28017.36</v>
      </c>
      <c r="F16" s="100" t="str">
        <f>'03、安装工程'!O19</f>
        <v>科勒+玫瑰金入墙龙头</v>
      </c>
    </row>
    <row r="17" customHeight="1" spans="1:6">
      <c r="A17" s="100">
        <v>4</v>
      </c>
      <c r="B17" s="100" t="str">
        <f>'03、安装工程'!B20</f>
        <v>浴缸</v>
      </c>
      <c r="C17" s="100">
        <f>'03、安装工程'!E20</f>
        <v>1</v>
      </c>
      <c r="D17" s="100">
        <f>'03、安装工程'!N20</f>
        <v>14008.68</v>
      </c>
      <c r="E17" s="100">
        <f t="shared" si="2"/>
        <v>14008.68</v>
      </c>
      <c r="F17" s="100" t="str">
        <f>'03、安装工程'!O20</f>
        <v>科勒+玫瑰金缸边龙头</v>
      </c>
    </row>
    <row r="18" customHeight="1" spans="1:6">
      <c r="A18" s="100">
        <v>5</v>
      </c>
      <c r="B18" s="100" t="str">
        <f>'03、安装工程'!B21</f>
        <v>淋浴器</v>
      </c>
      <c r="C18" s="100">
        <f>'03、安装工程'!E21</f>
        <v>4</v>
      </c>
      <c r="D18" s="100">
        <f>'03、安装工程'!M21</f>
        <v>7004.34</v>
      </c>
      <c r="E18" s="100">
        <f t="shared" si="2"/>
        <v>28017.36</v>
      </c>
      <c r="F18" s="100" t="str">
        <f>'03、安装工程'!O21</f>
        <v>科勒+玫瑰金暗装花洒</v>
      </c>
    </row>
    <row r="19" customHeight="1" spans="1:6">
      <c r="A19" s="100">
        <v>6</v>
      </c>
      <c r="B19" s="100" t="str">
        <f>'03、安装工程'!B25</f>
        <v>洗衣机水龙头</v>
      </c>
      <c r="C19" s="100">
        <f>'03、安装工程'!E25</f>
        <v>1</v>
      </c>
      <c r="D19" s="100">
        <f>'03、安装工程'!M25</f>
        <v>166.77</v>
      </c>
      <c r="E19" s="100">
        <f t="shared" si="2"/>
        <v>166.77</v>
      </c>
      <c r="F19" s="100" t="str">
        <f>'03、安装工程'!O25</f>
        <v>科勒</v>
      </c>
    </row>
    <row r="20" customHeight="1" spans="1:6">
      <c r="A20" s="100">
        <v>7</v>
      </c>
      <c r="B20" s="100" t="str">
        <f>'03、安装工程'!B62</f>
        <v>中央净水+中央软水</v>
      </c>
      <c r="C20" s="100">
        <f>'03、安装工程'!E62</f>
        <v>1</v>
      </c>
      <c r="D20" s="100">
        <f>'03、安装工程'!M62</f>
        <v>38913</v>
      </c>
      <c r="E20" s="100">
        <f t="shared" si="2"/>
        <v>38913</v>
      </c>
      <c r="F20" s="100" t="str">
        <f>'03、安装工程'!O62</f>
        <v>中美合资埃克森净水</v>
      </c>
    </row>
    <row r="21" customHeight="1" spans="1:6">
      <c r="A21" s="100">
        <v>8</v>
      </c>
      <c r="B21" s="100" t="str">
        <f>'03、安装工程'!B64</f>
        <v>__层水吧污水提污泵</v>
      </c>
      <c r="C21" s="100">
        <f>'03、安装工程'!E64</f>
        <v>1</v>
      </c>
      <c r="D21" s="100">
        <f>'03、安装工程'!M64</f>
        <v>5670.18</v>
      </c>
      <c r="E21" s="100">
        <f t="shared" si="2"/>
        <v>5670.18</v>
      </c>
      <c r="F21" s="100" t="str">
        <f>'03、安装工程'!O64</f>
        <v>法国SFA</v>
      </c>
    </row>
    <row r="22" customHeight="1" spans="1:6">
      <c r="A22" s="100">
        <v>9</v>
      </c>
      <c r="B22" s="107" t="str">
        <f>'03、安装工程'!B65</f>
        <v>__层卫生间污水提升泵站</v>
      </c>
      <c r="C22" s="100">
        <f>'03、安装工程'!E65</f>
        <v>1</v>
      </c>
      <c r="D22" s="100">
        <f>'03、安装工程'!M65</f>
        <v>18678.24</v>
      </c>
      <c r="E22" s="100">
        <f t="shared" si="2"/>
        <v>18678.24</v>
      </c>
      <c r="F22" s="100" t="str">
        <f>'03、安装工程'!O65</f>
        <v>法国SFA</v>
      </c>
    </row>
    <row r="23" customHeight="1" spans="1:6">
      <c r="A23" s="105">
        <v>10</v>
      </c>
      <c r="B23" s="98" t="s">
        <v>585</v>
      </c>
      <c r="C23" s="105"/>
      <c r="D23" s="105"/>
      <c r="E23" s="105">
        <f>SUM(E14:E22)</f>
        <v>183613.77</v>
      </c>
      <c r="F23" s="105"/>
    </row>
  </sheetData>
  <mergeCells count="1">
    <mergeCell ref="A1:F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opLeftCell="A10" workbookViewId="0">
      <selection activeCell="C4" sqref="C4"/>
    </sheetView>
  </sheetViews>
  <sheetFormatPr defaultColWidth="10.0555555555556" defaultRowHeight="105.75" customHeight="1" outlineLevelCol="6"/>
  <cols>
    <col min="1" max="1" width="15.5740740740741" style="75" customWidth="1"/>
    <col min="2" max="2" width="15.4259259259259" style="75" customWidth="1"/>
    <col min="3" max="3" width="9.42592592592593" style="75" customWidth="1"/>
    <col min="4" max="4" width="23.5740740740741" style="75" customWidth="1"/>
    <col min="5" max="5" width="10.287037037037" style="75" customWidth="1"/>
    <col min="6" max="6" width="24.4259259259259" style="75" customWidth="1"/>
    <col min="7" max="7" width="23.8611111111111" style="75" customWidth="1"/>
    <col min="8" max="29" width="10.287037037037" style="75"/>
    <col min="30" max="16384" width="10.0555555555556" style="75"/>
  </cols>
  <sheetData>
    <row r="1" ht="53.25" customHeight="1" spans="1:7">
      <c r="A1" s="76" t="s">
        <v>587</v>
      </c>
      <c r="B1" s="76"/>
      <c r="C1" s="76"/>
      <c r="D1" s="76"/>
      <c r="E1" s="76"/>
      <c r="F1" s="76"/>
      <c r="G1" s="76"/>
    </row>
    <row r="2" ht="29.25" customHeight="1" spans="1:7">
      <c r="A2" s="77" t="s">
        <v>588</v>
      </c>
      <c r="B2" s="77" t="s">
        <v>589</v>
      </c>
      <c r="C2" s="77" t="s">
        <v>577</v>
      </c>
      <c r="D2" s="77" t="s">
        <v>590</v>
      </c>
      <c r="E2" s="78"/>
      <c r="F2" s="77" t="s">
        <v>32</v>
      </c>
      <c r="G2" s="79" t="s">
        <v>591</v>
      </c>
    </row>
    <row r="3" ht="110.1" customHeight="1" spans="1:7">
      <c r="A3" s="80" t="s">
        <v>592</v>
      </c>
      <c r="B3" s="81" t="s">
        <v>593</v>
      </c>
      <c r="C3" s="82">
        <v>4</v>
      </c>
      <c r="D3" s="82"/>
      <c r="E3" s="83"/>
      <c r="F3" s="84" t="s">
        <v>594</v>
      </c>
      <c r="G3" s="85"/>
    </row>
    <row r="4" ht="100.5" customHeight="1" spans="1:7">
      <c r="A4" s="86" t="s">
        <v>595</v>
      </c>
      <c r="B4" s="87" t="s">
        <v>596</v>
      </c>
      <c r="C4" s="82">
        <v>5</v>
      </c>
      <c r="D4" s="82"/>
      <c r="E4" s="83"/>
      <c r="F4" s="82" t="s">
        <v>597</v>
      </c>
      <c r="G4" s="85"/>
    </row>
    <row r="5" ht="106.5" customHeight="1" spans="1:7">
      <c r="A5" s="82" t="s">
        <v>598</v>
      </c>
      <c r="B5" s="81" t="s">
        <v>599</v>
      </c>
      <c r="C5" s="82">
        <v>7</v>
      </c>
      <c r="D5" s="82"/>
      <c r="E5" s="82"/>
      <c r="F5" s="82" t="s">
        <v>600</v>
      </c>
      <c r="G5" s="85"/>
    </row>
    <row r="6" ht="259" customHeight="1" spans="1:7">
      <c r="A6" s="82" t="s">
        <v>601</v>
      </c>
      <c r="B6" s="81" t="s">
        <v>602</v>
      </c>
      <c r="C6" s="82">
        <v>5</v>
      </c>
      <c r="D6" s="82"/>
      <c r="E6" s="83"/>
      <c r="F6" s="82" t="s">
        <v>603</v>
      </c>
      <c r="G6" s="85"/>
    </row>
    <row r="7" ht="110.1" customHeight="1" spans="1:7">
      <c r="A7" s="88" t="s">
        <v>604</v>
      </c>
      <c r="B7" s="87" t="s">
        <v>593</v>
      </c>
      <c r="C7" s="89">
        <v>1</v>
      </c>
      <c r="D7" s="89"/>
      <c r="E7" s="83"/>
      <c r="F7" s="82" t="s">
        <v>605</v>
      </c>
      <c r="G7" s="85"/>
    </row>
    <row r="8" ht="110.1" customHeight="1" spans="1:7">
      <c r="A8" s="82" t="s">
        <v>606</v>
      </c>
      <c r="B8" s="87" t="s">
        <v>607</v>
      </c>
      <c r="C8" s="89">
        <v>1</v>
      </c>
      <c r="D8" s="89"/>
      <c r="E8" s="83"/>
      <c r="F8" s="82" t="s">
        <v>608</v>
      </c>
      <c r="G8" s="85"/>
    </row>
    <row r="9" ht="112" customHeight="1" spans="1:7">
      <c r="A9" s="90" t="s">
        <v>609</v>
      </c>
      <c r="B9" s="87" t="s">
        <v>610</v>
      </c>
      <c r="C9" s="89">
        <v>3</v>
      </c>
      <c r="D9" s="82"/>
      <c r="E9" s="83"/>
      <c r="F9" s="82" t="s">
        <v>611</v>
      </c>
      <c r="G9" s="85"/>
    </row>
    <row r="10" ht="110" customHeight="1" spans="1:7">
      <c r="A10" s="82" t="s">
        <v>612</v>
      </c>
      <c r="B10" s="87" t="s">
        <v>613</v>
      </c>
      <c r="C10" s="89">
        <v>3</v>
      </c>
      <c r="D10" s="82"/>
      <c r="E10" s="83"/>
      <c r="F10" s="82" t="s">
        <v>614</v>
      </c>
      <c r="G10" s="85"/>
    </row>
    <row r="11" ht="115.5" customHeight="1" spans="1:3">
      <c r="A11" s="91"/>
      <c r="B11" s="92"/>
      <c r="C11" s="92"/>
    </row>
    <row r="12" customHeight="1" spans="1:3">
      <c r="A12" s="92"/>
      <c r="B12" s="92"/>
      <c r="C12" s="92"/>
    </row>
    <row r="13" ht="63" customHeight="1" spans="1:4">
      <c r="A13" s="93"/>
      <c r="B13" s="93"/>
      <c r="C13" s="93"/>
      <c r="D13" s="93"/>
    </row>
    <row r="14" ht="45" customHeight="1" spans="1:5">
      <c r="A14" s="94"/>
      <c r="B14" s="94"/>
      <c r="C14" s="94"/>
      <c r="D14" s="94"/>
      <c r="E14" s="94"/>
    </row>
  </sheetData>
  <mergeCells count="4">
    <mergeCell ref="A1:G1"/>
    <mergeCell ref="A13:D13"/>
    <mergeCell ref="A14:E14"/>
    <mergeCell ref="D9:D10"/>
  </mergeCells>
  <pageMargins left="0" right="0" top="0.984251968503937" bottom="0.196850393700787" header="0.511811023622047" footer="0.275590551181102"/>
  <pageSetup paperSize="9" orientation="portrait" horizontalDpi="600" verticalDpi="600"/>
  <headerFooter alignWithMargins="0" scaleWithDoc="0"/>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H9" sqref="H9"/>
    </sheetView>
  </sheetViews>
  <sheetFormatPr defaultColWidth="8.88888888888889" defaultRowHeight="13.2"/>
  <cols>
    <col min="7" max="7" width="9.44444444444444"/>
    <col min="13" max="13" width="9.44444444444444"/>
    <col min="14" max="14" width="10.6666666666667"/>
  </cols>
  <sheetData>
    <row r="1" s="4" customFormat="1" ht="56" customHeight="1" spans="1:15">
      <c r="A1" s="25">
        <v>157</v>
      </c>
      <c r="B1" s="26" t="s">
        <v>343</v>
      </c>
      <c r="C1" s="68" t="s">
        <v>344</v>
      </c>
      <c r="D1" s="26" t="s">
        <v>35</v>
      </c>
      <c r="E1" s="53">
        <v>1</v>
      </c>
      <c r="F1" s="30">
        <v>300</v>
      </c>
      <c r="G1" s="31">
        <v>4800</v>
      </c>
      <c r="H1" s="30">
        <v>4800</v>
      </c>
      <c r="I1" s="54">
        <v>0</v>
      </c>
      <c r="J1" s="53">
        <v>100</v>
      </c>
      <c r="K1" s="53">
        <v>104</v>
      </c>
      <c r="L1" s="53">
        <v>477.36</v>
      </c>
      <c r="M1" s="55">
        <v>5781.36</v>
      </c>
      <c r="N1" s="53">
        <v>5781.36</v>
      </c>
      <c r="O1" s="73" t="s">
        <v>134</v>
      </c>
    </row>
    <row r="2" s="4" customFormat="1" ht="53" customHeight="1" spans="1:15">
      <c r="A2" s="25">
        <v>158</v>
      </c>
      <c r="B2" s="26" t="s">
        <v>345</v>
      </c>
      <c r="C2" s="68" t="s">
        <v>346</v>
      </c>
      <c r="D2" s="26" t="s">
        <v>35</v>
      </c>
      <c r="E2" s="53">
        <v>1</v>
      </c>
      <c r="F2" s="30">
        <v>300</v>
      </c>
      <c r="G2" s="31">
        <v>6600</v>
      </c>
      <c r="H2" s="30">
        <v>6600</v>
      </c>
      <c r="I2" s="54">
        <v>0</v>
      </c>
      <c r="J2" s="53">
        <v>4400</v>
      </c>
      <c r="K2" s="53">
        <v>226</v>
      </c>
      <c r="L2" s="53">
        <v>1037.34</v>
      </c>
      <c r="M2" s="55">
        <v>12563.34</v>
      </c>
      <c r="N2" s="53">
        <v>12563.34</v>
      </c>
      <c r="O2" s="73" t="s">
        <v>134</v>
      </c>
    </row>
    <row r="3" s="4" customFormat="1" ht="56" customHeight="1" spans="1:15">
      <c r="A3" s="25">
        <v>172</v>
      </c>
      <c r="B3" s="26" t="s">
        <v>358</v>
      </c>
      <c r="C3" s="68" t="s">
        <v>359</v>
      </c>
      <c r="D3" s="26" t="s">
        <v>35</v>
      </c>
      <c r="E3" s="53">
        <v>1</v>
      </c>
      <c r="F3" s="30">
        <v>300</v>
      </c>
      <c r="G3" s="31">
        <v>11000</v>
      </c>
      <c r="H3" s="30">
        <v>11000</v>
      </c>
      <c r="I3" s="54">
        <v>0</v>
      </c>
      <c r="J3" s="53">
        <v>100</v>
      </c>
      <c r="K3" s="53">
        <v>228</v>
      </c>
      <c r="L3" s="53">
        <v>1046.52</v>
      </c>
      <c r="M3" s="55">
        <v>12674.52</v>
      </c>
      <c r="N3" s="53">
        <v>12674.52</v>
      </c>
      <c r="O3" s="73" t="s">
        <v>134</v>
      </c>
    </row>
    <row r="4" s="4" customFormat="1" ht="56" customHeight="1" spans="1:15">
      <c r="A4" s="25">
        <v>173</v>
      </c>
      <c r="B4" s="26" t="s">
        <v>343</v>
      </c>
      <c r="C4" s="68" t="s">
        <v>360</v>
      </c>
      <c r="D4" s="26" t="s">
        <v>35</v>
      </c>
      <c r="E4" s="53">
        <v>1</v>
      </c>
      <c r="F4" s="30">
        <v>300</v>
      </c>
      <c r="G4" s="31">
        <v>5800</v>
      </c>
      <c r="H4" s="30">
        <v>5800</v>
      </c>
      <c r="I4" s="54">
        <v>0</v>
      </c>
      <c r="J4" s="53">
        <v>100</v>
      </c>
      <c r="K4" s="53">
        <v>124</v>
      </c>
      <c r="L4" s="53">
        <v>569.16</v>
      </c>
      <c r="M4" s="55">
        <v>6893.16</v>
      </c>
      <c r="N4" s="53">
        <v>6893.16</v>
      </c>
      <c r="O4" s="73" t="s">
        <v>134</v>
      </c>
    </row>
    <row r="5" s="4" customFormat="1" ht="53" customHeight="1" spans="1:15">
      <c r="A5" s="25">
        <v>174</v>
      </c>
      <c r="B5" s="26" t="s">
        <v>345</v>
      </c>
      <c r="C5" s="68" t="s">
        <v>361</v>
      </c>
      <c r="D5" s="26" t="s">
        <v>35</v>
      </c>
      <c r="E5" s="53">
        <v>1</v>
      </c>
      <c r="F5" s="30">
        <v>200</v>
      </c>
      <c r="G5" s="31">
        <v>1600</v>
      </c>
      <c r="H5" s="30">
        <v>1600</v>
      </c>
      <c r="I5" s="54">
        <v>0</v>
      </c>
      <c r="J5" s="53">
        <v>0</v>
      </c>
      <c r="K5" s="53">
        <v>36</v>
      </c>
      <c r="L5" s="53">
        <v>165.24</v>
      </c>
      <c r="M5" s="55">
        <v>2001.24</v>
      </c>
      <c r="N5" s="53">
        <v>2001.24</v>
      </c>
      <c r="O5" s="73" t="s">
        <v>134</v>
      </c>
    </row>
    <row r="6" s="4" customFormat="1" ht="54.75" customHeight="1" spans="1:15">
      <c r="A6" s="25">
        <v>175</v>
      </c>
      <c r="B6" s="38" t="s">
        <v>215</v>
      </c>
      <c r="C6" s="69" t="s">
        <v>362</v>
      </c>
      <c r="D6" s="26" t="s">
        <v>35</v>
      </c>
      <c r="E6" s="53">
        <v>1</v>
      </c>
      <c r="F6" s="30">
        <v>0</v>
      </c>
      <c r="G6" s="31">
        <f>H6*(1+I6)</f>
        <v>3300</v>
      </c>
      <c r="H6" s="30">
        <v>3300</v>
      </c>
      <c r="I6" s="54">
        <v>0</v>
      </c>
      <c r="J6" s="53">
        <v>0</v>
      </c>
      <c r="K6" s="53">
        <v>66</v>
      </c>
      <c r="L6" s="53">
        <v>302.94</v>
      </c>
      <c r="M6" s="55">
        <f>F6+G6+J6+K6+L6</f>
        <v>3668.94</v>
      </c>
      <c r="N6" s="53">
        <f>E6*M6</f>
        <v>3668.94</v>
      </c>
      <c r="O6" s="73" t="s">
        <v>134</v>
      </c>
    </row>
    <row r="7" s="4" customFormat="1" ht="53.25" customHeight="1" spans="1:15">
      <c r="A7" s="25">
        <v>188</v>
      </c>
      <c r="B7" s="38" t="s">
        <v>384</v>
      </c>
      <c r="C7" s="38" t="s">
        <v>385</v>
      </c>
      <c r="D7" s="26" t="s">
        <v>35</v>
      </c>
      <c r="E7" s="53">
        <v>1</v>
      </c>
      <c r="F7" s="30">
        <v>0</v>
      </c>
      <c r="G7" s="31">
        <f>H7*(1+I7)</f>
        <v>17000</v>
      </c>
      <c r="H7" s="30">
        <v>17000</v>
      </c>
      <c r="I7" s="54">
        <v>0</v>
      </c>
      <c r="J7" s="53">
        <v>0</v>
      </c>
      <c r="K7" s="53">
        <v>340</v>
      </c>
      <c r="L7" s="53">
        <v>1560.6</v>
      </c>
      <c r="M7" s="55">
        <f>F7+G7+J7+K7+L7</f>
        <v>18900.6</v>
      </c>
      <c r="N7" s="53">
        <f>E7*M7</f>
        <v>18900.6</v>
      </c>
      <c r="O7" s="74"/>
    </row>
    <row r="8" s="4" customFormat="1" ht="44" customHeight="1" spans="1:15">
      <c r="A8" s="25">
        <v>231</v>
      </c>
      <c r="B8" s="26" t="s">
        <v>417</v>
      </c>
      <c r="C8" s="26" t="s">
        <v>418</v>
      </c>
      <c r="D8" s="26" t="s">
        <v>35</v>
      </c>
      <c r="E8" s="53">
        <v>1</v>
      </c>
      <c r="F8" s="30">
        <v>0</v>
      </c>
      <c r="G8" s="31">
        <v>35000</v>
      </c>
      <c r="H8" s="30">
        <v>35000</v>
      </c>
      <c r="I8" s="54">
        <v>0</v>
      </c>
      <c r="J8" s="53">
        <v>0</v>
      </c>
      <c r="K8" s="53">
        <v>700</v>
      </c>
      <c r="L8" s="53">
        <v>3213</v>
      </c>
      <c r="M8" s="55">
        <v>38913</v>
      </c>
      <c r="N8" s="53">
        <v>38913</v>
      </c>
      <c r="O8" s="73" t="s">
        <v>134</v>
      </c>
    </row>
    <row r="9" s="4" customFormat="1" ht="43" customHeight="1" spans="1:15">
      <c r="A9" s="25">
        <v>232</v>
      </c>
      <c r="B9" s="26" t="s">
        <v>417</v>
      </c>
      <c r="C9" s="26" t="s">
        <v>419</v>
      </c>
      <c r="D9" s="26" t="s">
        <v>35</v>
      </c>
      <c r="E9" s="53">
        <v>1</v>
      </c>
      <c r="F9" s="30">
        <v>0</v>
      </c>
      <c r="G9" s="31">
        <v>11000</v>
      </c>
      <c r="H9" s="30">
        <v>11000</v>
      </c>
      <c r="I9" s="54">
        <v>0</v>
      </c>
      <c r="J9" s="53">
        <v>0</v>
      </c>
      <c r="K9" s="53">
        <v>220</v>
      </c>
      <c r="L9" s="53">
        <v>1009.8</v>
      </c>
      <c r="M9" s="55">
        <v>12229.8</v>
      </c>
      <c r="N9" s="53">
        <v>12229.8</v>
      </c>
      <c r="O9" s="73" t="s">
        <v>134</v>
      </c>
    </row>
    <row r="10" ht="33" customHeight="1" spans="1:15">
      <c r="A10" s="70" t="s">
        <v>462</v>
      </c>
      <c r="B10" s="71"/>
      <c r="C10" s="71"/>
      <c r="D10" s="71"/>
      <c r="E10" s="71"/>
      <c r="F10" s="71"/>
      <c r="G10" s="72"/>
      <c r="H10" s="14"/>
      <c r="I10" s="14"/>
      <c r="J10" s="14"/>
      <c r="K10" s="14"/>
      <c r="L10" s="14"/>
      <c r="M10" s="14"/>
      <c r="N10" s="14">
        <f>SUM(N1:N9)</f>
        <v>113625.96</v>
      </c>
      <c r="O10" s="14"/>
    </row>
  </sheetData>
  <mergeCells count="1">
    <mergeCell ref="A10:G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13</vt:i4>
      </vt:variant>
    </vt:vector>
  </HeadingPairs>
  <TitlesOfParts>
    <vt:vector size="13" baseType="lpstr">
      <vt:lpstr>Sheet2</vt:lpstr>
      <vt:lpstr>清单报价说明</vt:lpstr>
      <vt:lpstr>01、汇总表</vt:lpstr>
      <vt:lpstr>Sheet1</vt:lpstr>
      <vt:lpstr>02、样板间装饰工程</vt:lpstr>
      <vt:lpstr>03、安装工程</vt:lpstr>
      <vt:lpstr>其中电器及洁具明细</vt:lpstr>
      <vt:lpstr>其中洁具配置</vt:lpstr>
      <vt:lpstr>其中橱柜及主卧衣柜</vt:lpstr>
      <vt:lpstr>增加智能调整</vt:lpstr>
      <vt:lpstr>其中原开关面板</vt:lpstr>
      <vt:lpstr>其中土建改造及水电路、地暖</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ff</cp:lastModifiedBy>
  <dcterms:created xsi:type="dcterms:W3CDTF">2020-11-19T09:45:00Z</dcterms:created>
  <dcterms:modified xsi:type="dcterms:W3CDTF">2024-04-01T02:49:04Z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39253C1E1D2D49459F2F55CF6A89A08B_13</vt:lpwstr>
  </property>
  <property fmtid="{D5CDD505-2E9C-101B-9397-08002B2CF9AE}" pid="4" name="KSOReadingLayout">
    <vt:bool>true</vt:bool>
  </property>
</Properties>
</file>