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 firstSheet="6"/>
  </bookViews>
  <sheets>
    <sheet name="目录" sheetId="18" r:id="rId1"/>
    <sheet name="结算汇总表" sheetId="19" r:id="rId2"/>
    <sheet name="结算明细表" sheetId="9" r:id="rId3"/>
    <sheet name="硬质铺装" sheetId="1" r:id="rId4"/>
    <sheet name="安装部分" sheetId="21" r:id="rId5"/>
    <sheet name="未施工项目" sheetId="15" r:id="rId6"/>
    <sheet name="安装部分 (调整)" sheetId="20" r:id="rId7"/>
    <sheet name="变更部分" sheetId="16" r:id="rId8"/>
    <sheet name="Sheet3" sheetId="17" r:id="rId9"/>
  </sheets>
  <externalReferences>
    <externalReference r:id="rId10"/>
  </externalReferences>
  <definedNames>
    <definedName name="_xlnm._FilterDatabase" localSheetId="3" hidden="1">硬质铺装!$3:$42</definedName>
    <definedName name="_xlnm.Print_Area" localSheetId="3">硬质铺装!$A$1:$N$41</definedName>
    <definedName name="a">EVALUATE([1]计算底稿!$D:$D)</definedName>
    <definedName name="aa">EVALUATE(#REF!)</definedName>
    <definedName name="_xlnm.Print_Area" localSheetId="6">'安装部分 (调整)'!$A$1:$M$13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<sst xmlns="http://schemas.openxmlformats.org/spreadsheetml/2006/main" count="457" uniqueCount="263">
  <si>
    <t>栾川山水文苑s1地块西大门装修工程结算资料存档目录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</si>
  <si>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</si>
  <si>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</si>
  <si>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</si>
  <si>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</si>
  <si>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</si>
  <si>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</si>
  <si>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栾川山水文苑s1地块西大门装修工程合同结算审批表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</si>
  <si>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</si>
  <si>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</si>
  <si>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</si>
  <si>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</si>
  <si>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</si>
  <si>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</si>
  <si>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</si>
  <si>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</si>
  <si>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</si>
  <si>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</si>
  <si>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1份4页</t>
  </si>
  <si>
    <t>第5-8页</t>
  </si>
  <si>
    <t>授权委托书</t>
  </si>
  <si>
    <t>第9页</t>
  </si>
  <si>
    <t>结算申请单</t>
  </si>
  <si>
    <t>第10页</t>
  </si>
  <si>
    <t>结算通知书</t>
  </si>
  <si>
    <t>第11页</t>
  </si>
  <si>
    <t>工程资料核对确认单</t>
  </si>
  <si>
    <t>第12页</t>
  </si>
  <si>
    <t>工程往来账目明细</t>
  </si>
  <si>
    <t>第13页</t>
  </si>
  <si>
    <t>验收单</t>
  </si>
  <si>
    <t>第14-17页</t>
  </si>
  <si>
    <t>工程结算工作交接单</t>
  </si>
  <si>
    <t>1份2页</t>
  </si>
  <si>
    <t>第18-19页</t>
  </si>
  <si>
    <t>水电费证明</t>
  </si>
  <si>
    <t>第20页</t>
  </si>
  <si>
    <t>图纸会审及派发单</t>
  </si>
  <si>
    <t>1份15页</t>
  </si>
  <si>
    <t>第21-35页</t>
  </si>
  <si>
    <t>栾川山水文苑s1地块西大门装修工程合同审批</t>
  </si>
  <si>
    <t>本</t>
  </si>
  <si>
    <t>一本</t>
  </si>
  <si>
    <t>竣工图</t>
  </si>
  <si>
    <t>施工单位报送资料</t>
  </si>
  <si>
    <t>若干</t>
  </si>
  <si>
    <t>造价师：</t>
  </si>
  <si>
    <t>日期：</t>
  </si>
  <si>
    <t>栾川山水文苑S1地块西大门工程结算汇总表</t>
  </si>
  <si>
    <t xml:space="preserve">合同编号：LCS1-JA-086                              合同金额：465000元 </t>
  </si>
  <si>
    <t>合同名称：栾川山水文苑s1地块西大门装修工程</t>
  </si>
  <si>
    <t>甲    方：栾川县浩德颐康文旅有限公司</t>
  </si>
  <si>
    <t>乙    方： 河南专晶建筑工程有限公司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</si>
  <si>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</si>
  <si>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</si>
  <si>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</si>
  <si>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</si>
  <si>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</si>
  <si>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</si>
  <si>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</si>
  <si>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</si>
  <si>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</si>
  <si>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</si>
  <si>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</si>
  <si>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</si>
  <si>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</si>
  <si>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</si>
  <si>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</si>
  <si>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</si>
  <si>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</si>
  <si>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</si>
  <si>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</si>
  <si>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</si>
  <si>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</si>
  <si>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</si>
  <si>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</si>
  <si>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</si>
  <si>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</si>
  <si>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</si>
  <si>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</si>
  <si>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</si>
  <si>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</si>
  <si>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</si>
  <si>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</si>
  <si>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</si>
  <si>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</si>
  <si>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</si>
  <si>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栾川山水文苑S1地块西大门工程结算明细汇总</t>
  </si>
  <si>
    <t>序 号</t>
  </si>
  <si>
    <t>单位</t>
  </si>
  <si>
    <t>工程量</t>
  </si>
  <si>
    <t>金额 
(元)</t>
  </si>
  <si>
    <t>合计</t>
  </si>
  <si>
    <t>硬质装修</t>
  </si>
  <si>
    <t>项</t>
  </si>
  <si>
    <t>安装</t>
  </si>
  <si>
    <t>图纸会审</t>
  </si>
  <si>
    <t>未施工项及扣款</t>
  </si>
  <si>
    <t>小计</t>
  </si>
  <si>
    <t>最终结算</t>
  </si>
  <si>
    <t>栾川山水文苑项目硬质景观清单及计价表</t>
  </si>
  <si>
    <t>项目特征描述</t>
  </si>
  <si>
    <t>计量
单位</t>
  </si>
  <si>
    <t>其中：各子项构成（元）</t>
  </si>
  <si>
    <t>含税综合单价(元)
f=(a+b+c+d+e)</t>
  </si>
  <si>
    <t>合价(元)=g*f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</si>
  <si>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</si>
  <si>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</si>
  <si>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</si>
  <si>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</si>
  <si>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</si>
  <si>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</si>
  <si>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挖土方</t>
  </si>
  <si>
    <t>1.土壤类别：综合
2.挖土深度：详设计
3.开挖方式：人工、机械综合考虑   
4.多余土方运送场内指定位置
5.其它满足规范和设计图纸要求</t>
  </si>
  <si>
    <t>m3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</si>
  <si>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</si>
  <si>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</si>
  <si>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素土夯实</t>
  </si>
  <si>
    <t>1.素土夯实，密实度≥0.93
2.其它满足规范和设计图纸要求</t>
  </si>
  <si>
    <t>m2</t>
  </si>
  <si>
    <t>碎石垫层</t>
  </si>
  <si>
    <t>1、150厚级配碎石垫层，密实度≥0.93
2.其它说明：其它满足规范和设计图纸要求</t>
  </si>
  <si>
    <t>砼垫层</t>
  </si>
  <si>
    <t>1.混凝土强度等级:100厚C20混凝土
2.混凝土拌合料要求：符合规范要求
3.模板安拆费用计入综合单价，支模方式综合考虑
4、其它满足规范和设计图纸要求</t>
  </si>
  <si>
    <r>
      <rPr>
        <sz val="8"/>
        <rFont val="宋体"/>
        <charset val="134"/>
      </rPr>
      <t>砖基础</t>
    </r>
    <r>
      <rPr>
        <sz val="8"/>
        <rFont val="Arial"/>
        <charset val="134"/>
      </rPr>
      <t xml:space="preserve">
</t>
    </r>
  </si>
  <si>
    <t>1、MU10页岩砖，M7.5水泥砂浆砌筑
2、15厚1:3水泥砂浆防潮层（掺5%防水剂）
3、20厚1:2.5防水水泥砂浆（掺2%防水剂）
4.其它说明：其它满足规范和设计图纸要求</t>
  </si>
  <si>
    <t xml:space="preserve">柱子基础 </t>
  </si>
  <si>
    <r>
      <rPr>
        <sz val="8"/>
        <rFont val="Arial"/>
        <charset val="134"/>
      </rPr>
      <t xml:space="preserve">
1</t>
    </r>
    <r>
      <rPr>
        <sz val="8"/>
        <rFont val="宋体"/>
        <charset val="134"/>
      </rPr>
      <t>、c25混凝土柱子</t>
    </r>
    <r>
      <rPr>
        <sz val="8"/>
        <rFont val="Arial"/>
        <charset val="134"/>
      </rPr>
      <t xml:space="preserve">
2.</t>
    </r>
    <r>
      <rPr>
        <sz val="8"/>
        <rFont val="宋体"/>
        <charset val="134"/>
      </rPr>
      <t>混凝土拌合料要求：符合规范要求</t>
    </r>
    <r>
      <rPr>
        <sz val="8"/>
        <rFont val="Arial"/>
        <charset val="134"/>
      </rPr>
      <t xml:space="preserve">
3.</t>
    </r>
    <r>
      <rPr>
        <sz val="8"/>
        <rFont val="宋体"/>
        <charset val="134"/>
      </rPr>
      <t>模板安拆费用计入综合单价，支模方式综合考虑</t>
    </r>
    <r>
      <rPr>
        <sz val="8"/>
        <rFont val="Arial"/>
        <charset val="134"/>
      </rPr>
      <t xml:space="preserve">
4</t>
    </r>
    <r>
      <rPr>
        <sz val="8"/>
        <rFont val="宋体"/>
        <charset val="134"/>
      </rPr>
      <t>、其它满足规范和设计图纸要求</t>
    </r>
  </si>
  <si>
    <t>圈梁</t>
  </si>
  <si>
    <r>
      <rPr>
        <sz val="8"/>
        <rFont val="Arial"/>
        <charset val="134"/>
      </rPr>
      <t xml:space="preserve">
1</t>
    </r>
    <r>
      <rPr>
        <sz val="8"/>
        <rFont val="宋体"/>
        <charset val="134"/>
      </rPr>
      <t>、c25混凝土圈梁</t>
    </r>
    <r>
      <rPr>
        <sz val="8"/>
        <rFont val="Arial"/>
        <charset val="134"/>
      </rPr>
      <t xml:space="preserve">
2.</t>
    </r>
    <r>
      <rPr>
        <sz val="8"/>
        <rFont val="宋体"/>
        <charset val="134"/>
      </rPr>
      <t>混凝土拌合料要求：符合规范要求</t>
    </r>
    <r>
      <rPr>
        <sz val="8"/>
        <rFont val="Arial"/>
        <charset val="134"/>
      </rPr>
      <t xml:space="preserve">
3.</t>
    </r>
    <r>
      <rPr>
        <sz val="8"/>
        <rFont val="宋体"/>
        <charset val="134"/>
      </rPr>
      <t>模板安拆费用计入综合单价，支模方式综合考虑</t>
    </r>
    <r>
      <rPr>
        <sz val="8"/>
        <rFont val="Arial"/>
        <charset val="134"/>
      </rPr>
      <t xml:space="preserve">
4</t>
    </r>
    <r>
      <rPr>
        <sz val="8"/>
        <rFont val="宋体"/>
        <charset val="134"/>
      </rPr>
      <t>、其它满足规范和设计图纸要求</t>
    </r>
  </si>
  <si>
    <t>混凝土柱子</t>
  </si>
  <si>
    <t>1.混凝土强度等级:c25混凝土
2.混凝土拌合料要求：符合规范要求
3.模板安拆费用计入综合单价，支模方式综合考虑
4、其它满足规范和设计图纸要求</t>
  </si>
  <si>
    <t>现浇构件钢筋</t>
  </si>
  <si>
    <t>1.现浇构件带肋钢筋HPB300  带肋钢筋HRB400 
2.含钢筋搭接
3.其它说明：其它满足规范和设计图纸要求</t>
  </si>
  <si>
    <t>t</t>
  </si>
  <si>
    <t>芝麻黑花岗岩面层</t>
  </si>
  <si>
    <t>1、25厚600宽 芝麻黑花岗岩烧面上拉10x20凹槽
2、25厚1:2.5水泥砂浆粘结层
3、其它说明：其它满足规范和设计图纸要求</t>
  </si>
  <si>
    <t>主入口装饰</t>
  </si>
  <si>
    <t>雪浪石花岗岩水洗面 地面</t>
  </si>
  <si>
    <t>1、30厚250*600 雪浪石花岗岩水洗面 地面
2、25厚1:2.5水泥砂浆粘结层
3、3.其它说明：其它满足规范和设计图纸要求</t>
  </si>
  <si>
    <t>芝麻黑花岗岩喷砂面 地面</t>
  </si>
  <si>
    <t>1、30厚1200*600 芝麻黑花岗岩喷砂面 地面
2、25厚1:2.5水泥砂浆粘结层
3、其它说明：其它满足规范和设计图纸要求</t>
  </si>
  <si>
    <t>接待台</t>
  </si>
  <si>
    <t>1、黑色火烧岩仿古砖接待台（含logo字体）
2、其它说明：其它满足规范和设计图纸要求</t>
  </si>
  <si>
    <t>m</t>
  </si>
  <si>
    <t>夹绢钢化玻璃屏风</t>
  </si>
  <si>
    <t>1、20宽1.2厚304#不锈钢拉丝面深咖色、
2、12+1.52PVB+12夹绢钢化玻璃屏风（含埋件）
3、其它说明：其它满足规范和设计图纸要求</t>
  </si>
  <si>
    <t>成品电动门</t>
  </si>
  <si>
    <t>1、成品电动门，玻璃内侧贴石材纹理磨砂膜
2、其它说明：其它满足规范和设计图纸要求</t>
  </si>
  <si>
    <t>人口钢格栅  大样四详图4/O-1.13</t>
  </si>
  <si>
    <t>1、1.2厚20x20热镀锌矩管,面饰浅咖色金属氟碳漆@40
2、2厚热镀锌钢板 面饰浅咖色金属氟碳漆
3、3厚50x100热镀锌矩管 入口格栅（含不锈钢成品装饰花雕）
4、40*3厚镀锌角钢@500
5、1.2厚304不锈钢板拉丝面电镀深咖色
6、其它说明：其它满足规范和设计图纸要求</t>
  </si>
  <si>
    <t>M2</t>
  </si>
  <si>
    <t>钢格栅  （电动门处格栅） 大样二详图2/O-1.13</t>
  </si>
  <si>
    <t>1、4厚镀锌钢板弯折面饰浅咖色金属氟碳漆喷砂面
2、2厚30X20镀锌矩管@70面饰浅咖色金属氟碳漆喷砂面
3、格栅内部：8+1.14PVB+8夹胶钢化玻璃
4、3厚50*100镀锌矩管面饰浅咖色金属氟碳漆喷砂面
5、2厚30X20镀锌矩管面饰浅咖色金属氟碳漆喷砂面
6、100*3厚热镀锌矩管、1.2厚304不锈钢拉丝面电镀深咖色按形折
7、其它说明：其它满足规范和设计图纸要求</t>
  </si>
  <si>
    <t>钢格栅（东西山墙）大样2详图9/O-1.13</t>
  </si>
  <si>
    <t>1、4厚镀锌钢板弯折面饰浅咖色金属氟碳漆喷砂面
2、2厚30X20镀锌矩管@70面饰浅咖色金属氟碳漆喷砂面
3、格栅内部：8+1.14PVB+8夹胶钢化玻璃（大样详图九）
4、3厚50*100镀锌矩管面饰浅咖色金属氟碳漆喷砂面
5、2厚30X20镀锌矩管面饰浅咖色金属氟碳漆喷砂面
6、4厚热镀锌矩管按形折面饰浅咖色金属氟碳漆喷砂面
7、其它说明：其它满足规范和设计图纸要求</t>
  </si>
  <si>
    <t>吊顶</t>
  </si>
  <si>
    <t>1、20宽1.2厚304#不锈钢装饰条拉丝面电镀深咖色结构胶粘接
2、1.2厚304#不锈钢板镜面电镀深褐色
3、白色石膏板吊顶
4、2厚转印木纹深咖色铝板,按型折。%%c8吊杆
5、其它说明：其它满足规范和设计图纸要求</t>
  </si>
  <si>
    <t>屋顶</t>
  </si>
  <si>
    <t>1、2厚铝板,面饰深灰色金属氟碳漆喷砂面
按型折       
2、其它说明：其它满足规范和设计图纸要求</t>
  </si>
  <si>
    <t>屋脊</t>
  </si>
  <si>
    <t>1、深灰色铝镁锰屋脊板
2、其它说明：其它满足规范和设计图纸要求</t>
  </si>
  <si>
    <t>造型为参考售楼部</t>
  </si>
  <si>
    <t>天沟</t>
  </si>
  <si>
    <t>1、天沟：1.2厚304#不锈钢深咖色
2、含钢架及预埋件
3、其它说明：其它满足规范和设计图纸要求</t>
  </si>
  <si>
    <t>挑檐</t>
  </si>
  <si>
    <t>1、2厚铝板,面饰深咖色金属氟碳漆喷砂面（含20宽1.2厚304#不锈钢装饰条拉丝面电镀深咖色）
2、含钢架及预埋件
3、其它说明：其它满足规范和设计图纸要求</t>
  </si>
  <si>
    <t>檐口矩形钢管造型</t>
  </si>
  <si>
    <t>1、1.2厚30x30热镀锌矩管 面饰浅咖色金属氟碳漆@80
2、其它说明：其它满足规范和设计图纸要求</t>
  </si>
  <si>
    <t>檐口饰物 见详图4/O-1.16、5/O-1.16</t>
  </si>
  <si>
    <t>1、1.2厚304#不锈钢拉丝面电镀深咖色，檐口饰物，尺寸1000*188*80
2、其它说明：其它满足规范和设计图纸要求</t>
  </si>
  <si>
    <t>个</t>
  </si>
  <si>
    <t>檐口饰物 见详图6/O-1.16、7/O-1.16</t>
  </si>
  <si>
    <t>1、1.2厚304#不锈钢拉丝面电镀深咖色,按型折，檐口饰物，尺寸1100*493*200
2、其它说明：其它满足规范和设计图纸要求</t>
  </si>
  <si>
    <t>牌匾   见详图3/O-1.16</t>
  </si>
  <si>
    <t>1、不锈钢字体LOGO电镀黄铜，1厚不锈钢板电镀紫铜
2、其它说明：其它满足规范和设计图纸要求</t>
  </si>
  <si>
    <t>石材墙面</t>
  </si>
  <si>
    <t>1、20厚1:2.5低碱水泥砂浆，内挂A3钢丝网
2、25厚600x600芝麻白花岗石荔枝面
3、其它说明：其它满足规范和设计图纸要求</t>
  </si>
  <si>
    <t>不锈钢金属条 门卫室外墙装饰线条</t>
  </si>
  <si>
    <t>1、1.2厚304#不锈钢拉丝面电镀深咖色 按形弯折
2、其它说明：其它满足规范和设计图纸要求</t>
  </si>
  <si>
    <t>真石漆</t>
  </si>
  <si>
    <t>1、仿芝麻白真石漆
2、其它说明：其它满足规范和设计图纸要求</t>
  </si>
  <si>
    <t>墙面装饰</t>
  </si>
  <si>
    <t>1、6+0.76PVB+6夹胶钢化玻璃、
2、07厚201#不锈钢拉丝面电镀深咖色格栅
3、其它说明：其它满足规范和设计图纸要求</t>
  </si>
  <si>
    <t>干挂大理石瓷砖</t>
  </si>
  <si>
    <t>1、40x3厚镀锌角钢成品干挂件、
2、600x900x10厚仿爵士白大理石瓷砖、20宽30宽07厚304#不锈钢装饰条拉丝面电镀深咖色胶粘于墙上
3、其它说明：其它满足规范和设计图纸要求</t>
  </si>
  <si>
    <t>内墙不锈钢装饰</t>
  </si>
  <si>
    <t>1、1.2厚304#不锈钢拉丝面深咖色
2、20x2厚镀锌角钢@500 M6膨胀螺栓固定@500
3、其它说明：其它满足规范和设计图纸要求</t>
  </si>
  <si>
    <t>干挂仿爵士白大理石瓷砖（内墙）</t>
  </si>
  <si>
    <t>1、40x3厚镀锌角钢
2、600x900x10厚仿爵士白大理石瓷砖成品干挂件
3、40x3厚镀锌角钢 M6膨胀螺栓固定@500
4、其它说明：其它满足规范和设计图纸要求</t>
  </si>
  <si>
    <t>乳胶漆</t>
  </si>
  <si>
    <t xml:space="preserve">1、20厚1:2.5低碱水泥砂浆面饰白色乳胶漆涂料
2、其它说明：其它满足规范和设计图纸要求
</t>
  </si>
  <si>
    <t>铝合金门窗</t>
  </si>
  <si>
    <t>1、断桥铝合金
2、玻璃为5+12+5中空玻璃
3、其它说明：其它满足规范和设计图纸要求</t>
  </si>
  <si>
    <t>栾川S1西大门水电安装工程招标清单与计价表</t>
  </si>
  <si>
    <t>工程项目名称</t>
  </si>
  <si>
    <t>工程内容</t>
  </si>
  <si>
    <t>工程量
g</t>
  </si>
  <si>
    <t>品牌</t>
  </si>
  <si>
    <t>管理费及利润
d=(a+b+c)*费率</t>
  </si>
  <si>
    <t>主入口门卫室电气</t>
  </si>
  <si>
    <t>配电箱</t>
  </si>
  <si>
    <t>1、名称:主入口门卫室配电箱XM1
2、规格:500*300*200
3、含预埋、接地、端子接线等
4、未详尽处满足图纸设计、相关规范要求</t>
  </si>
  <si>
    <t>台</t>
  </si>
  <si>
    <t>吸顶筒灯</t>
  </si>
  <si>
    <t>1、名称:吸顶筒灯
2、规格：220v,10w LED
3、详见主入口门卫详图
4、未详尽处满足图纸设计、相关规范要求</t>
  </si>
  <si>
    <t>套</t>
  </si>
  <si>
    <t>吸顶灯</t>
  </si>
  <si>
    <t>1、名称:吸顶灯
2、规格：220V/35W
3、详见主入口门卫详图
4、未详尽处满足图纸设计、相关规范要求</t>
  </si>
  <si>
    <t>灯带</t>
  </si>
  <si>
    <t>1、名称:灯带
2、规格：220v,5w/m LED，成品卡槽拉通固定   
3、灯槽预留安装
4、详见主入口门卫详图
5、未详尽处满足图纸设计、相关规范要求</t>
  </si>
  <si>
    <t>三位开关</t>
  </si>
  <si>
    <t>1、名称:三位开关
2、规格：220V/10A  
3、H=1.3米
4、详见主入口门卫详图
5、未详尽处满足图纸设计、相关规范要求</t>
  </si>
  <si>
    <t>普通插座</t>
  </si>
  <si>
    <t>1、名称:普通插座
2、规格：220V/16A 3+2
3、H=0.3m
4、详见主入口门卫详图
5、未详尽处满足图纸设计、相关规范要求</t>
  </si>
  <si>
    <t>空调插座</t>
  </si>
  <si>
    <t>1、名称:空调插座
2、规格：220V/16A 3+2
3、H=2.2m
4、详见主入口门卫详图
5、未详尽处满足图纸设计、相关规范要求</t>
  </si>
  <si>
    <t>配管</t>
  </si>
  <si>
    <t>1、名称：配管
2、规格：PVC20
3、敷设方式:暗配
4、未详尽处满足图纸设计、相关规范要求</t>
  </si>
  <si>
    <t>配线</t>
  </si>
  <si>
    <t>1、名称：配线
2、规格：ZN-BV2.5
3、敷设方式:穿管敷设
4、未详尽处满足图纸设计、相关规范要求</t>
  </si>
  <si>
    <t>1、名称：配线
2、规格：ZN-BV4
3、敷设方式:穿管敷设
4、未详尽处满足图纸设计、相关规范要求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</si>
  <si>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</si>
  <si>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栾川山水文苑项目西大门精装修工程未施工项目</t>
  </si>
  <si>
    <t>未施工项目</t>
  </si>
  <si>
    <t>成品电动门石材纹理磨砂膜</t>
  </si>
  <si>
    <t xml:space="preserve">玻璃内侧贴石材纹理磨砂膜（未施工）
</t>
  </si>
  <si>
    <t>含新增前玻璃门</t>
  </si>
  <si>
    <t>瓦数不够，现场5W，10瓦与5瓦差价19</t>
  </si>
  <si>
    <t>现场PVC16</t>
  </si>
  <si>
    <t>现场部分新增加ZC-BV因电箱位置挪动，与工程部沟通后，按总量三分之一扣除</t>
  </si>
  <si>
    <t>栾川山水文苑项目西大门装修工程变更增加部分</t>
  </si>
  <si>
    <t>落水管直径75</t>
  </si>
  <si>
    <t>1、upvc直径75.</t>
  </si>
  <si>
    <t>分割缝调整</t>
  </si>
  <si>
    <r>
      <rPr>
        <sz val="10"/>
        <rFont val="Arial"/>
        <charset val="1"/>
      </rPr>
      <t>600*900</t>
    </r>
    <r>
      <rPr>
        <sz val="10"/>
        <rFont val="宋体"/>
        <charset val="1"/>
      </rPr>
      <t>砖调整</t>
    </r>
    <r>
      <rPr>
        <sz val="10"/>
        <rFont val="Arial"/>
        <charset val="1"/>
      </rPr>
      <t>600*1200</t>
    </r>
    <r>
      <rPr>
        <sz val="10"/>
        <rFont val="宋体"/>
        <charset val="1"/>
      </rPr>
      <t>，分割缝间距等分，</t>
    </r>
  </si>
  <si>
    <t>.</t>
  </si>
  <si>
    <t>主材费用协商</t>
  </si>
  <si>
    <t>门卫室</t>
  </si>
  <si>
    <r>
      <rPr>
        <sz val="10"/>
        <rFont val="Arial"/>
        <charset val="1"/>
      </rPr>
      <t>1</t>
    </r>
    <r>
      <rPr>
        <sz val="10"/>
        <rFont val="宋体"/>
        <charset val="1"/>
      </rPr>
      <t>乳胶漆墙、顶</t>
    </r>
  </si>
  <si>
    <t>参照公区</t>
  </si>
  <si>
    <r>
      <rPr>
        <sz val="10"/>
        <rFont val="宋体"/>
        <charset val="1"/>
      </rPr>
      <t>地砖</t>
    </r>
    <r>
      <rPr>
        <sz val="10"/>
        <rFont val="Arial"/>
        <charset val="1"/>
      </rPr>
      <t>800*800</t>
    </r>
  </si>
  <si>
    <t>牌匾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</si>
  <si>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、镀锌钢板调整为不锈钢板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、增加背光</t>
    </r>
  </si>
  <si>
    <t>协商价格</t>
  </si>
  <si>
    <t>内墙不锈钢板增加阻燃板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</si>
  <si>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、不锈钢角码取消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、增加阻燃板</t>
    </r>
  </si>
  <si>
    <t>协商价</t>
  </si>
  <si>
    <t>屋檐下镀锌钢板调整为不锈钢长城板</t>
  </si>
  <si>
    <t>增加此项，价格约谈</t>
  </si>
  <si>
    <t>扣除此项</t>
  </si>
  <si>
    <t>大堂主灯</t>
  </si>
  <si>
    <r>
      <rPr>
        <sz val="10"/>
        <rFont val="宋体"/>
        <charset val="1"/>
      </rPr>
      <t>灯规格</t>
    </r>
    <r>
      <rPr>
        <sz val="10"/>
        <rFont val="Arial"/>
        <charset val="1"/>
      </rPr>
      <t>3.8*0.4m</t>
    </r>
  </si>
  <si>
    <t>八</t>
  </si>
  <si>
    <t>成品电动门（入口出新增加）</t>
  </si>
  <si>
    <t>参照后门价格</t>
  </si>
  <si>
    <t>九</t>
  </si>
  <si>
    <t>亭子玻璃门</t>
  </si>
  <si>
    <r>
      <rPr>
        <sz val="10"/>
        <rFont val="Arial"/>
        <charset val="1"/>
      </rPr>
      <t>10</t>
    </r>
    <r>
      <rPr>
        <sz val="10"/>
        <rFont val="宋体"/>
        <charset val="1"/>
      </rPr>
      <t>厚钢化玻璃</t>
    </r>
  </si>
  <si>
    <t>十</t>
  </si>
  <si>
    <t>增加钢梁及埋件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</si>
  <si>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18#</t>
    </r>
    <r>
      <rPr>
        <sz val="10"/>
        <rFont val="宋体"/>
        <charset val="1"/>
      </rPr>
      <t>槽钢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厚预埋板</t>
    </r>
  </si>
  <si>
    <t>协商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</si>
</sst>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.00_);[Red]\(0.00\)"/>
    <numFmt numFmtId="180" formatCode="[DBNum2][$RMB]General;[Red][DBNum2][$RMB]General"/>
    <numFmt numFmtId="181" formatCode="#,##0.00&quot;元&quot;"/>
    <numFmt numFmtId="182" formatCode="0_ "/>
  </numFmts>
  <fonts count="55">
    <font>
      <sz val="10"/>
      <name val="Arial"/>
      <charset val="1"/>
    </font>
    <font>
      <sz val="9"/>
      <name val="Arial"/>
      <charset val="134"/>
    </font>
    <font>
      <sz val="8"/>
      <name val="Arial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"/>
    </font>
    <font>
      <sz val="8"/>
      <name val="宋体"/>
      <charset val="134"/>
      <scheme val="minor"/>
    </font>
    <font>
      <sz val="12"/>
      <name val="宋体"/>
      <charset val="134"/>
    </font>
    <font>
      <sz val="8"/>
      <name val="Arial"/>
      <charset val="1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8"/>
      <color rgb="FFFF0000"/>
      <name val="Arial"/>
      <charset val="134"/>
    </font>
    <font>
      <sz val="12"/>
      <name val="Arial"/>
      <charset val="1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宋体"/>
      <charset val="1"/>
    </font>
    <font>
      <sz val="12"/>
      <color rgb="FFFF0000"/>
      <name val="Arial"/>
      <charset val="1"/>
    </font>
    <font>
      <sz val="12"/>
      <color rgb="FFFF0000"/>
      <name val="宋体"/>
      <charset val="1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4" fillId="0" borderId="0"/>
    <xf numFmtId="0" fontId="8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</cellStyleXfs>
  <cellXfs count="161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176" fontId="0" fillId="0" borderId="2" xfId="0" applyNumberFormat="1" applyBorder="1"/>
    <xf numFmtId="176" fontId="9" fillId="0" borderId="2" xfId="0" applyNumberFormat="1" applyFont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vertical="center"/>
    </xf>
    <xf numFmtId="176" fontId="10" fillId="0" borderId="10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/>
    <xf numFmtId="0" fontId="1" fillId="0" borderId="2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Protection="1"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/>
    <xf numFmtId="176" fontId="1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0" fillId="0" borderId="2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17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0" fontId="17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76" fontId="14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180" fontId="8" fillId="0" borderId="0" xfId="0" applyNumberFormat="1" applyFont="1" applyFill="1" applyAlignment="1">
      <alignment vertical="center"/>
    </xf>
    <xf numFmtId="180" fontId="8" fillId="0" borderId="0" xfId="0" applyNumberFormat="1" applyFont="1" applyFill="1" applyAlignment="1">
      <alignment horizontal="center" vertical="center"/>
    </xf>
    <xf numFmtId="180" fontId="20" fillId="0" borderId="0" xfId="0" applyNumberFormat="1" applyFont="1" applyFill="1" applyAlignment="1">
      <alignment horizontal="center" vertical="center"/>
    </xf>
    <xf numFmtId="180" fontId="21" fillId="0" borderId="0" xfId="0" applyNumberFormat="1" applyFont="1" applyFill="1" applyAlignment="1">
      <alignment horizontal="left" vertical="center" wrapText="1"/>
    </xf>
    <xf numFmtId="180" fontId="21" fillId="0" borderId="0" xfId="0" applyNumberFormat="1" applyFont="1" applyFill="1" applyBorder="1" applyAlignment="1">
      <alignment horizontal="left" vertical="center" wrapText="1"/>
    </xf>
    <xf numFmtId="180" fontId="22" fillId="0" borderId="2" xfId="0" applyNumberFormat="1" applyFont="1" applyFill="1" applyBorder="1" applyAlignment="1">
      <alignment horizontal="center" vertical="center" wrapText="1"/>
    </xf>
    <xf numFmtId="180" fontId="23" fillId="0" borderId="2" xfId="0" applyNumberFormat="1" applyFont="1" applyFill="1" applyBorder="1" applyAlignment="1">
      <alignment horizontal="center" vertical="center" wrapText="1"/>
    </xf>
    <xf numFmtId="180" fontId="23" fillId="0" borderId="2" xfId="0" applyNumberFormat="1" applyFont="1" applyFill="1" applyBorder="1" applyAlignment="1">
      <alignment horizontal="justify" vertical="top" wrapText="1"/>
    </xf>
    <xf numFmtId="176" fontId="24" fillId="0" borderId="2" xfId="0" applyNumberFormat="1" applyFont="1" applyFill="1" applyBorder="1" applyAlignment="1">
      <alignment horizontal="justify" vertical="top" wrapText="1"/>
    </xf>
    <xf numFmtId="176" fontId="24" fillId="0" borderId="2" xfId="0" applyNumberFormat="1" applyFont="1" applyFill="1" applyBorder="1" applyAlignment="1">
      <alignment horizontal="center" vertical="top" wrapText="1"/>
    </xf>
    <xf numFmtId="180" fontId="24" fillId="0" borderId="2" xfId="0" applyNumberFormat="1" applyFont="1" applyFill="1" applyBorder="1" applyAlignment="1">
      <alignment horizontal="justify" vertical="top" wrapText="1"/>
    </xf>
    <xf numFmtId="181" fontId="24" fillId="0" borderId="2" xfId="0" applyNumberFormat="1" applyFont="1" applyFill="1" applyBorder="1" applyAlignment="1">
      <alignment horizontal="justify" vertical="top" wrapText="1"/>
    </xf>
    <xf numFmtId="180" fontId="21" fillId="0" borderId="2" xfId="0" applyNumberFormat="1" applyFont="1" applyFill="1" applyBorder="1" applyAlignment="1">
      <alignment horizontal="left" vertical="top" wrapText="1"/>
    </xf>
    <xf numFmtId="180" fontId="25" fillId="0" borderId="0" xfId="0" applyNumberFormat="1" applyFont="1" applyFill="1" applyAlignment="1">
      <alignment vertical="center" wrapText="1"/>
    </xf>
    <xf numFmtId="180" fontId="26" fillId="0" borderId="0" xfId="0" applyNumberFormat="1" applyFont="1" applyFill="1" applyAlignment="1">
      <alignment horizontal="left" vertical="center"/>
    </xf>
    <xf numFmtId="180" fontId="23" fillId="0" borderId="0" xfId="0" applyNumberFormat="1" applyFont="1" applyFill="1" applyAlignment="1">
      <alignment horizontal="justify" vertical="center"/>
    </xf>
    <xf numFmtId="180" fontId="23" fillId="0" borderId="0" xfId="0" applyNumberFormat="1" applyFont="1" applyFill="1" applyAlignment="1">
      <alignment horizontal="left" vertical="center" wrapText="1"/>
    </xf>
    <xf numFmtId="180" fontId="27" fillId="0" borderId="0" xfId="0" applyNumberFormat="1" applyFont="1" applyFill="1" applyAlignment="1">
      <alignment vertical="center"/>
    </xf>
    <xf numFmtId="180" fontId="28" fillId="0" borderId="0" xfId="0" applyNumberFormat="1" applyFont="1" applyFill="1" applyAlignment="1">
      <alignment vertical="center"/>
    </xf>
    <xf numFmtId="180" fontId="29" fillId="0" borderId="0" xfId="0" applyNumberFormat="1" applyFont="1" applyFill="1" applyAlignment="1">
      <alignment vertical="center"/>
    </xf>
    <xf numFmtId="180" fontId="8" fillId="0" borderId="0" xfId="0" applyNumberFormat="1" applyFont="1" applyFill="1" applyAlignment="1">
      <alignment horizontal="center" vertical="center" wrapText="1"/>
    </xf>
    <xf numFmtId="180" fontId="8" fillId="0" borderId="0" xfId="0" applyNumberFormat="1" applyFont="1" applyFill="1" applyAlignment="1">
      <alignment vertical="center" wrapText="1"/>
    </xf>
    <xf numFmtId="180" fontId="8" fillId="0" borderId="0" xfId="0" applyNumberFormat="1" applyFont="1" applyFill="1" applyAlignment="1">
      <alignment horizontal="left" vertical="center" wrapText="1"/>
    </xf>
    <xf numFmtId="180" fontId="30" fillId="0" borderId="0" xfId="0" applyNumberFormat="1" applyFont="1" applyFill="1" applyAlignment="1">
      <alignment horizontal="center" vertical="center" wrapText="1"/>
    </xf>
    <xf numFmtId="180" fontId="30" fillId="0" borderId="0" xfId="0" applyNumberFormat="1" applyFont="1" applyFill="1" applyAlignment="1">
      <alignment vertical="center" wrapText="1"/>
    </xf>
    <xf numFmtId="180" fontId="30" fillId="0" borderId="2" xfId="0" applyNumberFormat="1" applyFont="1" applyFill="1" applyBorder="1" applyAlignment="1">
      <alignment horizontal="center" vertical="center" wrapText="1"/>
    </xf>
    <xf numFmtId="182" fontId="24" fillId="0" borderId="2" xfId="0" applyNumberFormat="1" applyFont="1" applyFill="1" applyBorder="1" applyAlignment="1">
      <alignment horizontal="center" vertical="center" wrapText="1"/>
    </xf>
    <xf numFmtId="180" fontId="31" fillId="0" borderId="2" xfId="22" applyNumberFormat="1" applyFont="1" applyFill="1" applyBorder="1" applyAlignment="1">
      <alignment vertical="center" wrapText="1"/>
    </xf>
    <xf numFmtId="180" fontId="31" fillId="0" borderId="2" xfId="22" applyNumberFormat="1" applyFont="1" applyFill="1" applyBorder="1" applyAlignment="1">
      <alignment horizontal="center" vertical="center" wrapText="1"/>
    </xf>
    <xf numFmtId="180" fontId="27" fillId="0" borderId="0" xfId="0" applyNumberFormat="1" applyFont="1" applyFill="1" applyAlignment="1">
      <alignment vertical="center" wrapText="1"/>
    </xf>
    <xf numFmtId="180" fontId="32" fillId="0" borderId="0" xfId="0" applyNumberFormat="1" applyFont="1" applyFill="1" applyAlignment="1">
      <alignment vertical="center" wrapText="1"/>
    </xf>
    <xf numFmtId="180" fontId="8" fillId="0" borderId="2" xfId="0" applyNumberFormat="1" applyFont="1" applyFill="1" applyBorder="1" applyAlignment="1">
      <alignment horizontal="left"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</cellStyles>
  <tableStyles count="0" defaultTableStyle="TableStyleMedium9"/>
  <colors>
    <mruColors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2467;&#31639;\s1&#22320;&#22359;&#32467;&#31639;\20#&#27004;&#26679;&#26495;&#38388;&#32467;&#31639;\&#23665;&#27700;&#25991;&#33489;S1&#22320;&#22359;20&#21495;&#27004;&#19996;&#21333;&#20803;&#31934;&#35013;&#26679;&#26495;&#38388;&#32467;&#31639;&#65288;&#19987;&#262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汇总表"/>
      <sheetName val="结算明细表"/>
      <sheetName val="户内精装修"/>
      <sheetName val="安装清单（结算）"/>
      <sheetName val="安装清单 (合同)"/>
      <sheetName val="计算底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B17" sqref="B17"/>
    </sheetView>
  </sheetViews>
  <sheetFormatPr defaultColWidth="10.2857142857143" defaultRowHeight="14.25" outlineLevelCol="6"/>
  <cols>
    <col min="1" max="1" width="8.28571428571429" style="149" customWidth="1"/>
    <col min="2" max="2" width="40" style="150" customWidth="1"/>
    <col min="3" max="3" width="10.1428571428571" style="149" customWidth="1"/>
    <col min="4" max="4" width="11" style="149" customWidth="1"/>
    <col min="5" max="5" width="10.2857142857143" style="150" customWidth="1"/>
    <col min="6" max="6" width="7.42857142857143" style="151" customWidth="1"/>
    <col min="7" max="7" width="9.71428571428571" style="150" customWidth="1"/>
    <col min="8" max="16384" width="10.2857142857143" style="129"/>
  </cols>
  <sheetData>
    <row r="1" s="129" customFormat="1" ht="57.95" customHeight="1" spans="1:7">
      <c r="A1" s="152" t="s">
        <v>0</v>
      </c>
      <c r="B1" s="152"/>
      <c r="C1" s="152"/>
      <c r="D1" s="152"/>
      <c r="E1" s="152"/>
      <c r="F1" s="152"/>
      <c r="G1" s="153"/>
    </row>
    <row r="2" s="129" customFormat="1" ht="30.75" customHeight="1" spans="1:7">
      <c r="A2" s="154" t="s">
        <v>1</v>
      </c>
      <c r="B2" s="154" t="s">
        <v>2</v>
      </c>
      <c r="C2" s="154" t="s">
        <v>3</v>
      </c>
      <c r="D2" s="154" t="s">
        <v>4</v>
      </c>
      <c r="E2" s="154" t="s">
        <v>5</v>
      </c>
      <c r="F2" s="154" t="s">
        <v>6</v>
      </c>
      <c r="G2" s="150"/>
    </row>
    <row r="3" s="146" customFormat="1" ht="36" customHeight="1" spans="1:7">
      <c r="A3" s="155">
        <v>1</v>
      </c>
      <c r="B3" s="156" t="s">
        <v>7</v>
      </c>
      <c r="C3" s="157" t="s">
        <v>8</v>
      </c>
      <c r="D3" s="157" t="s">
        <v>9</v>
      </c>
      <c r="E3" s="156" t="s">
        <v>10</v>
      </c>
      <c r="F3" s="156"/>
      <c r="G3" s="158"/>
    </row>
    <row r="4" s="146" customFormat="1" ht="27" customHeight="1" spans="1:7">
      <c r="A4" s="155">
        <v>2</v>
      </c>
      <c r="B4" s="156" t="s">
        <v>11</v>
      </c>
      <c r="C4" s="157" t="s">
        <v>8</v>
      </c>
      <c r="D4" s="157" t="s">
        <v>12</v>
      </c>
      <c r="E4" s="156" t="s">
        <v>10</v>
      </c>
      <c r="F4" s="156"/>
      <c r="G4" s="158"/>
    </row>
    <row r="5" s="146" customFormat="1" ht="27" customHeight="1" spans="1:7">
      <c r="A5" s="155">
        <v>3</v>
      </c>
      <c r="B5" s="156" t="s">
        <v>13</v>
      </c>
      <c r="C5" s="157" t="s">
        <v>8</v>
      </c>
      <c r="D5" s="157" t="s">
        <v>14</v>
      </c>
      <c r="E5" s="156" t="s">
        <v>10</v>
      </c>
      <c r="F5" s="156"/>
      <c r="G5" s="158"/>
    </row>
    <row r="6" s="146" customFormat="1" ht="27" customHeight="1" spans="1:7">
      <c r="A6" s="155">
        <v>4</v>
      </c>
      <c r="B6" s="156" t="s">
        <v>15</v>
      </c>
      <c r="C6" s="157" t="s">
        <v>8</v>
      </c>
      <c r="D6" s="157" t="s">
        <v>16</v>
      </c>
      <c r="E6" s="156" t="s">
        <v>10</v>
      </c>
      <c r="F6" s="156"/>
      <c r="G6" s="158"/>
    </row>
    <row r="7" s="146" customFormat="1" ht="27" customHeight="1" spans="1:7">
      <c r="A7" s="155">
        <v>5</v>
      </c>
      <c r="B7" s="156" t="s">
        <v>17</v>
      </c>
      <c r="C7" s="157" t="s">
        <v>18</v>
      </c>
      <c r="D7" s="157" t="s">
        <v>19</v>
      </c>
      <c r="E7" s="156" t="s">
        <v>10</v>
      </c>
      <c r="F7" s="156"/>
      <c r="G7" s="158"/>
    </row>
    <row r="8" s="146" customFormat="1" ht="27" customHeight="1" spans="1:7">
      <c r="A8" s="155">
        <v>6</v>
      </c>
      <c r="B8" s="156" t="s">
        <v>20</v>
      </c>
      <c r="C8" s="157" t="s">
        <v>8</v>
      </c>
      <c r="D8" s="157" t="s">
        <v>21</v>
      </c>
      <c r="E8" s="156" t="s">
        <v>10</v>
      </c>
      <c r="F8" s="156"/>
      <c r="G8" s="158"/>
    </row>
    <row r="9" s="146" customFormat="1" ht="32.1" customHeight="1" spans="1:7">
      <c r="A9" s="155">
        <v>7</v>
      </c>
      <c r="B9" s="156" t="s">
        <v>22</v>
      </c>
      <c r="C9" s="157" t="s">
        <v>8</v>
      </c>
      <c r="D9" s="157" t="s">
        <v>23</v>
      </c>
      <c r="E9" s="156" t="s">
        <v>10</v>
      </c>
      <c r="F9" s="156"/>
      <c r="G9" s="159"/>
    </row>
    <row r="10" s="146" customFormat="1" ht="32.1" customHeight="1" spans="1:7">
      <c r="A10" s="155">
        <v>8</v>
      </c>
      <c r="B10" s="156" t="s">
        <v>24</v>
      </c>
      <c r="C10" s="157" t="s">
        <v>8</v>
      </c>
      <c r="D10" s="157" t="s">
        <v>25</v>
      </c>
      <c r="E10" s="156" t="s">
        <v>10</v>
      </c>
      <c r="F10" s="156"/>
      <c r="G10" s="159"/>
    </row>
    <row r="11" s="147" customFormat="1" ht="32.1" customHeight="1" spans="1:7">
      <c r="A11" s="155">
        <v>9</v>
      </c>
      <c r="B11" s="156" t="s">
        <v>26</v>
      </c>
      <c r="C11" s="157" t="s">
        <v>8</v>
      </c>
      <c r="D11" s="157" t="s">
        <v>27</v>
      </c>
      <c r="E11" s="156" t="s">
        <v>10</v>
      </c>
      <c r="F11" s="156"/>
      <c r="G11" s="159"/>
    </row>
    <row r="12" s="147" customFormat="1" ht="32.1" customHeight="1" spans="1:7">
      <c r="A12" s="155">
        <v>10</v>
      </c>
      <c r="B12" s="156" t="s">
        <v>28</v>
      </c>
      <c r="C12" s="157" t="s">
        <v>8</v>
      </c>
      <c r="D12" s="157" t="s">
        <v>29</v>
      </c>
      <c r="E12" s="156" t="s">
        <v>10</v>
      </c>
      <c r="F12" s="156"/>
      <c r="G12" s="159"/>
    </row>
    <row r="13" s="147" customFormat="1" ht="32.1" customHeight="1" spans="1:7">
      <c r="A13" s="155">
        <v>11</v>
      </c>
      <c r="B13" s="156" t="s">
        <v>30</v>
      </c>
      <c r="C13" s="157" t="s">
        <v>18</v>
      </c>
      <c r="D13" s="157" t="s">
        <v>31</v>
      </c>
      <c r="E13" s="156" t="s">
        <v>10</v>
      </c>
      <c r="F13" s="156"/>
      <c r="G13" s="159"/>
    </row>
    <row r="14" s="147" customFormat="1" ht="32.1" customHeight="1" spans="1:7">
      <c r="A14" s="155">
        <v>12</v>
      </c>
      <c r="B14" s="156" t="s">
        <v>32</v>
      </c>
      <c r="C14" s="157" t="s">
        <v>33</v>
      </c>
      <c r="D14" s="157" t="s">
        <v>34</v>
      </c>
      <c r="E14" s="156" t="s">
        <v>10</v>
      </c>
      <c r="F14" s="156"/>
      <c r="G14" s="159"/>
    </row>
    <row r="15" s="146" customFormat="1" ht="32.1" customHeight="1" spans="1:7">
      <c r="A15" s="155">
        <v>13</v>
      </c>
      <c r="B15" s="156" t="s">
        <v>35</v>
      </c>
      <c r="C15" s="157" t="s">
        <v>8</v>
      </c>
      <c r="D15" s="157" t="s">
        <v>36</v>
      </c>
      <c r="E15" s="156" t="s">
        <v>10</v>
      </c>
      <c r="F15" s="156"/>
      <c r="G15" s="159"/>
    </row>
    <row r="16" s="146" customFormat="1" ht="27" customHeight="1" spans="1:7">
      <c r="A16" s="155">
        <v>14</v>
      </c>
      <c r="B16" s="156" t="s">
        <v>37</v>
      </c>
      <c r="C16" s="157" t="s">
        <v>38</v>
      </c>
      <c r="D16" s="157" t="s">
        <v>39</v>
      </c>
      <c r="E16" s="156" t="s">
        <v>10</v>
      </c>
      <c r="F16" s="156"/>
      <c r="G16" s="158"/>
    </row>
    <row r="17" s="148" customFormat="1" ht="33" customHeight="1" spans="1:7">
      <c r="A17" s="155">
        <v>15</v>
      </c>
      <c r="B17" s="156" t="s">
        <v>40</v>
      </c>
      <c r="C17" s="157" t="s">
        <v>41</v>
      </c>
      <c r="D17" s="157" t="s">
        <v>42</v>
      </c>
      <c r="E17" s="156" t="s">
        <v>10</v>
      </c>
      <c r="F17" s="156"/>
      <c r="G17" s="159"/>
    </row>
    <row r="18" s="148" customFormat="1" ht="33" customHeight="1" spans="1:7">
      <c r="A18" s="155">
        <v>16</v>
      </c>
      <c r="B18" s="156" t="s">
        <v>43</v>
      </c>
      <c r="C18" s="157" t="s">
        <v>41</v>
      </c>
      <c r="D18" s="157" t="s">
        <v>42</v>
      </c>
      <c r="E18" s="156" t="s">
        <v>10</v>
      </c>
      <c r="F18" s="156"/>
      <c r="G18" s="159"/>
    </row>
    <row r="19" s="148" customFormat="1" ht="33" customHeight="1" spans="1:7">
      <c r="A19" s="155">
        <v>17</v>
      </c>
      <c r="B19" s="156" t="s">
        <v>44</v>
      </c>
      <c r="C19" s="157" t="s">
        <v>45</v>
      </c>
      <c r="D19" s="157"/>
      <c r="E19" s="156"/>
      <c r="F19" s="156"/>
      <c r="G19" s="159"/>
    </row>
    <row r="20" s="129" customFormat="1" ht="33.95" customHeight="1" spans="1:7">
      <c r="A20" s="160" t="s">
        <v>46</v>
      </c>
      <c r="B20" s="160"/>
      <c r="C20" s="160" t="s">
        <v>47</v>
      </c>
      <c r="D20" s="160"/>
      <c r="E20" s="160"/>
      <c r="F20" s="160"/>
      <c r="G20" s="150"/>
    </row>
    <row r="21" s="129" customFormat="1" ht="26.1" customHeight="1" spans="1:7">
      <c r="A21" s="160"/>
      <c r="B21" s="160"/>
      <c r="C21" s="160"/>
      <c r="D21" s="160"/>
      <c r="E21" s="160"/>
      <c r="F21" s="160"/>
      <c r="G21" s="150"/>
    </row>
    <row r="22" s="129" customFormat="1" spans="1:7">
      <c r="A22" s="149"/>
      <c r="B22" s="150"/>
      <c r="C22" s="149"/>
      <c r="D22" s="149"/>
      <c r="E22" s="150"/>
      <c r="F22" s="151"/>
      <c r="G22" s="150"/>
    </row>
    <row r="23" s="129" customFormat="1" spans="1:7">
      <c r="A23" s="149"/>
      <c r="B23" s="150"/>
      <c r="C23" s="149"/>
      <c r="D23" s="149"/>
      <c r="E23" s="150"/>
      <c r="F23" s="151"/>
      <c r="G23" s="150"/>
    </row>
    <row r="24" s="129" customFormat="1" spans="1:7">
      <c r="A24" s="149"/>
      <c r="B24" s="150"/>
      <c r="C24" s="149"/>
      <c r="D24" s="149"/>
      <c r="E24" s="150"/>
      <c r="F24" s="151"/>
      <c r="G24" s="150"/>
    </row>
    <row r="25" s="129" customFormat="1" spans="1:7">
      <c r="A25" s="149"/>
      <c r="B25" s="150"/>
      <c r="C25" s="149"/>
      <c r="D25" s="149"/>
      <c r="E25" s="150"/>
      <c r="F25" s="151"/>
      <c r="G25" s="150"/>
    </row>
    <row r="26" s="129" customFormat="1" spans="1:7">
      <c r="A26" s="149"/>
      <c r="B26" s="150"/>
      <c r="C26" s="149"/>
      <c r="D26" s="149"/>
      <c r="E26" s="150"/>
      <c r="F26" s="151"/>
      <c r="G26" s="150"/>
    </row>
    <row r="27" s="129" customFormat="1" spans="1:7">
      <c r="A27" s="149"/>
      <c r="B27" s="150"/>
      <c r="C27" s="149"/>
      <c r="D27" s="149"/>
      <c r="E27" s="150"/>
      <c r="F27" s="151"/>
      <c r="G27" s="150"/>
    </row>
    <row r="28" s="129" customFormat="1" spans="1:7">
      <c r="A28" s="149"/>
      <c r="B28" s="150"/>
      <c r="C28" s="149"/>
      <c r="D28" s="149"/>
      <c r="E28" s="150"/>
      <c r="F28" s="151"/>
      <c r="G28" s="150"/>
    </row>
    <row r="29" s="129" customFormat="1" spans="1:7">
      <c r="A29" s="149"/>
      <c r="B29" s="150"/>
      <c r="C29" s="149"/>
      <c r="D29" s="149"/>
      <c r="E29" s="150"/>
      <c r="F29" s="151"/>
      <c r="G29" s="150"/>
    </row>
    <row r="30" s="129" customFormat="1" spans="1:7">
      <c r="A30" s="149"/>
      <c r="B30" s="150"/>
      <c r="C30" s="149"/>
      <c r="D30" s="149"/>
      <c r="E30" s="150"/>
      <c r="F30" s="151"/>
      <c r="G30" s="150"/>
    </row>
    <row r="31" s="129" customFormat="1" spans="1:7">
      <c r="A31" s="149"/>
      <c r="B31" s="150"/>
      <c r="C31" s="149"/>
      <c r="D31" s="149"/>
      <c r="E31" s="150"/>
      <c r="F31" s="151"/>
      <c r="G31" s="150"/>
    </row>
    <row r="32" s="129" customFormat="1" spans="1:7">
      <c r="A32" s="149"/>
      <c r="B32" s="150"/>
      <c r="C32" s="149"/>
      <c r="D32" s="149"/>
      <c r="E32" s="150"/>
      <c r="F32" s="151"/>
      <c r="G32" s="150"/>
    </row>
    <row r="33" s="129" customFormat="1" spans="1:7">
      <c r="A33" s="149"/>
      <c r="B33" s="150"/>
      <c r="C33" s="149"/>
      <c r="D33" s="149"/>
      <c r="E33" s="150"/>
      <c r="F33" s="151"/>
      <c r="G33" s="150"/>
    </row>
    <row r="34" s="129" customFormat="1" spans="1:7">
      <c r="A34" s="149"/>
      <c r="B34" s="150"/>
      <c r="C34" s="149"/>
      <c r="D34" s="149"/>
      <c r="E34" s="150"/>
      <c r="F34" s="151"/>
      <c r="G34" s="150"/>
    </row>
    <row r="35" s="129" customFormat="1" spans="1:7">
      <c r="A35" s="149"/>
      <c r="B35" s="150"/>
      <c r="C35" s="149"/>
      <c r="D35" s="149"/>
      <c r="E35" s="150"/>
      <c r="F35" s="151"/>
      <c r="G35" s="150"/>
    </row>
    <row r="36" s="129" customFormat="1" ht="43.5" customHeight="1" spans="1:7">
      <c r="A36" s="149"/>
      <c r="B36" s="150"/>
      <c r="C36" s="149"/>
      <c r="D36" s="149"/>
      <c r="E36" s="150"/>
      <c r="F36" s="151"/>
      <c r="G36" s="150"/>
    </row>
  </sheetData>
  <mergeCells count="3">
    <mergeCell ref="A1:F1"/>
    <mergeCell ref="A20:B21"/>
    <mergeCell ref="C20:F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5" workbookViewId="0">
      <selection activeCell="F30" sqref="F30"/>
    </sheetView>
  </sheetViews>
  <sheetFormatPr defaultColWidth="10.2857142857143" defaultRowHeight="14.25" outlineLevelCol="7"/>
  <cols>
    <col min="1" max="1" width="11.5714285714286" style="129" customWidth="1"/>
    <col min="2" max="2" width="12" style="129" customWidth="1"/>
    <col min="3" max="3" width="5.14285714285714" style="129" customWidth="1"/>
    <col min="4" max="4" width="10.5714285714286" style="129" customWidth="1"/>
    <col min="5" max="5" width="12.1428571428571" style="129" customWidth="1"/>
    <col min="6" max="6" width="11" style="129" customWidth="1"/>
    <col min="7" max="7" width="11.4285714285714" style="129" customWidth="1"/>
    <col min="8" max="8" width="14" style="129" customWidth="1"/>
    <col min="9" max="16384" width="10.2857142857143" style="129"/>
  </cols>
  <sheetData>
    <row r="1" s="129" customFormat="1" ht="37.5" customHeight="1" spans="1:8">
      <c r="A1" s="131" t="s">
        <v>48</v>
      </c>
      <c r="B1" s="131"/>
      <c r="C1" s="131"/>
      <c r="D1" s="131"/>
      <c r="E1" s="131"/>
      <c r="F1" s="131"/>
      <c r="G1" s="131"/>
      <c r="H1" s="131"/>
    </row>
    <row r="2" s="129" customFormat="1" ht="31.9" customHeight="1" spans="1:8">
      <c r="A2" s="132" t="s">
        <v>49</v>
      </c>
      <c r="B2" s="132"/>
      <c r="C2" s="132"/>
      <c r="D2" s="132"/>
      <c r="E2" s="132"/>
      <c r="F2" s="132"/>
      <c r="G2" s="132"/>
      <c r="H2" s="132"/>
    </row>
    <row r="3" s="129" customFormat="1" ht="23.25" customHeight="1" spans="1:8">
      <c r="A3" s="132" t="s">
        <v>50</v>
      </c>
      <c r="B3" s="132"/>
      <c r="C3" s="132"/>
      <c r="D3" s="132"/>
      <c r="E3" s="132"/>
      <c r="F3" s="132"/>
      <c r="G3" s="132"/>
      <c r="H3" s="132"/>
    </row>
    <row r="4" s="129" customFormat="1" ht="25.5" customHeight="1" spans="1:8">
      <c r="A4" s="132" t="s">
        <v>51</v>
      </c>
      <c r="B4" s="132"/>
      <c r="C4" s="132"/>
      <c r="D4" s="132"/>
      <c r="E4" s="132"/>
      <c r="F4" s="132"/>
      <c r="G4" s="132"/>
      <c r="H4" s="132"/>
    </row>
    <row r="5" s="129" customFormat="1" ht="30" customHeight="1" spans="1:8">
      <c r="A5" s="133" t="s">
        <v>52</v>
      </c>
      <c r="B5" s="133"/>
      <c r="C5" s="133"/>
      <c r="D5" s="133"/>
      <c r="E5" s="133"/>
      <c r="F5" s="133"/>
      <c r="G5" s="133"/>
      <c r="H5" s="133"/>
    </row>
    <row r="6" s="130" customFormat="1" ht="24" customHeight="1" spans="1:8">
      <c r="A6" s="134" t="s">
        <v>1</v>
      </c>
      <c r="B6" s="134" t="s">
        <v>53</v>
      </c>
      <c r="C6" s="134"/>
      <c r="D6" s="134"/>
      <c r="E6" s="134" t="s">
        <v>54</v>
      </c>
      <c r="F6" s="134" t="s">
        <v>55</v>
      </c>
      <c r="G6" s="134" t="s">
        <v>56</v>
      </c>
      <c r="H6" s="134" t="s">
        <v>57</v>
      </c>
    </row>
    <row r="7" s="129" customFormat="1" ht="20.25" customHeight="1" spans="1:8">
      <c r="A7" s="135" t="s">
        <v>58</v>
      </c>
      <c r="B7" s="136" t="s">
        <v>59</v>
      </c>
      <c r="C7" s="136"/>
      <c r="D7" s="136"/>
      <c r="E7" s="137">
        <f>E8+E9+E10+E11</f>
        <v>0</v>
      </c>
      <c r="F7" s="137">
        <v>0</v>
      </c>
      <c r="G7" s="137">
        <f>G8+G9+G10+G11</f>
        <v>0</v>
      </c>
      <c r="H7" s="137">
        <f>H8+H9-H11-H12</f>
        <v>541700</v>
      </c>
    </row>
    <row r="8" s="129" customFormat="1" ht="20.25" customHeight="1" spans="1:8">
      <c r="A8" s="138">
        <v>1.1</v>
      </c>
      <c r="B8" s="139" t="s">
        <v>60</v>
      </c>
      <c r="C8" s="139"/>
      <c r="D8" s="139"/>
      <c r="E8" s="137">
        <v>0</v>
      </c>
      <c r="F8" s="137">
        <v>0</v>
      </c>
      <c r="G8" s="137">
        <v>0</v>
      </c>
      <c r="H8" s="137">
        <f>硬质铺装!L42+安装部分!L16</f>
        <v>464999.997533269</v>
      </c>
    </row>
    <row r="9" s="129" customFormat="1" ht="20.25" customHeight="1" spans="1:8">
      <c r="A9" s="138">
        <v>1.2</v>
      </c>
      <c r="B9" s="139" t="s">
        <v>61</v>
      </c>
      <c r="C9" s="139"/>
      <c r="D9" s="139"/>
      <c r="E9" s="137">
        <v>0</v>
      </c>
      <c r="F9" s="137">
        <v>0</v>
      </c>
      <c r="G9" s="137">
        <v>0</v>
      </c>
      <c r="H9" s="137">
        <f>结算明细表!F6</f>
        <v>84089.37063</v>
      </c>
    </row>
    <row r="10" s="129" customFormat="1" ht="20.25" customHeight="1" spans="1:8">
      <c r="A10" s="138">
        <v>1.3</v>
      </c>
      <c r="B10" s="139" t="s">
        <v>62</v>
      </c>
      <c r="C10" s="139"/>
      <c r="D10" s="139"/>
      <c r="E10" s="137">
        <v>0</v>
      </c>
      <c r="F10" s="137">
        <v>0</v>
      </c>
      <c r="G10" s="137">
        <v>0</v>
      </c>
      <c r="H10" s="139"/>
    </row>
    <row r="11" s="129" customFormat="1" ht="20.25" customHeight="1" spans="1:8">
      <c r="A11" s="138">
        <v>1.4</v>
      </c>
      <c r="B11" s="139" t="s">
        <v>63</v>
      </c>
      <c r="C11" s="139"/>
      <c r="D11" s="139"/>
      <c r="E11" s="137">
        <v>0</v>
      </c>
      <c r="F11" s="137">
        <v>0</v>
      </c>
      <c r="G11" s="137">
        <v>0</v>
      </c>
      <c r="H11" s="137">
        <f>-结算明细表!F7</f>
        <v>7311.86950601469</v>
      </c>
    </row>
    <row r="12" s="129" customFormat="1" ht="20.25" customHeight="1" spans="1:8">
      <c r="A12" s="138">
        <v>1.5</v>
      </c>
      <c r="B12" s="139" t="s">
        <v>64</v>
      </c>
      <c r="C12" s="139"/>
      <c r="D12" s="139"/>
      <c r="E12" s="139"/>
      <c r="F12" s="139"/>
      <c r="G12" s="139"/>
      <c r="H12" s="137">
        <f>结算明细表!F8-结算明细表!F9</f>
        <v>77.4986572542693</v>
      </c>
    </row>
    <row r="13" s="129" customFormat="1" ht="20.25" customHeight="1" spans="1:8">
      <c r="A13" s="135" t="s">
        <v>65</v>
      </c>
      <c r="B13" s="136" t="s">
        <v>66</v>
      </c>
      <c r="C13" s="136"/>
      <c r="D13" s="136"/>
      <c r="E13" s="137">
        <v>0</v>
      </c>
      <c r="F13" s="137"/>
      <c r="G13" s="137">
        <v>0</v>
      </c>
      <c r="H13" s="137">
        <v>0</v>
      </c>
    </row>
    <row r="14" s="129" customFormat="1" ht="20.25" customHeight="1" spans="1:8">
      <c r="A14" s="138">
        <v>2.1</v>
      </c>
      <c r="B14" s="139" t="s">
        <v>67</v>
      </c>
      <c r="C14" s="139"/>
      <c r="D14" s="139"/>
      <c r="E14" s="137">
        <v>0</v>
      </c>
      <c r="F14" s="137"/>
      <c r="G14" s="137">
        <v>0</v>
      </c>
      <c r="H14" s="137">
        <v>0</v>
      </c>
    </row>
    <row r="15" s="129" customFormat="1" ht="20.25" customHeight="1" spans="1:8">
      <c r="A15" s="138">
        <v>2.2</v>
      </c>
      <c r="B15" s="139" t="s">
        <v>67</v>
      </c>
      <c r="C15" s="139"/>
      <c r="D15" s="139"/>
      <c r="E15" s="137">
        <v>0</v>
      </c>
      <c r="F15" s="137"/>
      <c r="G15" s="137">
        <v>0</v>
      </c>
      <c r="H15" s="137">
        <v>0</v>
      </c>
    </row>
    <row r="16" s="129" customFormat="1" ht="20.25" customHeight="1" spans="1:8">
      <c r="A16" s="135" t="s">
        <v>68</v>
      </c>
      <c r="B16" s="136" t="s">
        <v>69</v>
      </c>
      <c r="C16" s="136"/>
      <c r="D16" s="139" t="s">
        <v>70</v>
      </c>
      <c r="E16" s="140">
        <f>H7</f>
        <v>541700</v>
      </c>
      <c r="F16" s="140"/>
      <c r="G16" s="140"/>
      <c r="H16" s="140"/>
    </row>
    <row r="17" s="129" customFormat="1" ht="20.25" customHeight="1" spans="1:8">
      <c r="A17" s="135"/>
      <c r="B17" s="136"/>
      <c r="C17" s="136"/>
      <c r="D17" s="139" t="s">
        <v>71</v>
      </c>
      <c r="E17" s="141">
        <f>E16</f>
        <v>541700</v>
      </c>
      <c r="F17" s="141"/>
      <c r="G17" s="141"/>
      <c r="H17" s="141"/>
    </row>
    <row r="18" s="129" customFormat="1" ht="20.25" customHeight="1" spans="1:8">
      <c r="A18" s="135" t="s">
        <v>72</v>
      </c>
      <c r="B18" s="136" t="s">
        <v>73</v>
      </c>
      <c r="C18" s="136"/>
      <c r="D18" s="136"/>
      <c r="E18" s="137">
        <v>0</v>
      </c>
      <c r="F18" s="137"/>
      <c r="G18" s="137"/>
      <c r="H18" s="137"/>
    </row>
    <row r="19" s="129" customFormat="1" ht="20.25" customHeight="1" spans="1:8">
      <c r="A19" s="138">
        <v>4.1</v>
      </c>
      <c r="B19" s="139" t="s">
        <v>74</v>
      </c>
      <c r="C19" s="139"/>
      <c r="D19" s="139"/>
      <c r="E19" s="137">
        <v>0</v>
      </c>
      <c r="F19" s="137"/>
      <c r="G19" s="137"/>
      <c r="H19" s="137"/>
    </row>
    <row r="20" s="129" customFormat="1" ht="20.25" customHeight="1" spans="1:8">
      <c r="A20" s="138">
        <v>4.2</v>
      </c>
      <c r="B20" s="139" t="s">
        <v>75</v>
      </c>
      <c r="C20" s="139"/>
      <c r="D20" s="139"/>
      <c r="E20" s="137">
        <v>0</v>
      </c>
      <c r="F20" s="137"/>
      <c r="G20" s="137"/>
      <c r="H20" s="137"/>
    </row>
    <row r="21" s="129" customFormat="1" ht="20.25" customHeight="1" spans="1:8">
      <c r="A21" s="135" t="s">
        <v>76</v>
      </c>
      <c r="B21" s="136" t="s">
        <v>77</v>
      </c>
      <c r="C21" s="136"/>
      <c r="D21" s="136"/>
      <c r="E21" s="137">
        <v>0</v>
      </c>
      <c r="F21" s="137"/>
      <c r="G21" s="137"/>
      <c r="H21" s="137"/>
    </row>
    <row r="22" s="129" customFormat="1" ht="20.25" customHeight="1" spans="1:8">
      <c r="A22" s="138">
        <v>5.1</v>
      </c>
      <c r="B22" s="139" t="s">
        <v>78</v>
      </c>
      <c r="C22" s="139"/>
      <c r="D22" s="139"/>
      <c r="E22" s="139" t="s">
        <v>79</v>
      </c>
      <c r="F22" s="139"/>
      <c r="G22" s="139"/>
      <c r="H22" s="139"/>
    </row>
    <row r="23" s="129" customFormat="1" ht="20.25" customHeight="1" spans="1:8">
      <c r="A23" s="138">
        <v>5.2</v>
      </c>
      <c r="B23" s="139" t="s">
        <v>80</v>
      </c>
      <c r="C23" s="139"/>
      <c r="D23" s="139"/>
      <c r="E23" s="139" t="s">
        <v>79</v>
      </c>
      <c r="F23" s="139"/>
      <c r="G23" s="139"/>
      <c r="H23" s="139"/>
    </row>
    <row r="24" s="129" customFormat="1" ht="20.25" customHeight="1" spans="1:8">
      <c r="A24" s="135" t="s">
        <v>81</v>
      </c>
      <c r="B24" s="136" t="s">
        <v>82</v>
      </c>
      <c r="C24" s="139" t="s">
        <v>70</v>
      </c>
      <c r="D24" s="139"/>
      <c r="E24" s="140">
        <f>E16</f>
        <v>541700</v>
      </c>
      <c r="F24" s="140"/>
      <c r="G24" s="140"/>
      <c r="H24" s="140"/>
    </row>
    <row r="25" s="129" customFormat="1" ht="20.25" customHeight="1" spans="1:8">
      <c r="A25" s="135"/>
      <c r="B25" s="136"/>
      <c r="C25" s="139" t="s">
        <v>71</v>
      </c>
      <c r="D25" s="139"/>
      <c r="E25" s="141">
        <f>E17</f>
        <v>541700</v>
      </c>
      <c r="F25" s="141"/>
      <c r="G25" s="141"/>
      <c r="H25" s="141"/>
    </row>
    <row r="26" s="129" customFormat="1" ht="20.25" customHeight="1" spans="1:8">
      <c r="A26" s="135" t="s">
        <v>83</v>
      </c>
      <c r="B26" s="136" t="s">
        <v>84</v>
      </c>
      <c r="C26" s="139" t="s">
        <v>70</v>
      </c>
      <c r="D26" s="139"/>
      <c r="E26" s="140">
        <f>E24</f>
        <v>541700</v>
      </c>
      <c r="F26" s="140"/>
      <c r="G26" s="140"/>
      <c r="H26" s="140"/>
    </row>
    <row r="27" s="129" customFormat="1" ht="20.25" customHeight="1" spans="1:8">
      <c r="A27" s="135"/>
      <c r="B27" s="136"/>
      <c r="C27" s="139" t="s">
        <v>71</v>
      </c>
      <c r="D27" s="139"/>
      <c r="E27" s="141">
        <f>E17</f>
        <v>541700</v>
      </c>
      <c r="F27" s="141"/>
      <c r="G27" s="141"/>
      <c r="H27" s="141"/>
    </row>
    <row r="28" s="129" customFormat="1" spans="1:8">
      <c r="A28" s="142"/>
      <c r="B28" s="142"/>
      <c r="C28" s="142"/>
      <c r="D28" s="142"/>
      <c r="E28" s="142"/>
      <c r="F28" s="142"/>
      <c r="G28" s="142"/>
      <c r="H28" s="142"/>
    </row>
    <row r="29" s="129" customFormat="1" spans="1:8">
      <c r="A29" s="143" t="s">
        <v>85</v>
      </c>
      <c r="B29" s="143"/>
      <c r="C29" s="143"/>
      <c r="D29" s="143"/>
      <c r="E29" s="143"/>
      <c r="F29" s="143"/>
      <c r="G29" s="143"/>
      <c r="H29" s="143"/>
    </row>
    <row r="30" s="129" customFormat="1" spans="1:1">
      <c r="A30" s="144"/>
    </row>
    <row r="31" s="129" customFormat="1" spans="1:1">
      <c r="A31" s="144"/>
    </row>
    <row r="32" s="129" customFormat="1" spans="1:8">
      <c r="A32" s="143" t="s">
        <v>86</v>
      </c>
      <c r="B32" s="143"/>
      <c r="C32" s="143"/>
      <c r="D32" s="143"/>
      <c r="E32" s="143"/>
      <c r="F32" s="143"/>
      <c r="G32" s="143"/>
      <c r="H32" s="143"/>
    </row>
    <row r="33" s="129" customFormat="1" spans="1:1">
      <c r="A33" s="144"/>
    </row>
    <row r="34" s="129" customFormat="1" ht="27" customHeight="1" spans="1:8">
      <c r="A34" s="145"/>
      <c r="B34" s="145"/>
      <c r="C34" s="145"/>
      <c r="D34" s="145"/>
      <c r="E34" s="145"/>
      <c r="F34" s="145"/>
      <c r="G34" s="145"/>
      <c r="H34" s="145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7" sqref="G7"/>
    </sheetView>
  </sheetViews>
  <sheetFormatPr defaultColWidth="8.85714285714286" defaultRowHeight="12.75" outlineLevelCol="7"/>
  <cols>
    <col min="1" max="1" width="5.85714285714286" customWidth="1"/>
    <col min="2" max="2" width="19" customWidth="1"/>
    <col min="3" max="3" width="7.57142857142857" style="108" customWidth="1"/>
    <col min="4" max="4" width="12.4285714285714" customWidth="1"/>
    <col min="5" max="5" width="15.5714285714286" customWidth="1"/>
    <col min="6" max="6" width="17.1428571428571" customWidth="1"/>
    <col min="7" max="7" width="12.8571428571429" customWidth="1"/>
    <col min="8" max="8" width="15.7142857142857" customWidth="1"/>
    <col min="9" max="9" width="17.8571428571429"/>
  </cols>
  <sheetData>
    <row r="1" s="106" customFormat="1" ht="81" customHeight="1" spans="1:7">
      <c r="A1" s="51" t="s">
        <v>87</v>
      </c>
      <c r="B1" s="51"/>
      <c r="C1" s="51"/>
      <c r="D1" s="51"/>
      <c r="E1" s="51"/>
      <c r="F1" s="51"/>
      <c r="G1" s="51"/>
    </row>
    <row r="2" s="106" customFormat="1" ht="36" customHeight="1" spans="1:7">
      <c r="A2" s="109" t="s">
        <v>88</v>
      </c>
      <c r="B2" s="109" t="s">
        <v>53</v>
      </c>
      <c r="C2" s="109" t="s">
        <v>89</v>
      </c>
      <c r="D2" s="109" t="s">
        <v>90</v>
      </c>
      <c r="E2" s="110" t="s">
        <v>91</v>
      </c>
      <c r="F2" s="110" t="s">
        <v>92</v>
      </c>
      <c r="G2" s="111" t="s">
        <v>6</v>
      </c>
    </row>
    <row r="3" s="106" customFormat="1" ht="31" customHeight="1" spans="1:8">
      <c r="A3" s="109" t="s">
        <v>58</v>
      </c>
      <c r="B3" s="112" t="s">
        <v>60</v>
      </c>
      <c r="C3" s="109"/>
      <c r="D3" s="109"/>
      <c r="E3" s="110"/>
      <c r="F3" s="110">
        <f>SUM(F4:F5)</f>
        <v>464999.997533269</v>
      </c>
      <c r="G3" s="111"/>
      <c r="H3" s="49"/>
    </row>
    <row r="4" s="106" customFormat="1" ht="31" customHeight="1" spans="1:8">
      <c r="A4" s="104">
        <v>1</v>
      </c>
      <c r="B4" s="113" t="s">
        <v>93</v>
      </c>
      <c r="C4" s="104" t="s">
        <v>94</v>
      </c>
      <c r="D4" s="114">
        <v>1</v>
      </c>
      <c r="E4" s="115">
        <f>硬质铺装!L42</f>
        <v>451202.0772474</v>
      </c>
      <c r="F4" s="116">
        <f>D4*E4</f>
        <v>451202.0772474</v>
      </c>
      <c r="G4" s="117"/>
      <c r="H4"/>
    </row>
    <row r="5" s="106" customFormat="1" ht="31" customHeight="1" spans="1:8">
      <c r="A5" s="104">
        <v>2</v>
      </c>
      <c r="B5" s="113" t="s">
        <v>95</v>
      </c>
      <c r="C5" s="104" t="s">
        <v>94</v>
      </c>
      <c r="D5" s="114">
        <v>1</v>
      </c>
      <c r="E5" s="115">
        <f>安装部分!L16</f>
        <v>13797.9202858687</v>
      </c>
      <c r="F5" s="116">
        <f>安装部分!L16</f>
        <v>13797.9202858687</v>
      </c>
      <c r="G5" s="117"/>
      <c r="H5"/>
    </row>
    <row r="6" ht="31" customHeight="1" spans="1:7">
      <c r="A6" s="17" t="s">
        <v>65</v>
      </c>
      <c r="B6" s="17" t="s">
        <v>96</v>
      </c>
      <c r="C6" s="26"/>
      <c r="D6" s="22"/>
      <c r="E6" s="22"/>
      <c r="F6" s="118">
        <f>变更部分!L16</f>
        <v>84089.37063</v>
      </c>
      <c r="G6" s="22"/>
    </row>
    <row r="7" s="107" customFormat="1" ht="31" customHeight="1" spans="1:7">
      <c r="A7" s="119" t="s">
        <v>68</v>
      </c>
      <c r="B7" s="119" t="s">
        <v>97</v>
      </c>
      <c r="C7" s="120"/>
      <c r="D7" s="121"/>
      <c r="E7" s="121"/>
      <c r="F7" s="122">
        <f>未施工项目!L7+'安装部分 (调整)'!L12</f>
        <v>-7311.86950601469</v>
      </c>
      <c r="G7" s="121"/>
    </row>
    <row r="8" s="107" customFormat="1" ht="31" customHeight="1" spans="1:7">
      <c r="A8" s="119" t="s">
        <v>72</v>
      </c>
      <c r="B8" s="119" t="s">
        <v>98</v>
      </c>
      <c r="C8" s="120"/>
      <c r="D8" s="119"/>
      <c r="E8" s="121"/>
      <c r="F8" s="122">
        <f>F7+F6+F3</f>
        <v>541777.498657254</v>
      </c>
      <c r="G8" s="123"/>
    </row>
    <row r="9" s="107" customFormat="1" ht="25" customHeight="1" spans="1:7">
      <c r="A9" s="119" t="s">
        <v>76</v>
      </c>
      <c r="B9" s="119" t="s">
        <v>99</v>
      </c>
      <c r="C9" s="120"/>
      <c r="D9" s="119"/>
      <c r="E9" s="121"/>
      <c r="F9" s="120">
        <v>541700</v>
      </c>
      <c r="G9" s="123"/>
    </row>
    <row r="10" s="107" customFormat="1" ht="25" customHeight="1" spans="3:7">
      <c r="C10" s="124"/>
      <c r="D10" s="125"/>
      <c r="G10" s="126"/>
    </row>
    <row r="11" s="107" customFormat="1" ht="25" customHeight="1" spans="2:7">
      <c r="B11" s="126"/>
      <c r="C11" s="127"/>
      <c r="D11" s="128"/>
      <c r="E11" s="126"/>
      <c r="F11" s="126"/>
      <c r="G11" s="126"/>
    </row>
    <row r="12" ht="25" customHeight="1"/>
    <row r="13" ht="25" customHeight="1"/>
    <row r="14" ht="25" customHeight="1"/>
    <row r="15" ht="25" customHeight="1"/>
  </sheetData>
  <mergeCells count="1">
    <mergeCell ref="A1:G1"/>
  </mergeCells>
  <pageMargins left="0.75" right="0.75" top="1" bottom="1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42"/>
  <sheetViews>
    <sheetView zoomScale="130" zoomScaleNormal="130" workbookViewId="0">
      <pane ySplit="3" topLeftCell="A28" activePane="bottomLeft" state="frozen"/>
      <selection/>
      <selection pane="bottomLeft" activeCell="G44" sqref="G44"/>
    </sheetView>
  </sheetViews>
  <sheetFormatPr defaultColWidth="9.14285714285714" defaultRowHeight="14.25"/>
  <cols>
    <col min="1" max="1" width="5.21904761904762" style="94" customWidth="1"/>
    <col min="2" max="2" width="24.552380952381" style="95" customWidth="1"/>
    <col min="3" max="3" width="41.8571428571429" style="95" customWidth="1"/>
    <col min="4" max="4" width="4.85714285714286" style="94" customWidth="1"/>
    <col min="5" max="5" width="10" style="95" customWidth="1"/>
    <col min="6" max="6" width="7.66666666666667" style="36" customWidth="1"/>
    <col min="7" max="7" width="8.44761904761905" style="36" customWidth="1"/>
    <col min="8" max="8" width="9.21904761904762" style="36" customWidth="1"/>
    <col min="9" max="9" width="12.1142857142857" style="36" customWidth="1"/>
    <col min="10" max="10" width="8.33333333333333" style="36" customWidth="1"/>
    <col min="11" max="11" width="12.2190476190476" style="35" customWidth="1"/>
    <col min="12" max="12" width="10" style="36" customWidth="1"/>
    <col min="13" max="13" width="7.57142857142857" style="96" customWidth="1"/>
    <col min="14" max="14" width="7.78095238095238" style="96" customWidth="1"/>
    <col min="15" max="15" width="14.8571428571429" style="1" customWidth="1"/>
    <col min="16" max="16" width="18.2857142857143" style="1" customWidth="1"/>
    <col min="17" max="17" width="17.5714285714286" style="1" customWidth="1"/>
    <col min="18" max="19" width="14" style="1"/>
    <col min="20" max="20" width="20.1428571428571" style="1" customWidth="1"/>
    <col min="21" max="16383" width="9.14285714285714" style="1"/>
    <col min="16384" max="16384" width="10" style="1" customWidth="1"/>
  </cols>
  <sheetData>
    <row r="1" ht="20.25" spans="1:15">
      <c r="A1" s="4" t="s">
        <v>100</v>
      </c>
      <c r="B1" s="4"/>
      <c r="C1" s="4"/>
      <c r="D1" s="4"/>
      <c r="E1" s="4"/>
      <c r="F1" s="5"/>
      <c r="G1" s="5"/>
      <c r="H1" s="5"/>
      <c r="I1" s="5"/>
      <c r="J1" s="5"/>
      <c r="M1" s="37"/>
      <c r="N1" s="37"/>
      <c r="O1" s="38"/>
    </row>
    <row r="2" s="2" customFormat="1" ht="11.25" spans="1:15">
      <c r="A2" s="6" t="s">
        <v>1</v>
      </c>
      <c r="B2" s="6" t="s">
        <v>53</v>
      </c>
      <c r="C2" s="6" t="s">
        <v>101</v>
      </c>
      <c r="D2" s="6" t="s">
        <v>102</v>
      </c>
      <c r="E2" s="6" t="s">
        <v>90</v>
      </c>
      <c r="F2" s="7" t="s">
        <v>103</v>
      </c>
      <c r="G2" s="7"/>
      <c r="H2" s="7"/>
      <c r="I2" s="7"/>
      <c r="J2" s="7"/>
      <c r="K2" s="9" t="s">
        <v>104</v>
      </c>
      <c r="L2" s="9" t="s">
        <v>105</v>
      </c>
      <c r="M2" s="39" t="s">
        <v>6</v>
      </c>
      <c r="N2" s="39" t="s">
        <v>106</v>
      </c>
      <c r="O2" s="40"/>
    </row>
    <row r="3" s="2" customFormat="1" ht="52.5" collapsed="1" spans="1:15">
      <c r="A3" s="8"/>
      <c r="B3" s="8"/>
      <c r="C3" s="8"/>
      <c r="D3" s="8"/>
      <c r="E3" s="8"/>
      <c r="F3" s="9" t="s">
        <v>107</v>
      </c>
      <c r="G3" s="9" t="s">
        <v>108</v>
      </c>
      <c r="H3" s="9" t="s">
        <v>109</v>
      </c>
      <c r="I3" s="7" t="s">
        <v>110</v>
      </c>
      <c r="J3" s="7" t="s">
        <v>111</v>
      </c>
      <c r="K3" s="41"/>
      <c r="L3" s="41"/>
      <c r="M3" s="42"/>
      <c r="N3" s="42"/>
      <c r="O3" s="40"/>
    </row>
    <row r="4" s="89" customFormat="1" ht="52.5" hidden="1" outlineLevel="1" spans="1:15">
      <c r="A4" s="13">
        <v>1</v>
      </c>
      <c r="B4" s="12" t="s">
        <v>112</v>
      </c>
      <c r="C4" s="12" t="s">
        <v>113</v>
      </c>
      <c r="D4" s="13" t="s">
        <v>114</v>
      </c>
      <c r="E4" s="24">
        <v>8.804</v>
      </c>
      <c r="F4" s="15"/>
      <c r="G4" s="15"/>
      <c r="H4" s="31">
        <v>8.5</v>
      </c>
      <c r="I4" s="43">
        <f t="shared" ref="I4:I14" si="0">((F4+G4+H4)*0.06)*0.7103839320882</f>
        <v>0.362295805364982</v>
      </c>
      <c r="J4" s="47">
        <f t="shared" ref="J4:J41" si="1">(F4+G4+H4+I4)*0.09</f>
        <v>0.797606622482848</v>
      </c>
      <c r="K4" s="7">
        <f t="shared" ref="K4:K41" si="2">F4+G4+H4+I4+J4</f>
        <v>9.65990242784783</v>
      </c>
      <c r="L4" s="7">
        <f t="shared" ref="L4:L41" si="3">K4*E4</f>
        <v>85.0457809747723</v>
      </c>
      <c r="M4" s="45"/>
      <c r="N4" s="45"/>
      <c r="O4" s="92"/>
    </row>
    <row r="5" s="89" customFormat="1" ht="52.5" hidden="1" outlineLevel="1" spans="1:15">
      <c r="A5" s="13">
        <v>2</v>
      </c>
      <c r="B5" s="12" t="s">
        <v>115</v>
      </c>
      <c r="C5" s="12" t="s">
        <v>116</v>
      </c>
      <c r="D5" s="13" t="s">
        <v>114</v>
      </c>
      <c r="E5" s="24">
        <v>1.484</v>
      </c>
      <c r="F5" s="15"/>
      <c r="G5" s="15"/>
      <c r="H5" s="31">
        <v>10</v>
      </c>
      <c r="I5" s="43">
        <f t="shared" si="0"/>
        <v>0.42623035925292</v>
      </c>
      <c r="J5" s="47">
        <f t="shared" si="1"/>
        <v>0.938360732332763</v>
      </c>
      <c r="K5" s="7">
        <f t="shared" si="2"/>
        <v>11.3645910915857</v>
      </c>
      <c r="L5" s="7">
        <f t="shared" si="3"/>
        <v>16.8650531799132</v>
      </c>
      <c r="M5" s="45"/>
      <c r="N5" s="45"/>
      <c r="O5" s="92"/>
    </row>
    <row r="6" s="89" customFormat="1" ht="21" hidden="1" outlineLevel="1" spans="1:15">
      <c r="A6" s="13">
        <v>3</v>
      </c>
      <c r="B6" s="12" t="s">
        <v>117</v>
      </c>
      <c r="C6" s="12" t="s">
        <v>118</v>
      </c>
      <c r="D6" s="13" t="s">
        <v>119</v>
      </c>
      <c r="E6" s="14">
        <v>12.4</v>
      </c>
      <c r="F6" s="31">
        <v>0.5</v>
      </c>
      <c r="G6" s="7"/>
      <c r="H6" s="31">
        <v>2.5</v>
      </c>
      <c r="I6" s="43">
        <f t="shared" si="0"/>
        <v>0.127869107775876</v>
      </c>
      <c r="J6" s="47">
        <f t="shared" si="1"/>
        <v>0.281508219699829</v>
      </c>
      <c r="K6" s="7">
        <f t="shared" si="2"/>
        <v>3.4093773274757</v>
      </c>
      <c r="L6" s="7">
        <f t="shared" si="3"/>
        <v>42.2762788606987</v>
      </c>
      <c r="M6" s="45"/>
      <c r="N6" s="45"/>
      <c r="O6" s="92"/>
    </row>
    <row r="7" s="89" customFormat="1" ht="21" hidden="1" outlineLevel="1" spans="1:15">
      <c r="A7" s="13">
        <v>4</v>
      </c>
      <c r="B7" s="12" t="s">
        <v>120</v>
      </c>
      <c r="C7" s="12" t="s">
        <v>121</v>
      </c>
      <c r="D7" s="13" t="s">
        <v>114</v>
      </c>
      <c r="E7" s="14">
        <v>1.86</v>
      </c>
      <c r="F7" s="31">
        <v>10</v>
      </c>
      <c r="G7" s="32">
        <v>95</v>
      </c>
      <c r="H7" s="31">
        <v>15</v>
      </c>
      <c r="I7" s="43">
        <f t="shared" si="0"/>
        <v>5.11476431103504</v>
      </c>
      <c r="J7" s="47">
        <f t="shared" si="1"/>
        <v>11.2603287879932</v>
      </c>
      <c r="K7" s="7">
        <f t="shared" si="2"/>
        <v>136.375093099028</v>
      </c>
      <c r="L7" s="7">
        <f t="shared" si="3"/>
        <v>253.657673164192</v>
      </c>
      <c r="M7" s="45"/>
      <c r="N7" s="45"/>
      <c r="O7" s="92"/>
    </row>
    <row r="8" s="89" customFormat="1" ht="42" hidden="1" outlineLevel="1" spans="1:15">
      <c r="A8" s="13">
        <v>5</v>
      </c>
      <c r="B8" s="12" t="s">
        <v>122</v>
      </c>
      <c r="C8" s="12" t="s">
        <v>123</v>
      </c>
      <c r="D8" s="13" t="s">
        <v>114</v>
      </c>
      <c r="E8" s="24">
        <v>1.24</v>
      </c>
      <c r="F8" s="31">
        <v>55</v>
      </c>
      <c r="G8" s="32">
        <v>445</v>
      </c>
      <c r="H8" s="31">
        <v>15</v>
      </c>
      <c r="I8" s="43">
        <f t="shared" si="0"/>
        <v>21.9508635015254</v>
      </c>
      <c r="J8" s="47">
        <f t="shared" si="1"/>
        <v>48.3255777151373</v>
      </c>
      <c r="K8" s="7">
        <f t="shared" si="2"/>
        <v>585.276441216663</v>
      </c>
      <c r="L8" s="7">
        <f t="shared" si="3"/>
        <v>725.742787108662</v>
      </c>
      <c r="M8" s="45"/>
      <c r="N8" s="45"/>
      <c r="O8" s="92"/>
    </row>
    <row r="9" s="89" customFormat="1" ht="42" hidden="1" outlineLevel="1" spans="1:15">
      <c r="A9" s="13">
        <v>6</v>
      </c>
      <c r="B9" s="97" t="s">
        <v>124</v>
      </c>
      <c r="C9" s="12" t="s">
        <v>125</v>
      </c>
      <c r="D9" s="13" t="s">
        <v>114</v>
      </c>
      <c r="E9" s="24">
        <v>3.72</v>
      </c>
      <c r="F9" s="14">
        <v>220</v>
      </c>
      <c r="G9" s="14">
        <v>260</v>
      </c>
      <c r="H9" s="14">
        <v>85</v>
      </c>
      <c r="I9" s="43">
        <f t="shared" si="0"/>
        <v>24.08201529779</v>
      </c>
      <c r="J9" s="47">
        <f t="shared" si="1"/>
        <v>53.0173813768011</v>
      </c>
      <c r="K9" s="7">
        <f t="shared" si="2"/>
        <v>642.099396674591</v>
      </c>
      <c r="L9" s="7">
        <f t="shared" si="3"/>
        <v>2388.60975562948</v>
      </c>
      <c r="M9" s="45"/>
      <c r="N9" s="45"/>
      <c r="O9" s="92"/>
    </row>
    <row r="10" s="89" customFormat="1" ht="56.25" hidden="1" outlineLevel="1" spans="1:15">
      <c r="A10" s="13">
        <v>7</v>
      </c>
      <c r="B10" s="12" t="s">
        <v>126</v>
      </c>
      <c r="C10" s="98" t="s">
        <v>127</v>
      </c>
      <c r="D10" s="13" t="s">
        <v>114</v>
      </c>
      <c r="E10" s="24">
        <v>0.5</v>
      </c>
      <c r="F10" s="31">
        <v>200</v>
      </c>
      <c r="G10" s="32">
        <v>465</v>
      </c>
      <c r="H10" s="31">
        <v>180</v>
      </c>
      <c r="I10" s="43">
        <f t="shared" si="0"/>
        <v>36.0164653568717</v>
      </c>
      <c r="J10" s="47">
        <f t="shared" si="1"/>
        <v>79.2914818821185</v>
      </c>
      <c r="K10" s="7">
        <f t="shared" si="2"/>
        <v>960.30794723899</v>
      </c>
      <c r="L10" s="7">
        <f t="shared" si="3"/>
        <v>480.153973619495</v>
      </c>
      <c r="M10" s="45"/>
      <c r="N10" s="45"/>
      <c r="O10" s="92"/>
    </row>
    <row r="11" s="89" customFormat="1" ht="56.25" hidden="1" outlineLevel="1" spans="1:15">
      <c r="A11" s="13">
        <v>8</v>
      </c>
      <c r="B11" s="12" t="s">
        <v>128</v>
      </c>
      <c r="C11" s="98" t="s">
        <v>129</v>
      </c>
      <c r="D11" s="13" t="s">
        <v>114</v>
      </c>
      <c r="E11" s="24">
        <v>0.68</v>
      </c>
      <c r="F11" s="31">
        <v>200</v>
      </c>
      <c r="G11" s="32">
        <v>465</v>
      </c>
      <c r="H11" s="31">
        <v>180</v>
      </c>
      <c r="I11" s="43">
        <f t="shared" si="0"/>
        <v>36.0164653568717</v>
      </c>
      <c r="J11" s="47">
        <f t="shared" si="1"/>
        <v>79.2914818821185</v>
      </c>
      <c r="K11" s="7">
        <f t="shared" si="2"/>
        <v>960.30794723899</v>
      </c>
      <c r="L11" s="7">
        <f t="shared" si="3"/>
        <v>653.009404122513</v>
      </c>
      <c r="M11" s="45"/>
      <c r="N11" s="45"/>
      <c r="O11" s="92"/>
    </row>
    <row r="12" s="89" customFormat="1" ht="42" hidden="1" outlineLevel="1" spans="1:15">
      <c r="A12" s="13">
        <v>9</v>
      </c>
      <c r="B12" s="12" t="s">
        <v>130</v>
      </c>
      <c r="C12" s="12" t="s">
        <v>131</v>
      </c>
      <c r="D12" s="13" t="s">
        <v>114</v>
      </c>
      <c r="E12" s="24">
        <v>0.18</v>
      </c>
      <c r="F12" s="31">
        <v>200</v>
      </c>
      <c r="G12" s="32">
        <v>465</v>
      </c>
      <c r="H12" s="31">
        <v>180</v>
      </c>
      <c r="I12" s="43">
        <f t="shared" si="0"/>
        <v>36.0164653568717</v>
      </c>
      <c r="J12" s="47">
        <f t="shared" si="1"/>
        <v>79.2914818821185</v>
      </c>
      <c r="K12" s="7">
        <f t="shared" si="2"/>
        <v>960.30794723899</v>
      </c>
      <c r="L12" s="7">
        <f t="shared" si="3"/>
        <v>172.855430503018</v>
      </c>
      <c r="M12" s="45"/>
      <c r="N12" s="45"/>
      <c r="O12" s="92"/>
    </row>
    <row r="13" s="89" customFormat="1" ht="31.5" hidden="1" outlineLevel="1" spans="1:15">
      <c r="A13" s="13">
        <v>10</v>
      </c>
      <c r="B13" s="12" t="s">
        <v>132</v>
      </c>
      <c r="C13" s="12" t="s">
        <v>133</v>
      </c>
      <c r="D13" s="13" t="s">
        <v>134</v>
      </c>
      <c r="E13" s="24">
        <v>0.15012</v>
      </c>
      <c r="F13" s="31">
        <v>1000</v>
      </c>
      <c r="G13" s="31">
        <v>4600</v>
      </c>
      <c r="H13" s="31">
        <v>200</v>
      </c>
      <c r="I13" s="43">
        <f t="shared" si="0"/>
        <v>247.213608366694</v>
      </c>
      <c r="J13" s="47">
        <f t="shared" si="1"/>
        <v>544.249224753002</v>
      </c>
      <c r="K13" s="7">
        <f t="shared" si="2"/>
        <v>6591.4628331197</v>
      </c>
      <c r="L13" s="7">
        <f t="shared" si="3"/>
        <v>989.510400507929</v>
      </c>
      <c r="M13" s="45"/>
      <c r="N13" s="45"/>
      <c r="O13" s="92"/>
    </row>
    <row r="14" s="89" customFormat="1" ht="31.5" hidden="1" outlineLevel="1" spans="1:15">
      <c r="A14" s="13">
        <v>11</v>
      </c>
      <c r="B14" s="12" t="s">
        <v>135</v>
      </c>
      <c r="C14" s="12" t="s">
        <v>136</v>
      </c>
      <c r="D14" s="13" t="s">
        <v>119</v>
      </c>
      <c r="E14" s="24">
        <v>11.487</v>
      </c>
      <c r="F14" s="31">
        <v>65</v>
      </c>
      <c r="G14" s="7">
        <v>150</v>
      </c>
      <c r="H14" s="31">
        <v>15</v>
      </c>
      <c r="I14" s="43">
        <f t="shared" si="0"/>
        <v>9.80329826281716</v>
      </c>
      <c r="J14" s="47">
        <f t="shared" si="1"/>
        <v>21.5822968436535</v>
      </c>
      <c r="K14" s="7">
        <f t="shared" si="2"/>
        <v>261.385595106471</v>
      </c>
      <c r="L14" s="7">
        <f t="shared" si="3"/>
        <v>3002.53633098803</v>
      </c>
      <c r="M14" s="45"/>
      <c r="N14" s="45"/>
      <c r="O14" s="92"/>
    </row>
    <row r="15" s="89" customFormat="1" ht="11.25" spans="1:15">
      <c r="A15" s="10"/>
      <c r="B15" s="11" t="s">
        <v>137</v>
      </c>
      <c r="C15" s="12"/>
      <c r="D15" s="13"/>
      <c r="E15" s="24"/>
      <c r="F15" s="15"/>
      <c r="G15" s="15"/>
      <c r="H15" s="15"/>
      <c r="I15" s="43"/>
      <c r="J15" s="47"/>
      <c r="K15" s="7"/>
      <c r="L15" s="7"/>
      <c r="M15" s="45"/>
      <c r="N15" s="45"/>
      <c r="O15" s="92"/>
    </row>
    <row r="16" s="89" customFormat="1" ht="46" customHeight="1" outlineLevel="1" spans="1:15">
      <c r="A16" s="13">
        <v>1</v>
      </c>
      <c r="B16" s="12" t="s">
        <v>138</v>
      </c>
      <c r="C16" s="90" t="s">
        <v>139</v>
      </c>
      <c r="D16" s="91" t="s">
        <v>119</v>
      </c>
      <c r="E16" s="24">
        <f>9.168</f>
        <v>9.168</v>
      </c>
      <c r="F16" s="15">
        <v>55</v>
      </c>
      <c r="G16" s="15">
        <v>230</v>
      </c>
      <c r="H16" s="15">
        <v>15</v>
      </c>
      <c r="I16" s="43">
        <f>((F16+G16+H16)*0.08)</f>
        <v>24</v>
      </c>
      <c r="J16" s="47">
        <f t="shared" si="1"/>
        <v>29.16</v>
      </c>
      <c r="K16" s="7">
        <f t="shared" si="2"/>
        <v>353.16</v>
      </c>
      <c r="L16" s="7">
        <f t="shared" si="3"/>
        <v>3237.77088</v>
      </c>
      <c r="M16" s="45"/>
      <c r="N16" s="48"/>
      <c r="O16" s="92"/>
    </row>
    <row r="17" s="89" customFormat="1" ht="46" customHeight="1" outlineLevel="1" spans="1:15">
      <c r="A17" s="13">
        <v>2</v>
      </c>
      <c r="B17" s="12" t="s">
        <v>140</v>
      </c>
      <c r="C17" s="90" t="s">
        <v>141</v>
      </c>
      <c r="D17" s="91" t="s">
        <v>119</v>
      </c>
      <c r="E17" s="24">
        <v>97.71</v>
      </c>
      <c r="F17" s="31">
        <v>65</v>
      </c>
      <c r="G17" s="7">
        <v>160</v>
      </c>
      <c r="H17" s="31">
        <v>15</v>
      </c>
      <c r="I17" s="43">
        <f>((F17+G17+H17)*0.08)</f>
        <v>19.2</v>
      </c>
      <c r="J17" s="47">
        <f t="shared" si="1"/>
        <v>23.328</v>
      </c>
      <c r="K17" s="7">
        <f t="shared" si="2"/>
        <v>282.528</v>
      </c>
      <c r="L17" s="7">
        <f t="shared" si="3"/>
        <v>27605.81088</v>
      </c>
      <c r="M17" s="45"/>
      <c r="N17" s="45"/>
      <c r="O17" s="92"/>
    </row>
    <row r="18" s="89" customFormat="1" ht="43" customHeight="1" outlineLevel="1" spans="1:15">
      <c r="A18" s="13">
        <v>3</v>
      </c>
      <c r="B18" s="12" t="s">
        <v>142</v>
      </c>
      <c r="C18" s="90" t="s">
        <v>143</v>
      </c>
      <c r="D18" s="91" t="s">
        <v>144</v>
      </c>
      <c r="E18" s="24">
        <v>3.6</v>
      </c>
      <c r="F18" s="15">
        <v>800</v>
      </c>
      <c r="G18" s="15">
        <v>1500</v>
      </c>
      <c r="H18" s="15">
        <v>200</v>
      </c>
      <c r="I18" s="43">
        <f t="shared" ref="I18:I41" si="4">((F18+G18+H18)*0.08)</f>
        <v>200</v>
      </c>
      <c r="J18" s="47">
        <f t="shared" si="1"/>
        <v>243</v>
      </c>
      <c r="K18" s="7">
        <f t="shared" si="2"/>
        <v>2943</v>
      </c>
      <c r="L18" s="7">
        <f t="shared" si="3"/>
        <v>10594.8</v>
      </c>
      <c r="M18" s="45"/>
      <c r="N18" s="45"/>
      <c r="O18" s="92"/>
    </row>
    <row r="19" s="89" customFormat="1" ht="51" customHeight="1" outlineLevel="1" spans="1:15">
      <c r="A19" s="13">
        <v>4</v>
      </c>
      <c r="B19" s="12" t="s">
        <v>145</v>
      </c>
      <c r="C19" s="90" t="s">
        <v>146</v>
      </c>
      <c r="D19" s="91" t="s">
        <v>119</v>
      </c>
      <c r="E19" s="24">
        <v>21.87</v>
      </c>
      <c r="F19" s="15">
        <v>220</v>
      </c>
      <c r="G19" s="15">
        <v>850</v>
      </c>
      <c r="H19" s="15">
        <v>30</v>
      </c>
      <c r="I19" s="43">
        <f t="shared" si="4"/>
        <v>88</v>
      </c>
      <c r="J19" s="47">
        <f t="shared" si="1"/>
        <v>106.92</v>
      </c>
      <c r="K19" s="7">
        <f t="shared" si="2"/>
        <v>1294.92</v>
      </c>
      <c r="L19" s="7">
        <f t="shared" si="3"/>
        <v>28319.9004</v>
      </c>
      <c r="M19" s="45"/>
      <c r="N19" s="45"/>
      <c r="O19" s="92"/>
    </row>
    <row r="20" s="89" customFormat="1" ht="43" customHeight="1" outlineLevel="1" spans="1:15">
      <c r="A20" s="13">
        <v>5</v>
      </c>
      <c r="B20" s="12" t="s">
        <v>147</v>
      </c>
      <c r="C20" s="12" t="s">
        <v>148</v>
      </c>
      <c r="D20" s="13" t="s">
        <v>119</v>
      </c>
      <c r="E20" s="24">
        <v>14.58</v>
      </c>
      <c r="F20" s="15">
        <v>150</v>
      </c>
      <c r="G20" s="15">
        <v>1200</v>
      </c>
      <c r="H20" s="15">
        <v>50</v>
      </c>
      <c r="I20" s="43">
        <f t="shared" si="4"/>
        <v>112</v>
      </c>
      <c r="J20" s="47">
        <f t="shared" si="1"/>
        <v>136.08</v>
      </c>
      <c r="K20" s="7">
        <f t="shared" si="2"/>
        <v>1648.08</v>
      </c>
      <c r="L20" s="7">
        <f t="shared" si="3"/>
        <v>24029.0064</v>
      </c>
      <c r="M20" s="45"/>
      <c r="N20" s="45"/>
      <c r="O20" s="92"/>
    </row>
    <row r="21" s="89" customFormat="1" ht="104" customHeight="1" outlineLevel="1" spans="1:15">
      <c r="A21" s="13">
        <v>6</v>
      </c>
      <c r="B21" s="12" t="s">
        <v>149</v>
      </c>
      <c r="C21" s="12" t="s">
        <v>150</v>
      </c>
      <c r="D21" s="13" t="s">
        <v>151</v>
      </c>
      <c r="E21" s="24">
        <v>9.639</v>
      </c>
      <c r="F21" s="31">
        <v>85</v>
      </c>
      <c r="G21" s="31">
        <v>260</v>
      </c>
      <c r="H21" s="31">
        <v>50</v>
      </c>
      <c r="I21" s="43">
        <f t="shared" si="4"/>
        <v>31.6</v>
      </c>
      <c r="J21" s="47">
        <f t="shared" si="1"/>
        <v>38.394</v>
      </c>
      <c r="K21" s="7">
        <f t="shared" si="2"/>
        <v>464.994</v>
      </c>
      <c r="L21" s="7">
        <f t="shared" si="3"/>
        <v>4482.077166</v>
      </c>
      <c r="M21" s="45"/>
      <c r="N21" s="45"/>
      <c r="O21" s="92"/>
    </row>
    <row r="22" s="89" customFormat="1" ht="84" outlineLevel="1" spans="1:15">
      <c r="A22" s="13">
        <v>7</v>
      </c>
      <c r="B22" s="12" t="s">
        <v>152</v>
      </c>
      <c r="C22" s="12" t="s">
        <v>153</v>
      </c>
      <c r="D22" s="13" t="s">
        <v>119</v>
      </c>
      <c r="E22" s="24">
        <v>11.3076</v>
      </c>
      <c r="F22" s="31">
        <v>135</v>
      </c>
      <c r="G22" s="31">
        <v>420</v>
      </c>
      <c r="H22" s="31">
        <v>50</v>
      </c>
      <c r="I22" s="43">
        <f t="shared" si="4"/>
        <v>48.4</v>
      </c>
      <c r="J22" s="47">
        <f t="shared" si="1"/>
        <v>58.806</v>
      </c>
      <c r="K22" s="7">
        <f t="shared" si="2"/>
        <v>712.206</v>
      </c>
      <c r="L22" s="7">
        <f t="shared" si="3"/>
        <v>8053.3405656</v>
      </c>
      <c r="M22" s="45"/>
      <c r="N22" s="45"/>
      <c r="O22" s="92"/>
    </row>
    <row r="23" s="89" customFormat="1" ht="125" customHeight="1" outlineLevel="1" spans="1:15">
      <c r="A23" s="13">
        <v>8</v>
      </c>
      <c r="B23" s="12" t="s">
        <v>154</v>
      </c>
      <c r="C23" s="12" t="s">
        <v>155</v>
      </c>
      <c r="D23" s="13" t="s">
        <v>119</v>
      </c>
      <c r="E23" s="24">
        <v>34.2316</v>
      </c>
      <c r="F23" s="31">
        <v>135</v>
      </c>
      <c r="G23" s="31">
        <v>420</v>
      </c>
      <c r="H23" s="31">
        <v>50</v>
      </c>
      <c r="I23" s="43">
        <f t="shared" si="4"/>
        <v>48.4</v>
      </c>
      <c r="J23" s="47">
        <f t="shared" si="1"/>
        <v>58.806</v>
      </c>
      <c r="K23" s="7">
        <f t="shared" si="2"/>
        <v>712.206</v>
      </c>
      <c r="L23" s="7">
        <f t="shared" si="3"/>
        <v>24379.9509096</v>
      </c>
      <c r="M23" s="103"/>
      <c r="N23" s="45"/>
      <c r="O23" s="92"/>
    </row>
    <row r="24" s="89" customFormat="1" ht="87" customHeight="1" outlineLevel="1" spans="1:15">
      <c r="A24" s="13">
        <v>9</v>
      </c>
      <c r="B24" s="12" t="s">
        <v>156</v>
      </c>
      <c r="C24" s="12" t="s">
        <v>157</v>
      </c>
      <c r="D24" s="13" t="s">
        <v>119</v>
      </c>
      <c r="E24" s="24">
        <v>95.41</v>
      </c>
      <c r="F24" s="31">
        <v>120</v>
      </c>
      <c r="G24" s="31">
        <v>350</v>
      </c>
      <c r="H24" s="31">
        <v>50</v>
      </c>
      <c r="I24" s="43">
        <f t="shared" si="4"/>
        <v>41.6</v>
      </c>
      <c r="J24" s="47">
        <f t="shared" si="1"/>
        <v>50.544</v>
      </c>
      <c r="K24" s="7">
        <f t="shared" si="2"/>
        <v>612.144</v>
      </c>
      <c r="L24" s="7">
        <f t="shared" si="3"/>
        <v>58404.65904</v>
      </c>
      <c r="M24" s="103"/>
      <c r="N24" s="45"/>
      <c r="O24" s="92"/>
    </row>
    <row r="25" s="89" customFormat="1" ht="54" customHeight="1" outlineLevel="1" spans="1:15">
      <c r="A25" s="13">
        <v>10</v>
      </c>
      <c r="B25" s="12" t="s">
        <v>158</v>
      </c>
      <c r="C25" s="12" t="s">
        <v>159</v>
      </c>
      <c r="D25" s="13" t="s">
        <v>119</v>
      </c>
      <c r="E25" s="24">
        <v>34.06</v>
      </c>
      <c r="F25" s="31">
        <v>80</v>
      </c>
      <c r="G25" s="31">
        <v>200</v>
      </c>
      <c r="H25" s="31">
        <v>20</v>
      </c>
      <c r="I25" s="43">
        <f t="shared" si="4"/>
        <v>24</v>
      </c>
      <c r="J25" s="47">
        <f t="shared" si="1"/>
        <v>29.16</v>
      </c>
      <c r="K25" s="7">
        <f t="shared" si="2"/>
        <v>353.16</v>
      </c>
      <c r="L25" s="7">
        <f t="shared" si="3"/>
        <v>12028.6296</v>
      </c>
      <c r="M25" s="45"/>
      <c r="N25" s="45"/>
      <c r="O25" s="92"/>
    </row>
    <row r="26" s="89" customFormat="1" ht="30" customHeight="1" outlineLevel="1" spans="1:15">
      <c r="A26" s="13">
        <v>11</v>
      </c>
      <c r="B26" s="12" t="s">
        <v>160</v>
      </c>
      <c r="C26" s="12" t="s">
        <v>161</v>
      </c>
      <c r="D26" s="13" t="s">
        <v>144</v>
      </c>
      <c r="E26" s="24">
        <v>33.06</v>
      </c>
      <c r="F26" s="31">
        <v>15</v>
      </c>
      <c r="G26" s="32">
        <v>65</v>
      </c>
      <c r="H26" s="31">
        <v>5</v>
      </c>
      <c r="I26" s="43">
        <f t="shared" si="4"/>
        <v>6.8</v>
      </c>
      <c r="J26" s="47">
        <f t="shared" si="1"/>
        <v>8.262</v>
      </c>
      <c r="K26" s="7">
        <f t="shared" si="2"/>
        <v>100.062</v>
      </c>
      <c r="L26" s="7">
        <f t="shared" si="3"/>
        <v>3308.04972</v>
      </c>
      <c r="M26" s="45"/>
      <c r="N26" s="48" t="s">
        <v>162</v>
      </c>
      <c r="O26" s="92"/>
    </row>
    <row r="27" s="89" customFormat="1" ht="47" customHeight="1" outlineLevel="1" spans="1:15">
      <c r="A27" s="13">
        <v>12</v>
      </c>
      <c r="B27" s="12" t="s">
        <v>163</v>
      </c>
      <c r="C27" s="12" t="s">
        <v>164</v>
      </c>
      <c r="D27" s="13" t="s">
        <v>144</v>
      </c>
      <c r="E27" s="24">
        <v>52.4</v>
      </c>
      <c r="F27" s="31">
        <v>15</v>
      </c>
      <c r="G27" s="32">
        <v>45</v>
      </c>
      <c r="H27" s="31">
        <v>5</v>
      </c>
      <c r="I27" s="43">
        <f t="shared" si="4"/>
        <v>5.2</v>
      </c>
      <c r="J27" s="47">
        <f t="shared" si="1"/>
        <v>6.318</v>
      </c>
      <c r="K27" s="7">
        <f t="shared" si="2"/>
        <v>76.518</v>
      </c>
      <c r="L27" s="7">
        <f t="shared" si="3"/>
        <v>4009.5432</v>
      </c>
      <c r="M27" s="45"/>
      <c r="N27" s="45"/>
      <c r="O27" s="92"/>
    </row>
    <row r="28" s="89" customFormat="1" ht="59" customHeight="1" outlineLevel="1" spans="1:15">
      <c r="A28" s="13">
        <v>13</v>
      </c>
      <c r="B28" s="12" t="s">
        <v>165</v>
      </c>
      <c r="C28" s="12" t="s">
        <v>166</v>
      </c>
      <c r="D28" s="13" t="s">
        <v>119</v>
      </c>
      <c r="E28" s="24">
        <v>191.26</v>
      </c>
      <c r="F28" s="31">
        <v>120</v>
      </c>
      <c r="G28" s="31">
        <v>260</v>
      </c>
      <c r="H28" s="31">
        <v>50</v>
      </c>
      <c r="I28" s="43">
        <f t="shared" si="4"/>
        <v>34.4</v>
      </c>
      <c r="J28" s="47">
        <f t="shared" si="1"/>
        <v>41.796</v>
      </c>
      <c r="K28" s="7">
        <f t="shared" si="2"/>
        <v>506.196</v>
      </c>
      <c r="L28" s="7">
        <f t="shared" si="3"/>
        <v>96815.04696</v>
      </c>
      <c r="M28" s="45"/>
      <c r="N28" s="45"/>
      <c r="O28" s="92"/>
    </row>
    <row r="29" s="89" customFormat="1" ht="48" customHeight="1" outlineLevel="1" spans="1:15">
      <c r="A29" s="13">
        <v>14</v>
      </c>
      <c r="B29" s="12" t="s">
        <v>167</v>
      </c>
      <c r="C29" s="12" t="s">
        <v>168</v>
      </c>
      <c r="D29" s="13" t="s">
        <v>144</v>
      </c>
      <c r="E29" s="24">
        <v>140</v>
      </c>
      <c r="F29" s="31">
        <v>10</v>
      </c>
      <c r="G29" s="32">
        <v>25</v>
      </c>
      <c r="H29" s="31">
        <v>5</v>
      </c>
      <c r="I29" s="43">
        <f t="shared" si="4"/>
        <v>3.2</v>
      </c>
      <c r="J29" s="47">
        <f t="shared" si="1"/>
        <v>3.888</v>
      </c>
      <c r="K29" s="7">
        <f t="shared" si="2"/>
        <v>47.088</v>
      </c>
      <c r="L29" s="7">
        <f t="shared" si="3"/>
        <v>6592.32</v>
      </c>
      <c r="M29" s="103"/>
      <c r="N29" s="45"/>
      <c r="O29" s="92"/>
    </row>
    <row r="30" s="89" customFormat="1" ht="49" customHeight="1" outlineLevel="1" spans="1:15">
      <c r="A30" s="13">
        <v>15</v>
      </c>
      <c r="B30" s="12" t="s">
        <v>169</v>
      </c>
      <c r="C30" s="12" t="s">
        <v>170</v>
      </c>
      <c r="D30" s="13" t="s">
        <v>171</v>
      </c>
      <c r="E30" s="24">
        <v>96</v>
      </c>
      <c r="F30" s="15">
        <v>25</v>
      </c>
      <c r="G30" s="15">
        <v>360</v>
      </c>
      <c r="H30" s="15"/>
      <c r="I30" s="43">
        <f t="shared" si="4"/>
        <v>30.8</v>
      </c>
      <c r="J30" s="47">
        <f t="shared" si="1"/>
        <v>37.422</v>
      </c>
      <c r="K30" s="7">
        <f t="shared" si="2"/>
        <v>453.222</v>
      </c>
      <c r="L30" s="7">
        <f t="shared" si="3"/>
        <v>43509.312</v>
      </c>
      <c r="M30" s="45"/>
      <c r="N30" s="45"/>
      <c r="O30" s="92"/>
    </row>
    <row r="31" s="89" customFormat="1" ht="43" customHeight="1" outlineLevel="1" spans="1:15">
      <c r="A31" s="13">
        <v>16</v>
      </c>
      <c r="B31" s="12" t="s">
        <v>172</v>
      </c>
      <c r="C31" s="12" t="s">
        <v>173</v>
      </c>
      <c r="D31" s="13" t="s">
        <v>171</v>
      </c>
      <c r="E31" s="24">
        <v>12</v>
      </c>
      <c r="F31" s="15">
        <v>25</v>
      </c>
      <c r="G31" s="15">
        <v>360</v>
      </c>
      <c r="H31" s="15"/>
      <c r="I31" s="43">
        <f t="shared" si="4"/>
        <v>30.8</v>
      </c>
      <c r="J31" s="47">
        <f t="shared" si="1"/>
        <v>37.422</v>
      </c>
      <c r="K31" s="7">
        <f t="shared" si="2"/>
        <v>453.222</v>
      </c>
      <c r="L31" s="7">
        <f t="shared" si="3"/>
        <v>5438.664</v>
      </c>
      <c r="M31" s="45"/>
      <c r="N31" s="45"/>
      <c r="O31" s="92"/>
    </row>
    <row r="32" s="89" customFormat="1" ht="43" customHeight="1" outlineLevel="1" spans="1:15">
      <c r="A32" s="13">
        <v>17</v>
      </c>
      <c r="B32" s="12" t="s">
        <v>174</v>
      </c>
      <c r="C32" s="12" t="s">
        <v>175</v>
      </c>
      <c r="D32" s="13" t="s">
        <v>119</v>
      </c>
      <c r="E32" s="24">
        <v>3.08</v>
      </c>
      <c r="F32" s="15">
        <v>900</v>
      </c>
      <c r="G32" s="15">
        <v>2677</v>
      </c>
      <c r="H32" s="15">
        <v>200</v>
      </c>
      <c r="I32" s="43">
        <f t="shared" si="4"/>
        <v>302.16</v>
      </c>
      <c r="J32" s="47">
        <f t="shared" si="1"/>
        <v>367.1244</v>
      </c>
      <c r="K32" s="7">
        <f t="shared" si="2"/>
        <v>4446.2844</v>
      </c>
      <c r="L32" s="7">
        <f t="shared" si="3"/>
        <v>13694.555952</v>
      </c>
      <c r="M32" s="45"/>
      <c r="N32" s="45"/>
      <c r="O32" s="92"/>
    </row>
    <row r="33" s="89" customFormat="1" ht="42" customHeight="1" outlineLevel="1" spans="1:15">
      <c r="A33" s="13">
        <v>18</v>
      </c>
      <c r="B33" s="12" t="s">
        <v>176</v>
      </c>
      <c r="C33" s="12" t="s">
        <v>177</v>
      </c>
      <c r="D33" s="13" t="s">
        <v>119</v>
      </c>
      <c r="E33" s="24">
        <v>9.9484</v>
      </c>
      <c r="F33" s="31">
        <v>75</v>
      </c>
      <c r="G33" s="31">
        <v>150</v>
      </c>
      <c r="H33" s="31">
        <v>15</v>
      </c>
      <c r="I33" s="43">
        <f t="shared" si="4"/>
        <v>19.2</v>
      </c>
      <c r="J33" s="47">
        <f t="shared" si="1"/>
        <v>23.328</v>
      </c>
      <c r="K33" s="7">
        <f t="shared" si="2"/>
        <v>282.528</v>
      </c>
      <c r="L33" s="7">
        <f t="shared" si="3"/>
        <v>2810.7015552</v>
      </c>
      <c r="M33" s="45"/>
      <c r="N33" s="45"/>
      <c r="O33" s="92"/>
    </row>
    <row r="34" s="89" customFormat="1" ht="41" customHeight="1" outlineLevel="1" spans="1:15">
      <c r="A34" s="13">
        <v>19</v>
      </c>
      <c r="B34" s="12" t="s">
        <v>178</v>
      </c>
      <c r="C34" s="12" t="s">
        <v>179</v>
      </c>
      <c r="D34" s="13" t="s">
        <v>144</v>
      </c>
      <c r="E34" s="24">
        <v>10.55</v>
      </c>
      <c r="F34" s="31">
        <v>15</v>
      </c>
      <c r="G34" s="32">
        <v>55</v>
      </c>
      <c r="H34" s="31">
        <v>5</v>
      </c>
      <c r="I34" s="43">
        <f t="shared" si="4"/>
        <v>6</v>
      </c>
      <c r="J34" s="47">
        <f t="shared" si="1"/>
        <v>7.29</v>
      </c>
      <c r="K34" s="7">
        <f t="shared" si="2"/>
        <v>88.29</v>
      </c>
      <c r="L34" s="7">
        <f t="shared" si="3"/>
        <v>931.4595</v>
      </c>
      <c r="M34" s="45"/>
      <c r="N34" s="45"/>
      <c r="O34" s="92"/>
    </row>
    <row r="35" s="89" customFormat="1" ht="32" customHeight="1" outlineLevel="1" spans="1:15">
      <c r="A35" s="13">
        <v>20</v>
      </c>
      <c r="B35" s="12" t="s">
        <v>180</v>
      </c>
      <c r="C35" s="12" t="s">
        <v>181</v>
      </c>
      <c r="D35" s="13" t="s">
        <v>119</v>
      </c>
      <c r="E35" s="24">
        <v>24.1281</v>
      </c>
      <c r="F35" s="31">
        <v>25</v>
      </c>
      <c r="G35" s="31">
        <v>30</v>
      </c>
      <c r="H35" s="31">
        <v>10</v>
      </c>
      <c r="I35" s="43">
        <f t="shared" si="4"/>
        <v>5.2</v>
      </c>
      <c r="J35" s="47">
        <f t="shared" si="1"/>
        <v>6.318</v>
      </c>
      <c r="K35" s="7">
        <f t="shared" si="2"/>
        <v>76.518</v>
      </c>
      <c r="L35" s="7">
        <f t="shared" si="3"/>
        <v>1846.2339558</v>
      </c>
      <c r="M35" s="45"/>
      <c r="N35" s="45"/>
      <c r="O35" s="92"/>
    </row>
    <row r="36" s="89" customFormat="1" ht="56" customHeight="1" outlineLevel="1" spans="1:15">
      <c r="A36" s="13">
        <v>21</v>
      </c>
      <c r="B36" s="12" t="s">
        <v>182</v>
      </c>
      <c r="C36" s="12" t="s">
        <v>183</v>
      </c>
      <c r="D36" s="13" t="s">
        <v>119</v>
      </c>
      <c r="E36" s="24">
        <v>2.916</v>
      </c>
      <c r="F36" s="15">
        <v>110</v>
      </c>
      <c r="G36" s="15">
        <v>220</v>
      </c>
      <c r="H36" s="15">
        <v>30</v>
      </c>
      <c r="I36" s="43">
        <f t="shared" si="4"/>
        <v>28.8</v>
      </c>
      <c r="J36" s="47">
        <f t="shared" si="1"/>
        <v>34.992</v>
      </c>
      <c r="K36" s="7">
        <f t="shared" si="2"/>
        <v>423.792</v>
      </c>
      <c r="L36" s="7">
        <f t="shared" si="3"/>
        <v>1235.777472</v>
      </c>
      <c r="M36" s="45"/>
      <c r="N36" s="45"/>
      <c r="O36" s="92"/>
    </row>
    <row r="37" s="89" customFormat="1" ht="62" customHeight="1" outlineLevel="1" spans="1:15">
      <c r="A37" s="13">
        <v>22</v>
      </c>
      <c r="B37" s="12" t="s">
        <v>184</v>
      </c>
      <c r="C37" s="12" t="s">
        <v>185</v>
      </c>
      <c r="D37" s="13" t="s">
        <v>119</v>
      </c>
      <c r="E37" s="24">
        <v>48.8012</v>
      </c>
      <c r="F37" s="31">
        <v>80</v>
      </c>
      <c r="G37" s="31">
        <v>210</v>
      </c>
      <c r="H37" s="31">
        <v>55</v>
      </c>
      <c r="I37" s="43">
        <f t="shared" si="4"/>
        <v>27.6</v>
      </c>
      <c r="J37" s="47">
        <f t="shared" si="1"/>
        <v>33.534</v>
      </c>
      <c r="K37" s="7">
        <f t="shared" si="2"/>
        <v>406.134</v>
      </c>
      <c r="L37" s="7">
        <f t="shared" si="3"/>
        <v>19819.8265608</v>
      </c>
      <c r="M37" s="45"/>
      <c r="N37" s="45"/>
      <c r="O37" s="92"/>
    </row>
    <row r="38" s="89" customFormat="1" ht="44" customHeight="1" outlineLevel="1" spans="1:15">
      <c r="A38" s="13">
        <v>23</v>
      </c>
      <c r="B38" s="12" t="s">
        <v>186</v>
      </c>
      <c r="C38" s="12" t="s">
        <v>187</v>
      </c>
      <c r="D38" s="13" t="s">
        <v>119</v>
      </c>
      <c r="E38" s="24">
        <v>69.5884</v>
      </c>
      <c r="F38" s="31">
        <v>85</v>
      </c>
      <c r="G38" s="31">
        <v>260</v>
      </c>
      <c r="H38" s="31">
        <v>50</v>
      </c>
      <c r="I38" s="43">
        <f t="shared" si="4"/>
        <v>31.6</v>
      </c>
      <c r="J38" s="47">
        <f t="shared" si="1"/>
        <v>38.394</v>
      </c>
      <c r="K38" s="7">
        <f t="shared" si="2"/>
        <v>464.994</v>
      </c>
      <c r="L38" s="7">
        <f t="shared" si="3"/>
        <v>32358.1884696</v>
      </c>
      <c r="M38" s="45"/>
      <c r="N38" s="45"/>
      <c r="O38" s="92"/>
    </row>
    <row r="39" s="89" customFormat="1" ht="54" customHeight="1" outlineLevel="1" spans="1:15">
      <c r="A39" s="13">
        <v>24</v>
      </c>
      <c r="B39" s="12" t="s">
        <v>188</v>
      </c>
      <c r="C39" s="12" t="s">
        <v>189</v>
      </c>
      <c r="D39" s="13" t="s">
        <v>119</v>
      </c>
      <c r="E39" s="24">
        <v>28.9072</v>
      </c>
      <c r="F39" s="31">
        <v>80</v>
      </c>
      <c r="G39" s="31">
        <v>210</v>
      </c>
      <c r="H39" s="31">
        <v>55</v>
      </c>
      <c r="I39" s="43">
        <f t="shared" si="4"/>
        <v>27.6</v>
      </c>
      <c r="J39" s="47">
        <f t="shared" si="1"/>
        <v>33.534</v>
      </c>
      <c r="K39" s="7">
        <f t="shared" si="2"/>
        <v>406.134</v>
      </c>
      <c r="L39" s="7">
        <f t="shared" si="3"/>
        <v>11740.1967648</v>
      </c>
      <c r="M39" s="45"/>
      <c r="N39" s="45"/>
      <c r="O39" s="92"/>
    </row>
    <row r="40" s="89" customFormat="1" ht="31.5" outlineLevel="1" spans="1:15">
      <c r="A40" s="13">
        <v>25</v>
      </c>
      <c r="B40" s="12" t="s">
        <v>190</v>
      </c>
      <c r="C40" s="12" t="s">
        <v>191</v>
      </c>
      <c r="D40" s="13" t="s">
        <v>119</v>
      </c>
      <c r="E40" s="24">
        <v>49.812</v>
      </c>
      <c r="F40" s="15">
        <v>15</v>
      </c>
      <c r="G40" s="15">
        <v>25</v>
      </c>
      <c r="H40" s="15"/>
      <c r="I40" s="43">
        <f t="shared" si="4"/>
        <v>3.2</v>
      </c>
      <c r="J40" s="47">
        <f t="shared" si="1"/>
        <v>3.888</v>
      </c>
      <c r="K40" s="7">
        <f t="shared" si="2"/>
        <v>47.088</v>
      </c>
      <c r="L40" s="7">
        <f t="shared" si="3"/>
        <v>2345.547456</v>
      </c>
      <c r="M40" s="45"/>
      <c r="N40" s="45"/>
      <c r="O40" s="92"/>
    </row>
    <row r="41" s="89" customFormat="1" ht="31.5" outlineLevel="1" spans="1:15">
      <c r="A41" s="13">
        <v>26</v>
      </c>
      <c r="B41" s="12" t="s">
        <v>192</v>
      </c>
      <c r="C41" s="12" t="s">
        <v>193</v>
      </c>
      <c r="D41" s="13" t="s">
        <v>119</v>
      </c>
      <c r="E41" s="24">
        <f>1.2*2.1+0.6*1.5+0.6*1.5</f>
        <v>4.32</v>
      </c>
      <c r="F41" s="15">
        <v>110</v>
      </c>
      <c r="G41" s="15">
        <v>550</v>
      </c>
      <c r="H41" s="15">
        <v>50</v>
      </c>
      <c r="I41" s="43">
        <f t="shared" si="4"/>
        <v>56.8</v>
      </c>
      <c r="J41" s="47">
        <f t="shared" si="1"/>
        <v>69.012</v>
      </c>
      <c r="K41" s="7">
        <f t="shared" si="2"/>
        <v>835.812</v>
      </c>
      <c r="L41" s="7">
        <f t="shared" si="3"/>
        <v>3610.70784</v>
      </c>
      <c r="M41" s="45"/>
      <c r="N41" s="45"/>
      <c r="O41" s="92"/>
    </row>
    <row r="42" ht="24" customHeight="1" spans="1:14">
      <c r="A42" s="99" t="s">
        <v>92</v>
      </c>
      <c r="B42" s="100"/>
      <c r="C42" s="100"/>
      <c r="D42" s="101"/>
      <c r="E42" s="100"/>
      <c r="F42" s="102"/>
      <c r="G42" s="102"/>
      <c r="H42" s="102"/>
      <c r="I42" s="102"/>
      <c r="J42" s="102"/>
      <c r="K42" s="104"/>
      <c r="L42" s="102">
        <f>SUM(L16:L41)</f>
        <v>451202.0772474</v>
      </c>
      <c r="M42" s="105"/>
      <c r="N42" s="105"/>
    </row>
  </sheetData>
  <sheetProtection selectLockedCells="1"/>
  <autoFilter ref="A3:XFD42">
    <extLst/>
  </autoFilter>
  <mergeCells count="11">
    <mergeCell ref="A1:N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dataValidations count="1">
    <dataValidation type="list" allowBlank="1" showInputMessage="1" showErrorMessage="1" errorTitle="温馨提示" error="您确定要输入单位吗？" sqref="D18 D19 D16:D17" errorStyle="warning">
      <formula1>"m,m2,m3,t,kg,个,套,块,台,项,座,根,樘,10m,10m2,10m3,m3,m3,株"</formula1>
    </dataValidation>
  </dataValidations>
  <pageMargins left="0.786805555555556" right="0.196527777777778" top="0.786805555555556" bottom="0.393055555555556" header="0" footer="0"/>
  <pageSetup paperSize="9" scale="8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SheetLayoutView="130" workbookViewId="0">
      <pane xSplit="5" ySplit="4" topLeftCell="F11" activePane="bottomRight" state="frozen"/>
      <selection/>
      <selection pane="topRight"/>
      <selection pane="bottomLeft"/>
      <selection pane="bottomRight" activeCell="G13" sqref="G13"/>
    </sheetView>
  </sheetViews>
  <sheetFormatPr defaultColWidth="10.2857142857143" defaultRowHeight="14.25"/>
  <cols>
    <col min="1" max="1" width="4.42857142857143" style="49" customWidth="1"/>
    <col min="2" max="2" width="12.8571428571429" style="49" customWidth="1"/>
    <col min="3" max="3" width="26.1428571428571" style="49" customWidth="1"/>
    <col min="4" max="4" width="4.42857142857143" style="49" customWidth="1"/>
    <col min="5" max="5" width="8.57142857142857" style="49" customWidth="1"/>
    <col min="6" max="6" width="10.5714285714286" style="49"/>
    <col min="7" max="7" width="8.71428571428571" style="49" customWidth="1"/>
    <col min="8" max="8" width="11.5714285714286" style="49" customWidth="1"/>
    <col min="9" max="9" width="15.7142857142857" style="49" customWidth="1"/>
    <col min="10" max="10" width="11.8571428571429" style="49" customWidth="1"/>
    <col min="11" max="11" width="10.2857142857143" style="50"/>
    <col min="12" max="16384" width="10.2857142857143" style="49"/>
  </cols>
  <sheetData>
    <row r="1" s="49" customFormat="1" ht="33.95" customHeight="1" spans="1:13">
      <c r="A1" s="51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9" customFormat="1" ht="12.95" customHeight="1" spans="1:13">
      <c r="A2" s="52" t="s">
        <v>1</v>
      </c>
      <c r="B2" s="53" t="s">
        <v>195</v>
      </c>
      <c r="C2" s="53" t="s">
        <v>196</v>
      </c>
      <c r="D2" s="53" t="s">
        <v>89</v>
      </c>
      <c r="E2" s="54" t="s">
        <v>197</v>
      </c>
      <c r="F2" s="55" t="s">
        <v>103</v>
      </c>
      <c r="G2" s="56"/>
      <c r="H2" s="56"/>
      <c r="I2" s="56"/>
      <c r="J2" s="76"/>
      <c r="K2" s="60" t="s">
        <v>104</v>
      </c>
      <c r="L2" s="60" t="s">
        <v>105</v>
      </c>
      <c r="M2" s="60" t="s">
        <v>198</v>
      </c>
    </row>
    <row r="3" s="49" customFormat="1" ht="24.95" customHeight="1" spans="1:13">
      <c r="A3" s="57"/>
      <c r="B3" s="58"/>
      <c r="C3" s="58"/>
      <c r="D3" s="58"/>
      <c r="E3" s="59"/>
      <c r="F3" s="60" t="s">
        <v>107</v>
      </c>
      <c r="G3" s="60" t="s">
        <v>108</v>
      </c>
      <c r="H3" s="60" t="s">
        <v>109</v>
      </c>
      <c r="I3" s="77" t="s">
        <v>199</v>
      </c>
      <c r="J3" s="77" t="s">
        <v>111</v>
      </c>
      <c r="K3" s="78"/>
      <c r="L3" s="78"/>
      <c r="M3" s="78"/>
    </row>
    <row r="4" s="49" customFormat="1" ht="9.95" customHeight="1" spans="1:13">
      <c r="A4" s="61"/>
      <c r="B4" s="62"/>
      <c r="C4" s="62"/>
      <c r="D4" s="62"/>
      <c r="E4" s="63"/>
      <c r="F4" s="64"/>
      <c r="G4" s="64"/>
      <c r="H4" s="64"/>
      <c r="I4" s="77"/>
      <c r="J4" s="77"/>
      <c r="K4" s="64"/>
      <c r="L4" s="64"/>
      <c r="M4" s="64"/>
    </row>
    <row r="5" s="49" customFormat="1" spans="1:13">
      <c r="A5" s="65" t="s">
        <v>65</v>
      </c>
      <c r="B5" s="66" t="s">
        <v>200</v>
      </c>
      <c r="C5" s="66"/>
      <c r="D5" s="65"/>
      <c r="E5" s="67"/>
      <c r="F5" s="68"/>
      <c r="G5" s="69"/>
      <c r="H5" s="67"/>
      <c r="I5" s="79">
        <f>((F5+G5+H5)*0.12)*0.7103839320882</f>
        <v>0</v>
      </c>
      <c r="J5" s="80"/>
      <c r="K5" s="81"/>
      <c r="L5" s="81"/>
      <c r="M5" s="82"/>
    </row>
    <row r="6" s="49" customFormat="1" ht="56.25" spans="1:13">
      <c r="A6" s="65">
        <v>1</v>
      </c>
      <c r="B6" s="70" t="s">
        <v>201</v>
      </c>
      <c r="C6" s="70" t="s">
        <v>202</v>
      </c>
      <c r="D6" s="71" t="s">
        <v>203</v>
      </c>
      <c r="E6" s="93">
        <v>1</v>
      </c>
      <c r="F6" s="67">
        <v>120</v>
      </c>
      <c r="G6" s="77">
        <v>380</v>
      </c>
      <c r="H6" s="67">
        <v>15</v>
      </c>
      <c r="I6" s="79">
        <f t="shared" ref="I6:I15" si="0">((F6+G6+H6)*0.06)*0.7103839320882</f>
        <v>21.9508635015254</v>
      </c>
      <c r="J6" s="80">
        <f t="shared" ref="J6:J15" si="1">(F6+G6+H6+I6)*0.09</f>
        <v>48.3255777151373</v>
      </c>
      <c r="K6" s="81">
        <f t="shared" ref="K6:K15" si="2">F6+G6+H6+I6+J6</f>
        <v>585.276441216663</v>
      </c>
      <c r="L6" s="81">
        <f t="shared" ref="L6:L15" si="3">K6*E6</f>
        <v>585.276441216663</v>
      </c>
      <c r="M6" s="82"/>
    </row>
    <row r="7" s="49" customFormat="1" ht="56.25" spans="1:13">
      <c r="A7" s="65">
        <v>2</v>
      </c>
      <c r="B7" s="70" t="s">
        <v>204</v>
      </c>
      <c r="C7" s="70" t="s">
        <v>205</v>
      </c>
      <c r="D7" s="71" t="s">
        <v>206</v>
      </c>
      <c r="E7" s="67">
        <v>40</v>
      </c>
      <c r="F7" s="68">
        <v>35</v>
      </c>
      <c r="G7" s="69">
        <v>65</v>
      </c>
      <c r="H7" s="67">
        <v>5</v>
      </c>
      <c r="I7" s="79">
        <f t="shared" si="0"/>
        <v>4.47541877215566</v>
      </c>
      <c r="J7" s="80">
        <f t="shared" si="1"/>
        <v>9.85278768949401</v>
      </c>
      <c r="K7" s="81">
        <f t="shared" si="2"/>
        <v>119.32820646165</v>
      </c>
      <c r="L7" s="81">
        <f t="shared" si="3"/>
        <v>4773.12825846599</v>
      </c>
      <c r="M7" s="82"/>
    </row>
    <row r="8" s="49" customFormat="1" ht="56.25" spans="1:13">
      <c r="A8" s="65">
        <v>3</v>
      </c>
      <c r="B8" s="70" t="s">
        <v>207</v>
      </c>
      <c r="C8" s="70" t="s">
        <v>208</v>
      </c>
      <c r="D8" s="71" t="s">
        <v>206</v>
      </c>
      <c r="E8" s="67">
        <v>1</v>
      </c>
      <c r="F8" s="68">
        <v>35</v>
      </c>
      <c r="G8" s="69">
        <v>65</v>
      </c>
      <c r="H8" s="67">
        <v>5</v>
      </c>
      <c r="I8" s="79">
        <f t="shared" si="0"/>
        <v>4.47541877215566</v>
      </c>
      <c r="J8" s="80">
        <f t="shared" si="1"/>
        <v>9.85278768949401</v>
      </c>
      <c r="K8" s="81">
        <f t="shared" si="2"/>
        <v>119.32820646165</v>
      </c>
      <c r="L8" s="81">
        <f t="shared" si="3"/>
        <v>119.32820646165</v>
      </c>
      <c r="M8" s="82"/>
    </row>
    <row r="9" s="49" customFormat="1" ht="78.75" spans="1:13">
      <c r="A9" s="65">
        <v>4</v>
      </c>
      <c r="B9" s="66" t="s">
        <v>209</v>
      </c>
      <c r="C9" s="66" t="s">
        <v>210</v>
      </c>
      <c r="D9" s="65" t="s">
        <v>144</v>
      </c>
      <c r="E9" s="67">
        <v>105</v>
      </c>
      <c r="F9" s="68">
        <v>10</v>
      </c>
      <c r="G9" s="69">
        <v>30</v>
      </c>
      <c r="H9" s="67">
        <v>2</v>
      </c>
      <c r="I9" s="79">
        <f t="shared" si="0"/>
        <v>1.79016750886226</v>
      </c>
      <c r="J9" s="80">
        <f t="shared" si="1"/>
        <v>3.9411150757976</v>
      </c>
      <c r="K9" s="81">
        <f t="shared" si="2"/>
        <v>47.7312825846599</v>
      </c>
      <c r="L9" s="81">
        <f t="shared" si="3"/>
        <v>5011.78467138929</v>
      </c>
      <c r="M9" s="82"/>
    </row>
    <row r="10" s="49" customFormat="1" ht="67.5" spans="1:13">
      <c r="A10" s="65">
        <v>5</v>
      </c>
      <c r="B10" s="66" t="s">
        <v>211</v>
      </c>
      <c r="C10" s="66" t="s">
        <v>212</v>
      </c>
      <c r="D10" s="65" t="s">
        <v>171</v>
      </c>
      <c r="E10" s="67">
        <v>1</v>
      </c>
      <c r="F10" s="68">
        <v>5</v>
      </c>
      <c r="G10" s="69">
        <v>35</v>
      </c>
      <c r="H10" s="67">
        <v>2</v>
      </c>
      <c r="I10" s="79">
        <f t="shared" si="0"/>
        <v>1.79016750886226</v>
      </c>
      <c r="J10" s="80">
        <f t="shared" si="1"/>
        <v>3.9411150757976</v>
      </c>
      <c r="K10" s="81">
        <f t="shared" si="2"/>
        <v>47.7312825846599</v>
      </c>
      <c r="L10" s="81">
        <f t="shared" si="3"/>
        <v>47.7312825846599</v>
      </c>
      <c r="M10" s="82"/>
    </row>
    <row r="11" s="49" customFormat="1" ht="67.5" spans="1:13">
      <c r="A11" s="65">
        <v>6</v>
      </c>
      <c r="B11" s="66" t="s">
        <v>213</v>
      </c>
      <c r="C11" s="66" t="s">
        <v>214</v>
      </c>
      <c r="D11" s="65" t="s">
        <v>171</v>
      </c>
      <c r="E11" s="67">
        <v>2</v>
      </c>
      <c r="F11" s="68">
        <v>5</v>
      </c>
      <c r="G11" s="69">
        <v>25</v>
      </c>
      <c r="H11" s="67">
        <v>2</v>
      </c>
      <c r="I11" s="79">
        <f t="shared" si="0"/>
        <v>1.36393714960934</v>
      </c>
      <c r="J11" s="80">
        <f t="shared" si="1"/>
        <v>3.00275434346484</v>
      </c>
      <c r="K11" s="81">
        <f t="shared" si="2"/>
        <v>36.3666914930742</v>
      </c>
      <c r="L11" s="81">
        <f t="shared" si="3"/>
        <v>72.7333829861484</v>
      </c>
      <c r="M11" s="82"/>
    </row>
    <row r="12" s="49" customFormat="1" ht="67.5" spans="1:13">
      <c r="A12" s="65">
        <v>7</v>
      </c>
      <c r="B12" s="66" t="s">
        <v>215</v>
      </c>
      <c r="C12" s="66" t="s">
        <v>216</v>
      </c>
      <c r="D12" s="65" t="s">
        <v>171</v>
      </c>
      <c r="E12" s="67">
        <v>1</v>
      </c>
      <c r="F12" s="68">
        <v>5</v>
      </c>
      <c r="G12" s="69">
        <v>32.82</v>
      </c>
      <c r="H12" s="67">
        <v>2</v>
      </c>
      <c r="I12" s="79">
        <f t="shared" si="0"/>
        <v>1.69724929054513</v>
      </c>
      <c r="J12" s="80">
        <f t="shared" si="1"/>
        <v>3.73655243614906</v>
      </c>
      <c r="K12" s="81">
        <f t="shared" si="2"/>
        <v>45.2538017266942</v>
      </c>
      <c r="L12" s="81">
        <f t="shared" si="3"/>
        <v>45.2538017266942</v>
      </c>
      <c r="M12" s="82"/>
    </row>
    <row r="13" s="49" customFormat="1" ht="56.25" spans="1:13">
      <c r="A13" s="65">
        <v>8</v>
      </c>
      <c r="B13" s="70" t="s">
        <v>217</v>
      </c>
      <c r="C13" s="70" t="s">
        <v>218</v>
      </c>
      <c r="D13" s="71" t="s">
        <v>144</v>
      </c>
      <c r="E13" s="67">
        <v>166.84</v>
      </c>
      <c r="F13" s="68">
        <v>1.5</v>
      </c>
      <c r="G13" s="69">
        <v>5</v>
      </c>
      <c r="H13" s="67">
        <v>0.5</v>
      </c>
      <c r="I13" s="79">
        <f t="shared" si="0"/>
        <v>0.298361251477044</v>
      </c>
      <c r="J13" s="80">
        <f t="shared" si="1"/>
        <v>0.656852512632934</v>
      </c>
      <c r="K13" s="81">
        <f t="shared" si="2"/>
        <v>7.95521376410998</v>
      </c>
      <c r="L13" s="81">
        <f t="shared" si="3"/>
        <v>1327.24786440411</v>
      </c>
      <c r="M13" s="82"/>
    </row>
    <row r="14" s="49" customFormat="1" ht="56.25" spans="1:13">
      <c r="A14" s="65">
        <v>9</v>
      </c>
      <c r="B14" s="70" t="s">
        <v>219</v>
      </c>
      <c r="C14" s="70" t="s">
        <v>220</v>
      </c>
      <c r="D14" s="71" t="s">
        <v>144</v>
      </c>
      <c r="E14" s="67">
        <v>370.57</v>
      </c>
      <c r="F14" s="68">
        <v>1.5</v>
      </c>
      <c r="G14" s="69">
        <v>2.04</v>
      </c>
      <c r="H14" s="67">
        <v>0.5</v>
      </c>
      <c r="I14" s="79">
        <f t="shared" si="0"/>
        <v>0.17219706513818</v>
      </c>
      <c r="J14" s="80">
        <f t="shared" si="1"/>
        <v>0.379097735862436</v>
      </c>
      <c r="K14" s="81">
        <f t="shared" si="2"/>
        <v>4.59129480100062</v>
      </c>
      <c r="L14" s="81">
        <f t="shared" si="3"/>
        <v>1701.3961144068</v>
      </c>
      <c r="M14" s="82"/>
    </row>
    <row r="15" s="49" customFormat="1" ht="56.25" spans="1:13">
      <c r="A15" s="65">
        <v>10</v>
      </c>
      <c r="B15" s="70" t="s">
        <v>219</v>
      </c>
      <c r="C15" s="70" t="s">
        <v>221</v>
      </c>
      <c r="D15" s="71" t="s">
        <v>144</v>
      </c>
      <c r="E15" s="67">
        <v>20.15</v>
      </c>
      <c r="F15" s="68">
        <v>1.5</v>
      </c>
      <c r="G15" s="69">
        <v>2.98</v>
      </c>
      <c r="H15" s="67">
        <v>0.5</v>
      </c>
      <c r="I15" s="79">
        <f t="shared" si="0"/>
        <v>0.212262718907954</v>
      </c>
      <c r="J15" s="80">
        <f t="shared" si="1"/>
        <v>0.467303644701716</v>
      </c>
      <c r="K15" s="81">
        <f t="shared" si="2"/>
        <v>5.65956636360967</v>
      </c>
      <c r="L15" s="81">
        <f t="shared" si="3"/>
        <v>114.040262226735</v>
      </c>
      <c r="M15" s="82"/>
    </row>
    <row r="16" s="49" customFormat="1" spans="1:13">
      <c r="A16" s="73" t="s">
        <v>56</v>
      </c>
      <c r="B16" s="73"/>
      <c r="C16" s="73"/>
      <c r="D16" s="73"/>
      <c r="E16" s="73"/>
      <c r="F16" s="73"/>
      <c r="G16" s="73"/>
      <c r="H16" s="67"/>
      <c r="I16" s="84"/>
      <c r="J16" s="85"/>
      <c r="K16" s="86"/>
      <c r="L16" s="81">
        <f>SUM(L5:L15)</f>
        <v>13797.9202858687</v>
      </c>
      <c r="M16" s="87"/>
    </row>
    <row r="17" s="49" customFormat="1" ht="27" customHeight="1" spans="1:13">
      <c r="A17" s="74" t="s">
        <v>222</v>
      </c>
      <c r="B17" s="74"/>
      <c r="C17" s="74"/>
      <c r="D17" s="74"/>
      <c r="E17" s="74"/>
      <c r="F17" s="74"/>
      <c r="G17" s="74"/>
      <c r="H17" s="74"/>
      <c r="I17" s="74"/>
      <c r="J17" s="74"/>
      <c r="K17" s="88"/>
      <c r="L17" s="74"/>
      <c r="M17" s="74"/>
    </row>
    <row r="18" s="49" customFormat="1" spans="11:11">
      <c r="K18" s="50"/>
    </row>
    <row r="19" s="49" customFormat="1" spans="11:11">
      <c r="K19" s="50"/>
    </row>
    <row r="20" s="49" customFormat="1" spans="11:11">
      <c r="K20" s="50"/>
    </row>
    <row r="21" s="49" customFormat="1" spans="11:11">
      <c r="K21" s="50"/>
    </row>
    <row r="22" s="49" customFormat="1" spans="11:11">
      <c r="K22" s="50"/>
    </row>
    <row r="23" s="49" customFormat="1" spans="11:11">
      <c r="K23" s="50"/>
    </row>
    <row r="24" s="49" customFormat="1" spans="5:11">
      <c r="E24" s="75"/>
      <c r="K24" s="50"/>
    </row>
    <row r="25" s="49" customFormat="1" spans="5:11">
      <c r="E25" s="75"/>
      <c r="K25" s="50"/>
    </row>
    <row r="26" s="49" customFormat="1" spans="5:11">
      <c r="E26" s="75"/>
      <c r="K26" s="50"/>
    </row>
  </sheetData>
  <mergeCells count="16">
    <mergeCell ref="A1:M1"/>
    <mergeCell ref="F2:J2"/>
    <mergeCell ref="B5:C5"/>
    <mergeCell ref="A16:G16"/>
    <mergeCell ref="A17:M1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scale="6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E14" sqref="E14"/>
    </sheetView>
  </sheetViews>
  <sheetFormatPr defaultColWidth="9.14285714285714" defaultRowHeight="12.75" outlineLevelRow="6"/>
  <cols>
    <col min="1" max="1" width="3.85714285714286" customWidth="1"/>
    <col min="2" max="2" width="16.1428571428571" customWidth="1"/>
    <col min="3" max="3" width="33" customWidth="1"/>
    <col min="4" max="4" width="3.85714285714286" customWidth="1"/>
    <col min="5" max="5" width="7.57142857142857" customWidth="1"/>
    <col min="6" max="6" width="6.71428571428571" customWidth="1"/>
    <col min="7" max="7" width="7.57142857142857" customWidth="1"/>
    <col min="8" max="8" width="8.57142857142857" customWidth="1"/>
    <col min="10" max="10" width="8.42857142857143" customWidth="1"/>
    <col min="11" max="11" width="8.57142857142857" customWidth="1"/>
    <col min="12" max="12" width="10.5714285714286" customWidth="1"/>
    <col min="13" max="13" width="8.57142857142857" customWidth="1"/>
  </cols>
  <sheetData>
    <row r="1" s="1" customFormat="1" ht="20.25" spans="1:14">
      <c r="A1" s="4" t="s">
        <v>223</v>
      </c>
      <c r="B1" s="4"/>
      <c r="C1" s="4"/>
      <c r="D1" s="4"/>
      <c r="E1" s="4"/>
      <c r="F1" s="5"/>
      <c r="G1" s="5"/>
      <c r="H1" s="5"/>
      <c r="I1" s="5"/>
      <c r="J1" s="5"/>
      <c r="K1" s="35"/>
      <c r="L1" s="36"/>
      <c r="M1" s="37"/>
      <c r="N1" s="38"/>
    </row>
    <row r="2" s="2" customFormat="1" ht="11.25" spans="1:14">
      <c r="A2" s="6" t="s">
        <v>1</v>
      </c>
      <c r="B2" s="6" t="s">
        <v>53</v>
      </c>
      <c r="C2" s="6" t="s">
        <v>101</v>
      </c>
      <c r="D2" s="6" t="s">
        <v>102</v>
      </c>
      <c r="E2" s="6" t="s">
        <v>90</v>
      </c>
      <c r="F2" s="7" t="s">
        <v>103</v>
      </c>
      <c r="G2" s="7"/>
      <c r="H2" s="7"/>
      <c r="I2" s="7"/>
      <c r="J2" s="7"/>
      <c r="K2" s="9" t="s">
        <v>104</v>
      </c>
      <c r="L2" s="9" t="s">
        <v>105</v>
      </c>
      <c r="M2" s="39" t="s">
        <v>6</v>
      </c>
      <c r="N2" s="40"/>
    </row>
    <row r="3" s="2" customFormat="1" ht="63" spans="1:14">
      <c r="A3" s="8"/>
      <c r="B3" s="8"/>
      <c r="C3" s="8"/>
      <c r="D3" s="8"/>
      <c r="E3" s="8"/>
      <c r="F3" s="9" t="s">
        <v>107</v>
      </c>
      <c r="G3" s="9" t="s">
        <v>108</v>
      </c>
      <c r="H3" s="9" t="s">
        <v>109</v>
      </c>
      <c r="I3" s="7" t="s">
        <v>110</v>
      </c>
      <c r="J3" s="7" t="s">
        <v>111</v>
      </c>
      <c r="K3" s="41"/>
      <c r="L3" s="41"/>
      <c r="M3" s="42"/>
      <c r="N3" s="40"/>
    </row>
    <row r="4" s="89" customFormat="1" ht="45" customHeight="1" spans="1:14">
      <c r="A4" s="10" t="s">
        <v>58</v>
      </c>
      <c r="B4" s="11" t="s">
        <v>224</v>
      </c>
      <c r="C4" s="12"/>
      <c r="D4" s="13"/>
      <c r="E4" s="24"/>
      <c r="F4" s="15"/>
      <c r="G4" s="15"/>
      <c r="H4" s="15"/>
      <c r="I4" s="43"/>
      <c r="J4" s="47"/>
      <c r="K4" s="7"/>
      <c r="L4" s="7"/>
      <c r="M4" s="45"/>
      <c r="N4" s="92"/>
    </row>
    <row r="5" s="89" customFormat="1" ht="42" spans="1:14">
      <c r="A5" s="13">
        <v>1</v>
      </c>
      <c r="B5" s="12" t="s">
        <v>138</v>
      </c>
      <c r="C5" s="90" t="s">
        <v>139</v>
      </c>
      <c r="D5" s="91" t="s">
        <v>119</v>
      </c>
      <c r="E5" s="24">
        <f>-9.168</f>
        <v>-9.168</v>
      </c>
      <c r="F5" s="15">
        <v>55</v>
      </c>
      <c r="G5" s="15">
        <v>230</v>
      </c>
      <c r="H5" s="15">
        <v>15</v>
      </c>
      <c r="I5" s="43">
        <f>((F5+G5+H5)*0.08)</f>
        <v>24</v>
      </c>
      <c r="J5" s="47">
        <f>(F5+G5+H5+I5)*0.09</f>
        <v>29.16</v>
      </c>
      <c r="K5" s="7">
        <f>F5+G5+H5+I5+J5</f>
        <v>353.16</v>
      </c>
      <c r="L5" s="7">
        <f>K5*E5</f>
        <v>-3237.77088</v>
      </c>
      <c r="M5" s="45"/>
      <c r="N5" s="92"/>
    </row>
    <row r="6" s="89" customFormat="1" ht="21" spans="1:14">
      <c r="A6" s="13">
        <v>2</v>
      </c>
      <c r="B6" s="12" t="s">
        <v>225</v>
      </c>
      <c r="C6" s="12" t="s">
        <v>226</v>
      </c>
      <c r="D6" s="91" t="s">
        <v>119</v>
      </c>
      <c r="E6" s="24">
        <f>变更部分!E13*2</f>
        <v>29.16</v>
      </c>
      <c r="F6" s="15">
        <v>10</v>
      </c>
      <c r="G6" s="15">
        <v>40</v>
      </c>
      <c r="H6" s="15"/>
      <c r="I6" s="43">
        <f>((F6+G6+H6)*0.08)</f>
        <v>4</v>
      </c>
      <c r="J6" s="47">
        <f>(F6+G6+H6+I6)*0.09</f>
        <v>4.86</v>
      </c>
      <c r="K6" s="7">
        <f>F6+G6+H6+I6+J6</f>
        <v>58.86</v>
      </c>
      <c r="L6" s="7">
        <f>-K6*E6</f>
        <v>-1716.3576</v>
      </c>
      <c r="M6" s="48" t="s">
        <v>227</v>
      </c>
      <c r="N6" s="92"/>
    </row>
    <row r="7" ht="33" customHeight="1" spans="1:13">
      <c r="A7" s="16" t="s">
        <v>65</v>
      </c>
      <c r="B7" s="16" t="s">
        <v>92</v>
      </c>
      <c r="C7" s="22"/>
      <c r="D7" s="22"/>
      <c r="E7" s="22"/>
      <c r="F7" s="22"/>
      <c r="G7" s="22"/>
      <c r="H7" s="22"/>
      <c r="I7" s="22"/>
      <c r="J7" s="22"/>
      <c r="K7" s="22"/>
      <c r="L7" s="46">
        <f>SUM(L5:L6)</f>
        <v>-4954.12848</v>
      </c>
      <c r="M7" s="22"/>
    </row>
  </sheetData>
  <mergeCells count="10">
    <mergeCell ref="A1:M1"/>
    <mergeCell ref="F2:J2"/>
    <mergeCell ref="A2:A3"/>
    <mergeCell ref="B2:B3"/>
    <mergeCell ref="C2:C3"/>
    <mergeCell ref="D2:D3"/>
    <mergeCell ref="E2:E3"/>
    <mergeCell ref="K2:K3"/>
    <mergeCell ref="L2:L3"/>
    <mergeCell ref="M2:M3"/>
  </mergeCells>
  <dataValidations count="1">
    <dataValidation type="list" allowBlank="1" showInputMessage="1" showErrorMessage="1" errorTitle="温馨提示" error="您确定要输入单位吗？" sqref="D5 D6" errorStyle="warning">
      <formula1>"m,m2,m3,t,kg,个,套,块,台,项,座,根,樘,10m,10m2,10m3,m3,m3,株"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view="pageBreakPreview" zoomScale="130" zoomScaleNormal="100" workbookViewId="0">
      <pane xSplit="5" ySplit="4" topLeftCell="F7" activePane="bottomRight" state="frozen"/>
      <selection/>
      <selection pane="topRight"/>
      <selection pane="bottomLeft"/>
      <selection pane="bottomRight" activeCell="L12" sqref="L12"/>
    </sheetView>
  </sheetViews>
  <sheetFormatPr defaultColWidth="10.2857142857143" defaultRowHeight="14.25"/>
  <cols>
    <col min="1" max="1" width="4.42857142857143" style="49" customWidth="1"/>
    <col min="2" max="2" width="12.8571428571429" style="49" customWidth="1"/>
    <col min="3" max="3" width="26.1428571428571" style="49" customWidth="1"/>
    <col min="4" max="4" width="4.42857142857143" style="49" customWidth="1"/>
    <col min="5" max="5" width="8.57142857142857" style="49" customWidth="1"/>
    <col min="6" max="6" width="10.5714285714286" style="49"/>
    <col min="7" max="7" width="8.71428571428571" style="49" customWidth="1"/>
    <col min="8" max="8" width="11.5714285714286" style="49" customWidth="1"/>
    <col min="9" max="9" width="15.7142857142857" style="49" customWidth="1"/>
    <col min="10" max="10" width="11.8571428571429" style="49" customWidth="1"/>
    <col min="11" max="11" width="10.2857142857143" style="50"/>
    <col min="12" max="16384" width="10.2857142857143" style="49"/>
  </cols>
  <sheetData>
    <row r="1" s="49" customFormat="1" ht="33.95" customHeight="1" spans="1:13">
      <c r="A1" s="51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9" customFormat="1" ht="12.95" customHeight="1" spans="1:13">
      <c r="A2" s="52" t="s">
        <v>1</v>
      </c>
      <c r="B2" s="53" t="s">
        <v>195</v>
      </c>
      <c r="C2" s="53" t="s">
        <v>196</v>
      </c>
      <c r="D2" s="53" t="s">
        <v>89</v>
      </c>
      <c r="E2" s="54" t="s">
        <v>197</v>
      </c>
      <c r="F2" s="55" t="s">
        <v>103</v>
      </c>
      <c r="G2" s="56"/>
      <c r="H2" s="56"/>
      <c r="I2" s="56"/>
      <c r="J2" s="76"/>
      <c r="K2" s="60" t="s">
        <v>104</v>
      </c>
      <c r="L2" s="60" t="s">
        <v>105</v>
      </c>
      <c r="M2" s="60" t="s">
        <v>198</v>
      </c>
    </row>
    <row r="3" s="49" customFormat="1" ht="24.95" customHeight="1" spans="1:13">
      <c r="A3" s="57"/>
      <c r="B3" s="58"/>
      <c r="C3" s="58"/>
      <c r="D3" s="58"/>
      <c r="E3" s="59"/>
      <c r="F3" s="60" t="s">
        <v>107</v>
      </c>
      <c r="G3" s="60" t="s">
        <v>108</v>
      </c>
      <c r="H3" s="60" t="s">
        <v>109</v>
      </c>
      <c r="I3" s="77" t="s">
        <v>199</v>
      </c>
      <c r="J3" s="77" t="s">
        <v>111</v>
      </c>
      <c r="K3" s="78"/>
      <c r="L3" s="78"/>
      <c r="M3" s="78"/>
    </row>
    <row r="4" s="49" customFormat="1" ht="9.95" customHeight="1" spans="1:13">
      <c r="A4" s="61"/>
      <c r="B4" s="62"/>
      <c r="C4" s="62"/>
      <c r="D4" s="62"/>
      <c r="E4" s="63"/>
      <c r="F4" s="64"/>
      <c r="G4" s="64"/>
      <c r="H4" s="64"/>
      <c r="I4" s="77"/>
      <c r="J4" s="77"/>
      <c r="K4" s="64"/>
      <c r="L4" s="64"/>
      <c r="M4" s="64"/>
    </row>
    <row r="5" s="49" customFormat="1" spans="1:13">
      <c r="A5" s="65" t="s">
        <v>65</v>
      </c>
      <c r="B5" s="66" t="s">
        <v>200</v>
      </c>
      <c r="C5" s="66"/>
      <c r="D5" s="65"/>
      <c r="E5" s="67"/>
      <c r="F5" s="68"/>
      <c r="G5" s="69"/>
      <c r="H5" s="67"/>
      <c r="I5" s="79">
        <f>((F5+G5+H5)*0.12)*0.7103839320882</f>
        <v>0</v>
      </c>
      <c r="J5" s="80"/>
      <c r="K5" s="81"/>
      <c r="L5" s="81"/>
      <c r="M5" s="82"/>
    </row>
    <row r="6" s="49" customFormat="1" ht="56.25" spans="1:13">
      <c r="A6" s="65">
        <v>2</v>
      </c>
      <c r="B6" s="70" t="s">
        <v>204</v>
      </c>
      <c r="C6" s="70" t="s">
        <v>205</v>
      </c>
      <c r="D6" s="71" t="s">
        <v>206</v>
      </c>
      <c r="E6" s="67">
        <v>40</v>
      </c>
      <c r="F6" s="68"/>
      <c r="G6" s="72">
        <v>-19</v>
      </c>
      <c r="H6" s="67"/>
      <c r="I6" s="79">
        <f t="shared" ref="I6:I12" si="0">((F6+G6+H6)*0.06)*0.7103839320882</f>
        <v>-0.809837682580548</v>
      </c>
      <c r="J6" s="80">
        <f t="shared" ref="J6:J12" si="1">(F6+G6+H6+I6)*0.09</f>
        <v>-1.78288539143225</v>
      </c>
      <c r="K6" s="81">
        <f t="shared" ref="K6:K12" si="2">F6+G6+H6+I6+J6</f>
        <v>-21.5927230740128</v>
      </c>
      <c r="L6" s="81">
        <f t="shared" ref="L6:L12" si="3">K6*E6</f>
        <v>-863.708922960512</v>
      </c>
      <c r="M6" s="83" t="s">
        <v>228</v>
      </c>
    </row>
    <row r="7" s="49" customFormat="1" ht="56.25" spans="1:13">
      <c r="A7" s="65">
        <v>8</v>
      </c>
      <c r="B7" s="70" t="s">
        <v>217</v>
      </c>
      <c r="C7" s="70" t="s">
        <v>218</v>
      </c>
      <c r="D7" s="71" t="s">
        <v>144</v>
      </c>
      <c r="E7" s="67">
        <v>-166.84</v>
      </c>
      <c r="F7" s="68">
        <v>1.5</v>
      </c>
      <c r="G7" s="72">
        <f>5</f>
        <v>5</v>
      </c>
      <c r="H7" s="67">
        <v>0.5</v>
      </c>
      <c r="I7" s="79">
        <f t="shared" si="0"/>
        <v>0.298361251477044</v>
      </c>
      <c r="J7" s="80">
        <f t="shared" si="1"/>
        <v>0.656852512632934</v>
      </c>
      <c r="K7" s="81">
        <f t="shared" si="2"/>
        <v>7.95521376410998</v>
      </c>
      <c r="L7" s="81">
        <f t="shared" si="3"/>
        <v>-1327.24786440411</v>
      </c>
      <c r="M7" s="83"/>
    </row>
    <row r="8" s="49" customFormat="1" ht="56.25" spans="1:13">
      <c r="A8" s="65">
        <v>9</v>
      </c>
      <c r="B8" s="70" t="s">
        <v>219</v>
      </c>
      <c r="C8" s="70" t="s">
        <v>220</v>
      </c>
      <c r="D8" s="71" t="s">
        <v>144</v>
      </c>
      <c r="E8" s="67">
        <v>-370.57</v>
      </c>
      <c r="F8" s="68">
        <v>1.5</v>
      </c>
      <c r="G8" s="72">
        <f>2.04</f>
        <v>2.04</v>
      </c>
      <c r="H8" s="67">
        <v>0.5</v>
      </c>
      <c r="I8" s="79">
        <f t="shared" si="0"/>
        <v>0.17219706513818</v>
      </c>
      <c r="J8" s="80">
        <f t="shared" si="1"/>
        <v>0.379097735862436</v>
      </c>
      <c r="K8" s="81">
        <f t="shared" si="2"/>
        <v>4.59129480100062</v>
      </c>
      <c r="L8" s="81">
        <f t="shared" si="3"/>
        <v>-1701.3961144068</v>
      </c>
      <c r="M8" s="83"/>
    </row>
    <row r="9" s="49" customFormat="1" ht="56.25" spans="1:13">
      <c r="A9" s="65">
        <v>10</v>
      </c>
      <c r="B9" s="70" t="s">
        <v>219</v>
      </c>
      <c r="C9" s="70" t="s">
        <v>221</v>
      </c>
      <c r="D9" s="71" t="s">
        <v>144</v>
      </c>
      <c r="E9" s="67">
        <v>-20.15</v>
      </c>
      <c r="F9" s="68">
        <v>1.5</v>
      </c>
      <c r="G9" s="72">
        <f>2.98</f>
        <v>2.98</v>
      </c>
      <c r="H9" s="67">
        <v>0.5</v>
      </c>
      <c r="I9" s="79">
        <f t="shared" si="0"/>
        <v>0.212262718907954</v>
      </c>
      <c r="J9" s="80">
        <f t="shared" si="1"/>
        <v>0.467303644701716</v>
      </c>
      <c r="K9" s="81">
        <f t="shared" si="2"/>
        <v>5.65956636360967</v>
      </c>
      <c r="L9" s="81">
        <f t="shared" si="3"/>
        <v>-114.040262226735</v>
      </c>
      <c r="M9" s="83"/>
    </row>
    <row r="10" s="49" customFormat="1" ht="56.25" spans="1:13">
      <c r="A10" s="65">
        <v>8</v>
      </c>
      <c r="B10" s="70" t="s">
        <v>217</v>
      </c>
      <c r="C10" s="70" t="s">
        <v>218</v>
      </c>
      <c r="D10" s="71" t="s">
        <v>144</v>
      </c>
      <c r="E10" s="67">
        <v>166.84</v>
      </c>
      <c r="F10" s="68">
        <v>1.5</v>
      </c>
      <c r="G10" s="72">
        <f>5*0+1.34</f>
        <v>1.34</v>
      </c>
      <c r="H10" s="67">
        <v>0.5</v>
      </c>
      <c r="I10" s="79">
        <f t="shared" si="0"/>
        <v>0.142360939990475</v>
      </c>
      <c r="J10" s="80">
        <f t="shared" si="1"/>
        <v>0.313412484599143</v>
      </c>
      <c r="K10" s="81">
        <f t="shared" si="2"/>
        <v>3.79577342458962</v>
      </c>
      <c r="L10" s="81">
        <f t="shared" si="3"/>
        <v>633.286838158532</v>
      </c>
      <c r="M10" s="82" t="s">
        <v>229</v>
      </c>
    </row>
    <row r="11" s="49" customFormat="1" ht="78.75" spans="1:13">
      <c r="A11" s="65">
        <v>9</v>
      </c>
      <c r="B11" s="70" t="s">
        <v>219</v>
      </c>
      <c r="C11" s="70" t="s">
        <v>220</v>
      </c>
      <c r="D11" s="71" t="s">
        <v>144</v>
      </c>
      <c r="E11" s="67">
        <f>(370.57+20.15)/3*2</f>
        <v>260.48</v>
      </c>
      <c r="F11" s="68">
        <v>1.5</v>
      </c>
      <c r="G11" s="72">
        <f>2.04*0+1.43</f>
        <v>1.43</v>
      </c>
      <c r="H11" s="67">
        <v>0.5</v>
      </c>
      <c r="I11" s="79">
        <f t="shared" si="0"/>
        <v>0.146197013223752</v>
      </c>
      <c r="J11" s="80">
        <f t="shared" si="1"/>
        <v>0.321857731190138</v>
      </c>
      <c r="K11" s="81">
        <f t="shared" si="2"/>
        <v>3.89805474441389</v>
      </c>
      <c r="L11" s="81">
        <f t="shared" si="3"/>
        <v>1015.36529982493</v>
      </c>
      <c r="M11" s="83" t="s">
        <v>230</v>
      </c>
    </row>
    <row r="12" s="49" customFormat="1" spans="1:13">
      <c r="A12" s="73" t="s">
        <v>56</v>
      </c>
      <c r="B12" s="73"/>
      <c r="C12" s="73"/>
      <c r="D12" s="73"/>
      <c r="E12" s="73"/>
      <c r="F12" s="73"/>
      <c r="G12" s="73"/>
      <c r="H12" s="67"/>
      <c r="I12" s="84"/>
      <c r="J12" s="85"/>
      <c r="K12" s="86"/>
      <c r="L12" s="81">
        <f>SUM(L5:L11)</f>
        <v>-2357.74102601469</v>
      </c>
      <c r="M12" s="87"/>
    </row>
    <row r="13" s="49" customFormat="1" ht="27" customHeight="1" spans="1:13">
      <c r="A13" s="74" t="s">
        <v>222</v>
      </c>
      <c r="B13" s="74"/>
      <c r="C13" s="74"/>
      <c r="D13" s="74"/>
      <c r="E13" s="74"/>
      <c r="F13" s="74"/>
      <c r="G13" s="74"/>
      <c r="H13" s="74"/>
      <c r="I13" s="74"/>
      <c r="J13" s="74"/>
      <c r="K13" s="88"/>
      <c r="L13" s="74"/>
      <c r="M13" s="74"/>
    </row>
    <row r="14" s="49" customFormat="1" spans="11:11">
      <c r="K14" s="50"/>
    </row>
    <row r="15" s="49" customFormat="1" spans="11:11">
      <c r="K15" s="50"/>
    </row>
    <row r="16" s="49" customFormat="1" spans="11:11">
      <c r="K16" s="50"/>
    </row>
    <row r="17" s="49" customFormat="1" spans="11:11">
      <c r="K17" s="50"/>
    </row>
    <row r="18" s="49" customFormat="1" spans="11:11">
      <c r="K18" s="50"/>
    </row>
    <row r="19" s="49" customFormat="1" spans="11:11">
      <c r="K19" s="50"/>
    </row>
    <row r="20" s="49" customFormat="1" spans="5:11">
      <c r="E20" s="75"/>
      <c r="K20" s="50"/>
    </row>
    <row r="21" s="49" customFormat="1" spans="5:11">
      <c r="E21" s="75"/>
      <c r="K21" s="50"/>
    </row>
    <row r="22" s="49" customFormat="1" spans="5:11">
      <c r="E22" s="75"/>
      <c r="K22" s="50"/>
    </row>
  </sheetData>
  <mergeCells count="16">
    <mergeCell ref="A1:M1"/>
    <mergeCell ref="F2:J2"/>
    <mergeCell ref="B5:C5"/>
    <mergeCell ref="A12:G12"/>
    <mergeCell ref="A13:M13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scale="6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R9" sqref="R9"/>
    </sheetView>
  </sheetViews>
  <sheetFormatPr defaultColWidth="9.14285714285714" defaultRowHeight="12.75"/>
  <cols>
    <col min="1" max="1" width="3.85714285714286" customWidth="1"/>
    <col min="2" max="2" width="14" customWidth="1"/>
    <col min="3" max="3" width="25" customWidth="1"/>
    <col min="4" max="4" width="4.14285714285714" customWidth="1"/>
    <col min="5" max="5" width="7.28571428571429" customWidth="1"/>
    <col min="6" max="6" width="7.57142857142857" customWidth="1"/>
    <col min="7" max="7" width="8.42857142857143" customWidth="1"/>
    <col min="8" max="8" width="7" customWidth="1"/>
    <col min="9" max="9" width="11.8571428571429" customWidth="1"/>
    <col min="10" max="10" width="8.57142857142857" customWidth="1"/>
    <col min="11" max="11" width="9.85714285714286" customWidth="1"/>
    <col min="12" max="12" width="10.4285714285714" customWidth="1"/>
    <col min="13" max="13" width="13.8571428571429" customWidth="1"/>
  </cols>
  <sheetData>
    <row r="1" s="1" customFormat="1" ht="20.25" spans="1:14">
      <c r="A1" s="4" t="s">
        <v>231</v>
      </c>
      <c r="B1" s="4"/>
      <c r="C1" s="4"/>
      <c r="D1" s="4"/>
      <c r="E1" s="4"/>
      <c r="F1" s="5"/>
      <c r="G1" s="5"/>
      <c r="H1" s="5"/>
      <c r="I1" s="5"/>
      <c r="J1" s="5"/>
      <c r="K1" s="35"/>
      <c r="L1" s="36"/>
      <c r="M1" s="37"/>
      <c r="N1" s="38"/>
    </row>
    <row r="2" s="2" customFormat="1" ht="11.25" spans="1:14">
      <c r="A2" s="6" t="s">
        <v>1</v>
      </c>
      <c r="B2" s="6" t="s">
        <v>53</v>
      </c>
      <c r="C2" s="6" t="s">
        <v>101</v>
      </c>
      <c r="D2" s="6" t="s">
        <v>102</v>
      </c>
      <c r="E2" s="6" t="s">
        <v>90</v>
      </c>
      <c r="F2" s="7" t="s">
        <v>103</v>
      </c>
      <c r="G2" s="7"/>
      <c r="H2" s="7"/>
      <c r="I2" s="7"/>
      <c r="J2" s="7"/>
      <c r="K2" s="9" t="s">
        <v>104</v>
      </c>
      <c r="L2" s="9" t="s">
        <v>105</v>
      </c>
      <c r="M2" s="39" t="s">
        <v>106</v>
      </c>
      <c r="N2" s="40"/>
    </row>
    <row r="3" s="2" customFormat="1" ht="53" customHeight="1" spans="1:14">
      <c r="A3" s="8"/>
      <c r="B3" s="8"/>
      <c r="C3" s="8"/>
      <c r="D3" s="8"/>
      <c r="E3" s="8"/>
      <c r="F3" s="9" t="s">
        <v>107</v>
      </c>
      <c r="G3" s="9" t="s">
        <v>108</v>
      </c>
      <c r="H3" s="9" t="s">
        <v>109</v>
      </c>
      <c r="I3" s="9" t="s">
        <v>110</v>
      </c>
      <c r="J3" s="9" t="s">
        <v>111</v>
      </c>
      <c r="K3" s="41"/>
      <c r="L3" s="41"/>
      <c r="M3" s="42"/>
      <c r="N3" s="40"/>
    </row>
    <row r="4" s="2" customFormat="1" ht="39" customHeight="1" spans="1:14">
      <c r="A4" s="10" t="s">
        <v>58</v>
      </c>
      <c r="B4" s="11" t="s">
        <v>232</v>
      </c>
      <c r="C4" s="12" t="s">
        <v>233</v>
      </c>
      <c r="D4" s="13" t="s">
        <v>144</v>
      </c>
      <c r="E4" s="14">
        <f>(5.3+1.5)*2</f>
        <v>13.6</v>
      </c>
      <c r="F4" s="15">
        <v>18</v>
      </c>
      <c r="G4" s="15">
        <v>7.09</v>
      </c>
      <c r="H4" s="15"/>
      <c r="I4" s="43">
        <f>((F4+G4+H4)*0.08)</f>
        <v>2.0072</v>
      </c>
      <c r="J4" s="44">
        <f>(F4+G4+H4+I4)*0.09</f>
        <v>2.438748</v>
      </c>
      <c r="K4" s="7">
        <f>F4+G4+H4+I4+J4</f>
        <v>29.535948</v>
      </c>
      <c r="L4" s="7">
        <f>K4*E4</f>
        <v>401.6888928</v>
      </c>
      <c r="M4" s="45"/>
      <c r="N4" s="40"/>
    </row>
    <row r="5" ht="31" customHeight="1" spans="1:13">
      <c r="A5" s="16" t="s">
        <v>65</v>
      </c>
      <c r="B5" s="17" t="s">
        <v>234</v>
      </c>
      <c r="C5" s="18" t="s">
        <v>235</v>
      </c>
      <c r="D5" s="19" t="s">
        <v>119</v>
      </c>
      <c r="E5" s="20">
        <f>10.74*2*0.2</f>
        <v>4.296</v>
      </c>
      <c r="F5" s="19" t="s">
        <v>236</v>
      </c>
      <c r="G5" s="19">
        <v>80</v>
      </c>
      <c r="H5" s="19"/>
      <c r="I5" s="19"/>
      <c r="J5" s="19"/>
      <c r="K5" s="19"/>
      <c r="L5" s="19">
        <f>E5*G5</f>
        <v>343.68</v>
      </c>
      <c r="M5" s="17" t="s">
        <v>237</v>
      </c>
    </row>
    <row r="6" ht="30" customHeight="1" spans="1:13">
      <c r="A6" s="16" t="s">
        <v>68</v>
      </c>
      <c r="B6" s="17" t="s">
        <v>238</v>
      </c>
      <c r="C6" s="21" t="s">
        <v>239</v>
      </c>
      <c r="D6" s="19" t="s">
        <v>119</v>
      </c>
      <c r="E6" s="20">
        <f>10.95+13.4*2.88-0.6*1.8*2-2.1*1.2</f>
        <v>44.862</v>
      </c>
      <c r="F6" s="7">
        <v>15</v>
      </c>
      <c r="G6" s="7">
        <v>25</v>
      </c>
      <c r="H6" s="7"/>
      <c r="I6" s="43">
        <f>((F6+G6+H6)*0.08)</f>
        <v>3.2</v>
      </c>
      <c r="J6" s="44">
        <f t="shared" ref="J6:J11" si="0">(F6+G6+H6+I6)*0.09</f>
        <v>3.888</v>
      </c>
      <c r="K6" s="7">
        <f t="shared" ref="K6:K11" si="1">F6+G6+H6+I6+J6</f>
        <v>47.088</v>
      </c>
      <c r="L6" s="7">
        <f t="shared" ref="L6:L13" si="2">K6*E6</f>
        <v>2112.461856</v>
      </c>
      <c r="M6" s="17" t="s">
        <v>240</v>
      </c>
    </row>
    <row r="7" spans="1:13">
      <c r="A7" s="19"/>
      <c r="B7" s="22"/>
      <c r="C7" s="17" t="s">
        <v>241</v>
      </c>
      <c r="D7" s="19" t="s">
        <v>119</v>
      </c>
      <c r="E7" s="19">
        <v>10.95</v>
      </c>
      <c r="F7" s="19">
        <v>55</v>
      </c>
      <c r="G7" s="19">
        <v>63.24</v>
      </c>
      <c r="H7" s="19">
        <v>25</v>
      </c>
      <c r="I7" s="43">
        <f>((F7+G7+H7)*0.06)</f>
        <v>8.5944</v>
      </c>
      <c r="J7" s="44">
        <f t="shared" si="0"/>
        <v>13.665096</v>
      </c>
      <c r="K7" s="7">
        <f t="shared" si="1"/>
        <v>165.499496</v>
      </c>
      <c r="L7" s="7">
        <f t="shared" si="2"/>
        <v>1812.2194812</v>
      </c>
      <c r="M7" s="17" t="s">
        <v>240</v>
      </c>
    </row>
    <row r="8" ht="25.5" spans="1:13">
      <c r="A8" s="16" t="s">
        <v>72</v>
      </c>
      <c r="B8" s="23" t="s">
        <v>242</v>
      </c>
      <c r="C8" s="18" t="s">
        <v>243</v>
      </c>
      <c r="D8" s="19" t="s">
        <v>119</v>
      </c>
      <c r="E8" s="24">
        <v>3.08</v>
      </c>
      <c r="F8" s="22"/>
      <c r="G8" s="22"/>
      <c r="H8" s="22"/>
      <c r="I8" s="22"/>
      <c r="J8" s="22"/>
      <c r="K8" s="22">
        <v>500</v>
      </c>
      <c r="L8" s="7">
        <f t="shared" si="2"/>
        <v>1540</v>
      </c>
      <c r="M8" s="17" t="s">
        <v>244</v>
      </c>
    </row>
    <row r="9" ht="33" customHeight="1" spans="1:13">
      <c r="A9" s="16" t="s">
        <v>76</v>
      </c>
      <c r="B9" s="25" t="s">
        <v>245</v>
      </c>
      <c r="C9" s="18" t="s">
        <v>246</v>
      </c>
      <c r="D9" s="26" t="s">
        <v>119</v>
      </c>
      <c r="E9" s="14">
        <v>69.5884</v>
      </c>
      <c r="F9" s="22"/>
      <c r="G9" s="22"/>
      <c r="H9" s="22"/>
      <c r="I9" s="22"/>
      <c r="J9" s="22"/>
      <c r="K9" s="22">
        <v>85</v>
      </c>
      <c r="L9" s="46">
        <f t="shared" si="2"/>
        <v>5915.014</v>
      </c>
      <c r="M9" s="17" t="s">
        <v>247</v>
      </c>
    </row>
    <row r="10" ht="36" spans="1:13">
      <c r="A10" s="27" t="s">
        <v>81</v>
      </c>
      <c r="B10" s="28" t="s">
        <v>248</v>
      </c>
      <c r="C10" s="19"/>
      <c r="D10" s="19" t="s">
        <v>119</v>
      </c>
      <c r="E10" s="19">
        <f>11.2+140*0.06*2</f>
        <v>28</v>
      </c>
      <c r="F10" s="19"/>
      <c r="G10" s="19"/>
      <c r="H10" s="19"/>
      <c r="I10" s="19"/>
      <c r="J10" s="19"/>
      <c r="K10" s="19">
        <v>450</v>
      </c>
      <c r="L10" s="19">
        <f t="shared" si="2"/>
        <v>12600</v>
      </c>
      <c r="M10" s="28" t="s">
        <v>249</v>
      </c>
    </row>
    <row r="11" ht="45" customHeight="1" spans="1:13">
      <c r="A11" s="29"/>
      <c r="B11" s="12" t="s">
        <v>167</v>
      </c>
      <c r="C11" s="12" t="s">
        <v>168</v>
      </c>
      <c r="D11" s="13" t="s">
        <v>144</v>
      </c>
      <c r="E11" s="30">
        <v>-140</v>
      </c>
      <c r="F11" s="31">
        <v>10</v>
      </c>
      <c r="G11" s="32">
        <v>25</v>
      </c>
      <c r="H11" s="31">
        <v>5</v>
      </c>
      <c r="I11" s="43">
        <f>((F11+G11+H11)*0.08)</f>
        <v>3.2</v>
      </c>
      <c r="J11" s="47">
        <f t="shared" si="0"/>
        <v>3.888</v>
      </c>
      <c r="K11" s="7">
        <f t="shared" si="1"/>
        <v>47.088</v>
      </c>
      <c r="L11" s="7">
        <f t="shared" si="2"/>
        <v>-6592.32</v>
      </c>
      <c r="M11" s="48" t="s">
        <v>250</v>
      </c>
    </row>
    <row r="12" spans="1:13">
      <c r="A12" s="16" t="s">
        <v>83</v>
      </c>
      <c r="B12" s="16" t="s">
        <v>251</v>
      </c>
      <c r="C12" s="16" t="s">
        <v>252</v>
      </c>
      <c r="D12" s="16" t="s">
        <v>94</v>
      </c>
      <c r="E12" s="19">
        <v>1</v>
      </c>
      <c r="F12" s="19"/>
      <c r="G12" s="19"/>
      <c r="H12" s="19"/>
      <c r="I12" s="19"/>
      <c r="J12" s="19"/>
      <c r="K12" s="19">
        <v>16500</v>
      </c>
      <c r="L12" s="7">
        <f t="shared" si="2"/>
        <v>16500</v>
      </c>
      <c r="M12" s="22"/>
    </row>
    <row r="13" ht="45" customHeight="1" spans="1:13">
      <c r="A13" s="16" t="s">
        <v>253</v>
      </c>
      <c r="B13" s="12" t="s">
        <v>254</v>
      </c>
      <c r="C13" s="12" t="s">
        <v>148</v>
      </c>
      <c r="D13" s="13" t="s">
        <v>119</v>
      </c>
      <c r="E13" s="24">
        <v>14.58</v>
      </c>
      <c r="F13" s="15">
        <v>150</v>
      </c>
      <c r="G13" s="15">
        <v>1200</v>
      </c>
      <c r="H13" s="15">
        <v>50</v>
      </c>
      <c r="I13" s="43">
        <f>((F13+G13+H13)*0.08)</f>
        <v>112</v>
      </c>
      <c r="J13" s="47">
        <f>(F13+G13+H13+I13)*0.09</f>
        <v>136.08</v>
      </c>
      <c r="K13" s="7">
        <f>F13+G13+H13+I13+J13</f>
        <v>1648.08</v>
      </c>
      <c r="L13" s="7">
        <f t="shared" si="2"/>
        <v>24029.0064</v>
      </c>
      <c r="M13" s="17" t="s">
        <v>255</v>
      </c>
    </row>
    <row r="14" s="3" customFormat="1" ht="29" customHeight="1" spans="1:13">
      <c r="A14" s="16" t="s">
        <v>256</v>
      </c>
      <c r="B14" s="16" t="s">
        <v>257</v>
      </c>
      <c r="C14" s="33" t="s">
        <v>258</v>
      </c>
      <c r="D14" s="19"/>
      <c r="E14" s="19">
        <f>3.24*9.16+3.225*5.27+3.22*5.05+3.225*9.01</f>
        <v>91.9924</v>
      </c>
      <c r="F14" s="19"/>
      <c r="G14" s="19"/>
      <c r="H14" s="19"/>
      <c r="I14" s="43"/>
      <c r="J14" s="47"/>
      <c r="K14" s="20">
        <f>L14/E14</f>
        <v>255.455885486192</v>
      </c>
      <c r="L14" s="19">
        <v>23500</v>
      </c>
      <c r="M14" s="19"/>
    </row>
    <row r="15" s="3" customFormat="1" ht="25.5" spans="1:13">
      <c r="A15" s="16" t="s">
        <v>259</v>
      </c>
      <c r="B15" s="16" t="s">
        <v>260</v>
      </c>
      <c r="C15" s="34" t="s">
        <v>261</v>
      </c>
      <c r="D15" s="19" t="s">
        <v>134</v>
      </c>
      <c r="E15" s="19">
        <f>((6.95+7.19)*12.3+(0.2*0.3)*4*78.5)/1000</f>
        <v>0.192762</v>
      </c>
      <c r="F15" s="19"/>
      <c r="G15" s="19"/>
      <c r="H15" s="19"/>
      <c r="I15" s="19"/>
      <c r="J15" s="19"/>
      <c r="K15" s="20">
        <v>10000</v>
      </c>
      <c r="L15" s="19">
        <f>K15*E15</f>
        <v>1927.62</v>
      </c>
      <c r="M15" s="16" t="s">
        <v>262</v>
      </c>
    </row>
    <row r="16" spans="1:13">
      <c r="A16" s="22"/>
      <c r="B16" s="17" t="s">
        <v>92</v>
      </c>
      <c r="C16" s="22"/>
      <c r="D16" s="22"/>
      <c r="E16" s="22"/>
      <c r="F16" s="22"/>
      <c r="G16" s="22"/>
      <c r="H16" s="22"/>
      <c r="I16" s="22"/>
      <c r="J16" s="22"/>
      <c r="K16" s="22"/>
      <c r="L16" s="46">
        <f>SUM(L4:L15)</f>
        <v>84089.37063</v>
      </c>
      <c r="M16" s="22"/>
    </row>
  </sheetData>
  <mergeCells count="11">
    <mergeCell ref="A1:M1"/>
    <mergeCell ref="F2:J2"/>
    <mergeCell ref="A2:A3"/>
    <mergeCell ref="A10:A11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结算汇总表</vt:lpstr>
      <vt:lpstr>结算明细表</vt:lpstr>
      <vt:lpstr>硬质铺装</vt:lpstr>
      <vt:lpstr>安装部分</vt:lpstr>
      <vt:lpstr>未施工项目</vt:lpstr>
      <vt:lpstr>安装部分 (调整)</vt:lpstr>
      <vt:lpstr>变更部分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2024-04-17T03:34:25Z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2D862A720540415692C6CD837BC1509D_13</vt:lpwstr>
  </property>
</Properties>
</file>