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汇总表" sheetId="3" r:id="rId1"/>
    <sheet name="工程量清单及计价表" sheetId="2" r:id="rId2"/>
  </sheets>
  <definedNames>
    <definedName name="_xlnm._FilterDatabase" localSheetId="1" hidden="1">工程量清单及计价表!$A$11:$M$46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F46859E5F7424C3EBD2D45C5EADBD9AC"/>
        <xdr:cNvPicPr>
          <a:picLocks noChangeAspect="1"/>
        </xdr:cNvPicPr>
      </xdr:nvPicPr>
      <xdr:blipFill>
        <a:blip r:embed="rId1"/>
        <a:stretch>
          <a:fillRect/>
        </a:stretch>
      </xdr:blipFill>
      <xdr:spPr>
        <a:xfrm>
          <a:off x="14016355" y="24688800"/>
          <a:ext cx="1847850" cy="1304925"/>
        </a:xfrm>
        <a:prstGeom prst="rect">
          <a:avLst/>
        </a:prstGeom>
        <a:noFill/>
        <a:ln w="9525">
          <a:noFill/>
        </a:ln>
      </xdr:spPr>
    </xdr:pic>
  </etc:cellImage>
  <etc:cellImage>
    <xdr:pic>
      <xdr:nvPicPr>
        <xdr:cNvPr id="3" name="ID_AB14CBFB70A1435EA36B740852710614"/>
        <xdr:cNvPicPr>
          <a:picLocks noChangeAspect="1"/>
        </xdr:cNvPicPr>
      </xdr:nvPicPr>
      <xdr:blipFill>
        <a:blip r:embed="rId2"/>
        <a:stretch>
          <a:fillRect/>
        </a:stretch>
      </xdr:blipFill>
      <xdr:spPr>
        <a:xfrm>
          <a:off x="14016355" y="25133300"/>
          <a:ext cx="2276475" cy="3028950"/>
        </a:xfrm>
        <a:prstGeom prst="rect">
          <a:avLst/>
        </a:prstGeom>
        <a:noFill/>
        <a:ln w="9525">
          <a:noFill/>
        </a:ln>
      </xdr:spPr>
    </xdr:pic>
  </etc:cellImage>
  <etc:cellImage>
    <xdr:pic>
      <xdr:nvPicPr>
        <xdr:cNvPr id="4" name="ID_65A92BDB2FFF4975A83382EAD4899E95"/>
        <xdr:cNvPicPr>
          <a:picLocks noChangeAspect="1"/>
        </xdr:cNvPicPr>
      </xdr:nvPicPr>
      <xdr:blipFill>
        <a:blip r:embed="rId3"/>
        <a:stretch>
          <a:fillRect/>
        </a:stretch>
      </xdr:blipFill>
      <xdr:spPr>
        <a:xfrm>
          <a:off x="14016355" y="25577800"/>
          <a:ext cx="2200275" cy="2238375"/>
        </a:xfrm>
        <a:prstGeom prst="rect">
          <a:avLst/>
        </a:prstGeom>
        <a:noFill/>
        <a:ln w="9525">
          <a:noFill/>
        </a:ln>
      </xdr:spPr>
    </xdr:pic>
  </etc:cellImage>
</etc:cellImages>
</file>

<file path=xl/sharedStrings.xml><?xml version="1.0" encoding="utf-8"?>
<sst xmlns="http://schemas.openxmlformats.org/spreadsheetml/2006/main" count="144" uniqueCount="115">
  <si>
    <t>投标报价汇总表</t>
  </si>
  <si>
    <t>序号</t>
  </si>
  <si>
    <t>项目名称</t>
  </si>
  <si>
    <t>含税合价（元）</t>
  </si>
  <si>
    <t>接待厅工程</t>
  </si>
  <si>
    <t>工程量清单与计价表</t>
  </si>
  <si>
    <t>工程名称：集团景观接待厅工程</t>
  </si>
  <si>
    <t>项目特征描述</t>
  </si>
  <si>
    <t>计量
单位</t>
  </si>
  <si>
    <t>工程量</t>
  </si>
  <si>
    <t>其中：各子项构成（元）</t>
  </si>
  <si>
    <t>增值税专用发票税金
f=(a+b+c+d+e)*费率</t>
  </si>
  <si>
    <t>含税综合单价
h=a+b+c+d+e+f</t>
  </si>
  <si>
    <t>含税合价(元)=g*h</t>
  </si>
  <si>
    <t>备注</t>
  </si>
  <si>
    <t>人工费
a</t>
  </si>
  <si>
    <t>主材费
b</t>
  </si>
  <si>
    <t>主材消耗量c</t>
  </si>
  <si>
    <t>机械、辅材及其他d</t>
  </si>
  <si>
    <t>管理费及利润
e=(a+b+c+d)*费率</t>
  </si>
  <si>
    <t>g</t>
  </si>
  <si>
    <t>一</t>
  </si>
  <si>
    <t>结构工程</t>
  </si>
  <si>
    <t>拆除</t>
  </si>
  <si>
    <t>1、现有木地面、混凝土拆除
2、包含垃圾清运
3、成活价，包含与之相关的所有一切费用</t>
  </si>
  <si>
    <t>项</t>
  </si>
  <si>
    <t>土方开挖</t>
  </si>
  <si>
    <t>1、人工柱坑开挖
2、成活价，包含与之相关的所有一切费用</t>
  </si>
  <si>
    <t>m3</t>
  </si>
  <si>
    <t>混凝土垫层</t>
  </si>
  <si>
    <t>1、C15商品砼垫层
2、运距：由投标方自行考虑
3、模板及支架制作、安装、拆除、堆放、运输及清理模板内杂物、刷隔离剂，钢筋制作、安装等
4、其它:详见图纸设计，均需满足图纸及相关规范要求
5、成活价，包含与之相关的所有一切费用</t>
  </si>
  <si>
    <t>按C15混凝土垫层、出边100mm、厚度100mm考虑</t>
  </si>
  <si>
    <t>混凝土基础浇筑</t>
  </si>
  <si>
    <t>1、混凝土:C35商品砼基础DJZ1
2、运距：由投标方自行考虑
3、模板及支架制作、安装、拆除、堆放、运输及清理模板内杂物、刷隔离剂等
4、其它:详见图纸设计，均需满足图纸及相关规范要求
5、成活价，包含与之相关的所有一切费用</t>
  </si>
  <si>
    <t>混凝土短柱浇筑</t>
  </si>
  <si>
    <t>1、混凝土:C35商品砼短柱
2、运距：由投标方自行考虑
3、模板及支架制作、安装、拆除、堆放、运输及清理模板内杂物、刷隔离剂等
4、其它:详见图纸设计，均需满足图纸及相关规范要求
5、成活价，包含与之相关的所有一切费用</t>
  </si>
  <si>
    <t>钢筋制作加工安装</t>
  </si>
  <si>
    <t>1、钢筋、箍筋加工制作及安装，III级钢直径8、直径12、直径16及箍筋8。
2、钢筋种类、规格:HRB400
3、成活价，包含与之相关的所有一切费用</t>
  </si>
  <si>
    <t>t</t>
  </si>
  <si>
    <t>二次浇灌</t>
  </si>
  <si>
    <t>1、混凝土种类:商品砼二次浇灌
2、混凝土强度等级:C35微膨胀细石混凝土
3、运距：由投标方自行考虑
4、模板及支架制作、安装、拆除、堆放、运输及清理模板内杂物、刷隔离剂，钢筋制作、安装等
5、其它：详见图纸设计，均需满足图纸及相关规范要求
6、成活价，包含与之相关的所有一切费用</t>
  </si>
  <si>
    <t>混凝土包角浇筑</t>
  </si>
  <si>
    <t>1、混凝土:C30细石商品砼
2、运距：由投标方自行考虑
3、模板及支架制作、安装、拆除、堆放、运输及清理模板内杂物、刷隔离剂等
4、其它：详见图纸设计，均需满足图纸及相关规范要求
5、成活价，包含与之相关的所有一切费用</t>
  </si>
  <si>
    <t>钢板制作安装</t>
  </si>
  <si>
    <t>1、预埋钢板尺寸：425*425*20mm，含除锈、油漆等
2、加强肋板100*175*16mm，含除锈、油漆等
3、按图纸预留尺寸螺栓孔和焊接安装；
4、成活价，包含与之相关的所有一切费用</t>
  </si>
  <si>
    <t>kg</t>
  </si>
  <si>
    <t>地脚螺栓</t>
  </si>
  <si>
    <t>1、地脚螺栓及底板，含除锈、油漆等
2、含运输，运距自行考虑
3、其它:详见图纸设计，均需满足图纸及相关规范要求
4、成活价，包含与之相关的所有一切费用</t>
  </si>
  <si>
    <t>组</t>
  </si>
  <si>
    <t>钢柱制作安装</t>
  </si>
  <si>
    <t>钢柱
1、钢材品种:Q235
2、钢梁：□200x200x14x14
3、含除锈、油漆等详见图纸
4、含运输，运距自行考虑
5、自行综合考虑连接/焊接方式
6、其它:详见图纸设计，均需满足图纸及相关规范要求
7、成活价，包含与之相关的所有一切费用</t>
  </si>
  <si>
    <t>层高3.6m+0.2正负零以下</t>
  </si>
  <si>
    <t>钢梁制作安装</t>
  </si>
  <si>
    <t>钢梁
1、钢材品种:Q235
2、钢梁：HN300X150*6.5*9
3、除锈、油漆等详见图纸
4、含运输，运距自行考虑
5、自行综合考虑连接/焊接方式
6、其它:详见图纸设计，均需满足图纸及相关规范要求
成活价，包含与之相关的所有一切费用</t>
  </si>
  <si>
    <t>钢梁</t>
  </si>
  <si>
    <t>钢梁
1、钢材品种:Q235
2、钢梁：200*100*4mm
3、除锈、油漆等详见图纸
4、含运输，运距自行考虑
5、自行综合考虑连接/焊接方式
6、其它:详见图纸设计，均需满足图纸及相关规范要求
7、成活价，包含与之相关的所有一切费用</t>
  </si>
  <si>
    <t>钢檩条</t>
  </si>
  <si>
    <t>钢梁
1、钢材品种:Q235
2、钢梁：80*60*4mm、50*50*4mm
3、除锈、油漆等详见图纸
4、含运输，运距自行考虑
5、自行综合考虑连接/焊接方式
6、其它:详见图纸设计，均需满足图纸及相关规范要求
7、成活价，包含与之相关的所有一切费用</t>
  </si>
  <si>
    <t>屋面层</t>
  </si>
  <si>
    <t>2、1、5mm厚TPO防水卷材；
3、75mm厚隔音棉；
4、防潮层(无纺布/密度不低于80g/m2)
5、0、8mm厚镀锌压型钢底板
6、含带隔热垫固定座、EPDM带幕填充块、橡胶垫块、硅酮耐候密封胶等
7、工程量按水平投影面积计算
8、其它:详见图纸设计，均需满足图纸及相关规范要求</t>
  </si>
  <si>
    <t>m2</t>
  </si>
  <si>
    <t>铝镁锰屋面</t>
  </si>
  <si>
    <t>1、0.9mmPVDF铝镁锰直立锁边屋面板
2、含EPDM带幕填充块、橡胶垫块、硅酮耐候密封胶等
3、工程量按水平投影面积计算
4、其它:详见图纸设计，均需满足图纸及相关规范要求
5、成活价，包含与之相关的所有一切费用</t>
  </si>
  <si>
    <t>铝单板屋檐</t>
  </si>
  <si>
    <t>1、2.5厚铝单板屋檐
2、含埋件
3、工程量按展开面积
4、其它:详见图纸设计，均需满足图纸及相关规范要求
5、成活价，包含与之相关的所有一切费用</t>
  </si>
  <si>
    <t>二</t>
  </si>
  <si>
    <t>装饰部分</t>
  </si>
  <si>
    <t>柳桉木屏风</t>
  </si>
  <si>
    <t>1、GS-01~05、GS-07
2、含柳桉木屏风（内外双面屏风，红、黄柳桉木执行相同价格）打磨喷漆，规格木条15*15厚框为48*48mm 、6+9A+6mm中空钢化玻璃、造型
3、含铝合金龙骨、铝合金角码、化学锚栓、玻璃幕墙封边、压块等
4、含锁具、推拉扇等五金件；
5、含嵌缝、塞口材料(泡沫棒、密封胶)、刷漆涂料等
6、工程量为垂直投影面积
7、其它:详见图纸设计，均需满足图纸及相关规范要求
8、成活价，包含与之相关的所有一切费用</t>
  </si>
  <si>
    <t>钢化玻璃门</t>
  </si>
  <si>
    <t>1、GS-06
2、含回字纹、12mm厚钢化玻璃门（月亮门平滑自动门、玻璃固定门）、金丝檀木屏风格栅、门框、造型等
3、含铝合金龙骨、铝合金角码、化学锚栓、不锈钢连接件及埋件、泡沫棒、硅酮耐候密封胶、刷漆涂料等
4、含内外感应装置、地弹簧、锁具、把手等五金件
5、工程量为垂直投影面积
6、其它:详见图纸设计，均需满足图纸及相关规范要求
7、成活价，包含与之相关的所有一切费用</t>
  </si>
  <si>
    <t>柳桉木柱</t>
  </si>
  <si>
    <t>1、柳桉木柱，打磨喷漆
2、200mm高造型灰色花岗岩石材墩、金丝檀木柱
3、含埋件、连接件、刷漆涂料等
4、其它:详见图纸设计，均需满足图纸及相关规范要求
5、成活价，包含与之相关的所有一切费用</t>
  </si>
  <si>
    <t>根</t>
  </si>
  <si>
    <t>牌匾</t>
  </si>
  <si>
    <t>1、牌匾，含刷漆打磨，板厚度50mm
2、含埋件、连接件等
3、其它:详见图纸设计，均需满足图纸及相关规范要求
4、成活价，包含与之相关的所有一切费用</t>
  </si>
  <si>
    <t>地面垫层</t>
  </si>
  <si>
    <t>1、C20混凝土厚度100mm：
2、其它:详见图纸设计，均需满足图纸及相关规范要求
3、成活价，包含与之相关的所有一切费用</t>
  </si>
  <si>
    <t>地面防水</t>
  </si>
  <si>
    <t>1、1.5厚聚氨酯防水涂料两遍：
2、其它:详见图纸设计，均需满足图纸及相关规范要求
3、成活价，包含与之相关的所有一切费用</t>
  </si>
  <si>
    <t>复合实木地板</t>
  </si>
  <si>
    <t>1、面层种类：15mm厚防腐木底板，含“L”型金属条
2、铝膜防潮垫；
3、20mm厚1:3水泥砂浆找平层；
4、其它:详见图纸设计，均需满足图纸及相关规范要求
5、成活价，包含与之相关的所有一切费用（含美缝、缝处理）</t>
  </si>
  <si>
    <t>吊顶（升斗顶）</t>
  </si>
  <si>
    <t>1、柳桉木吊顶（15mm厚度整板拼接），包含打磨喷漆
2、含阻燃板、石膏板：
3、工程量按水平投影面积
4、其它:详见图纸设计，均需满足图纸及相关规范要求
5、成活价，包含与之相关的所有一切费用</t>
  </si>
  <si>
    <t>电气安装</t>
  </si>
  <si>
    <t>1、含配电箱至末端的配管、穿线、开关、插座安装到位；
2、工程量按房间地面积
3、其它:详见图纸设计，均需满足图纸及相关规范要求
4、成活价，包含与之相关的所有一切费用</t>
  </si>
  <si>
    <t>灯具1</t>
  </si>
  <si>
    <t>1、吸顶灯及安装
2、其它:详见图纸设计，均需满足图纸及相关规范要求
3、成活价，包含与之相关的所有一切费用</t>
  </si>
  <si>
    <t>套</t>
  </si>
  <si>
    <t>灯具2</t>
  </si>
  <si>
    <t>1、吊灯及安装
2、其它:详见图纸设计，均需满足图纸及相关规范要求
3、成活价，包含与之相关的所有一切费用</t>
  </si>
  <si>
    <t>灯具3</t>
  </si>
  <si>
    <t>三</t>
  </si>
  <si>
    <t>室外工程</t>
  </si>
  <si>
    <t>防护地砖</t>
  </si>
  <si>
    <t>1、室外地砖：18厚仿芝麻灰PC砖
2、30厚1:2、5水泥砂浆粘结
3、其它:详见图纸设计，均需满足图纸及相关规范要求
4、成活价，包含与之相关的所有一切费用</t>
  </si>
  <si>
    <t>亮化工程</t>
  </si>
  <si>
    <t>1、屋顶、四角、柱外轮廓灯带
2、其它:详见图纸设计，均需满足图纸及相关规范要求
3、成活价，包含与之相关的所有一切费用</t>
  </si>
  <si>
    <t>m</t>
  </si>
  <si>
    <t>四</t>
  </si>
  <si>
    <t>其他费用</t>
  </si>
  <si>
    <t>技术措施费</t>
  </si>
  <si>
    <t>1、包含但不限于施工用全部的脚手架、吊葫芦、吊架、安全施工等全部措施
2、成活价，包含与之相关的所有一切费用</t>
  </si>
  <si>
    <t>二次搬运费用</t>
  </si>
  <si>
    <t>1、自西侧施工道路经步汀石区域到亭子施工区域内的材料、设备等二次搬运费用
2、成活价，包含与之相关的所有一切费用</t>
  </si>
  <si>
    <t>成品保护及文明施工费</t>
  </si>
  <si>
    <t>1、自进入园区大门开始至亭子施工区域内的成品保护、地面保护、围护措施等全部费用。
2、成活价，包含与之相关的所有一切费用</t>
  </si>
  <si>
    <t>保洁及垃圾外运</t>
  </si>
  <si>
    <t>1、精保洁及建筑垃圾清理外运费用
2、成活价，包含与之相关的所有一切费用</t>
  </si>
  <si>
    <t>五</t>
  </si>
  <si>
    <t>合计</t>
  </si>
  <si>
    <t>元</t>
  </si>
  <si>
    <t>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</si>
  <si>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图纸深化费等一切与之相关的所需全部费用。
2.本案中柳桉木分为红黄柳桉木，红黄柳桉木执行相同价格。
3.本报价按照，预付款总造价百分之35，结构主体屋面铝板完工后追加总造价的百分之40，全部完工、结算完成付款到总造价的百分之97，剩余百分之3质保金两年后付清。</t>
  </si>
  <si>
    <t>1.木包钢立柱做法详解；通体榫卯连接
2.花窗为榫卯+钢钉（专用）连接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</si>
</sst>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
    <numFmt numFmtId="180" formatCode="0.000_ "/>
  </numFmts>
  <fonts count="45">
    <font>
      <sz val="11"/>
      <color theme="1"/>
      <name val="宋体"/>
      <charset val="134"/>
      <scheme val="minor"/>
    </font>
    <font>
      <b/>
      <sz val="10"/>
      <name val="Arial"/>
      <charset val="1"/>
    </font>
    <font>
      <sz val="9"/>
      <name val="Arial"/>
      <charset val="1"/>
    </font>
    <font>
      <sz val="10"/>
      <name val="Arial"/>
      <charset val="1"/>
    </font>
    <font>
      <b/>
      <sz val="20"/>
      <name val="宋体"/>
      <charset val="1"/>
    </font>
    <font>
      <b/>
      <sz val="10"/>
      <name val="宋体"/>
      <charset val="1"/>
    </font>
    <font>
      <sz val="10"/>
      <name val="宋体"/>
      <charset val="1"/>
    </font>
    <font>
      <b/>
      <sz val="10"/>
      <color theme="1"/>
      <name val="宋体"/>
      <charset val="134"/>
    </font>
    <font>
      <b/>
      <sz val="9"/>
      <name val="宋体"/>
      <charset val="134"/>
    </font>
    <font>
      <b/>
      <sz val="10"/>
      <color theme="1"/>
      <name val="宋体"/>
      <charset val="134"/>
      <scheme val="major"/>
    </font>
    <font>
      <b/>
      <sz val="11"/>
      <color theme="1"/>
      <name val="宋体"/>
      <charset val="134"/>
    </font>
    <font>
      <sz val="12"/>
      <name val="宋体"/>
      <charset val="134"/>
    </font>
    <font>
      <sz val="10"/>
      <color theme="1"/>
      <name val="宋体"/>
      <charset val="134"/>
    </font>
    <font>
      <sz val="11"/>
      <name val="宋体"/>
      <charset val="1"/>
    </font>
    <font>
      <sz val="10"/>
      <name val="宋体"/>
      <charset val="134"/>
    </font>
    <font>
      <b/>
      <sz val="10"/>
      <name val="宋体"/>
      <charset val="134"/>
    </font>
    <font>
      <b/>
      <sz val="11"/>
      <name val="宋体"/>
      <charset val="1"/>
    </font>
    <font>
      <b/>
      <sz val="12"/>
      <name val="宋体"/>
      <charset val="134"/>
    </font>
    <font>
      <sz val="9"/>
      <name val="宋体"/>
      <charset val="1"/>
    </font>
    <font>
      <b/>
      <sz val="9"/>
      <name val="宋体"/>
      <charset val="1"/>
    </font>
    <font>
      <sz val="11"/>
      <name val="宋体"/>
      <charset val="134"/>
    </font>
    <font>
      <b/>
      <u/>
      <sz val="9"/>
      <name val="宋体"/>
      <charset val="134"/>
    </font>
    <font>
      <b/>
      <u/>
      <sz val="10"/>
      <color theme="1"/>
      <name val="宋体"/>
      <charset val="134"/>
    </font>
    <font>
      <sz val="11"/>
      <color theme="1"/>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3" borderId="8" applyNumberFormat="0" applyAlignment="0" applyProtection="0">
      <alignment vertical="center"/>
    </xf>
    <xf numFmtId="0" fontId="34" fillId="4" borderId="9" applyNumberFormat="0" applyAlignment="0" applyProtection="0">
      <alignment vertical="center"/>
    </xf>
    <xf numFmtId="0" fontId="35" fillId="4" borderId="8" applyNumberFormat="0" applyAlignment="0" applyProtection="0">
      <alignment vertical="center"/>
    </xf>
    <xf numFmtId="0" fontId="36" fillId="5"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9" fontId="44" fillId="0" borderId="0" applyFont="0" applyFill="0" applyBorder="0" applyAlignment="0" applyProtection="0"/>
    <xf numFmtId="0" fontId="11" fillId="0" borderId="0" applyBorder="0">
      <alignment vertical="center"/>
    </xf>
    <xf numFmtId="0" fontId="11" fillId="0" borderId="0" applyBorder="0">
      <alignment vertical="center"/>
    </xf>
  </cellStyleXfs>
  <cellXfs count="7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NumberFormat="1" applyFont="1" applyFill="1" applyAlignment="1">
      <alignment vertical="center"/>
    </xf>
    <xf numFmtId="176" fontId="3" fillId="0" borderId="0" xfId="0" applyNumberFormat="1"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7" fillId="0" borderId="1" xfId="51" applyNumberFormat="1" applyFont="1" applyFill="1" applyBorder="1" applyAlignment="1">
      <alignment vertical="center" wrapText="1"/>
    </xf>
    <xf numFmtId="177" fontId="9" fillId="0" borderId="1" xfId="51" applyNumberFormat="1" applyFont="1" applyFill="1" applyBorder="1" applyAlignment="1">
      <alignment horizontal="center" vertical="center" wrapText="1"/>
    </xf>
    <xf numFmtId="178" fontId="7" fillId="0" borderId="1" xfId="50" applyNumberFormat="1" applyFont="1" applyFill="1" applyBorder="1" applyAlignment="1">
      <alignment horizontal="center" vertical="center" wrapText="1"/>
    </xf>
    <xf numFmtId="9" fontId="7" fillId="0" borderId="1" xfId="49" applyFont="1" applyFill="1" applyBorder="1" applyAlignment="1">
      <alignment horizontal="center" vertical="center" wrapText="1"/>
    </xf>
    <xf numFmtId="0" fontId="10" fillId="0" borderId="0" xfId="0" applyFont="1" applyAlignment="1">
      <alignment horizontal="center" vertical="center"/>
    </xf>
    <xf numFmtId="0" fontId="6" fillId="0" borderId="1" xfId="0" applyFont="1" applyFill="1" applyBorder="1" applyAlignment="1">
      <alignment horizontal="center" vertical="center" wrapText="1"/>
    </xf>
    <xf numFmtId="177" fontId="7" fillId="0" borderId="1" xfId="5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2" fillId="0" borderId="1" xfId="51" applyNumberFormat="1" applyFont="1" applyFill="1" applyBorder="1" applyAlignment="1">
      <alignment horizontal="center" vertical="center" wrapText="1"/>
    </xf>
    <xf numFmtId="9" fontId="7"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51" applyNumberFormat="1" applyFont="1" applyFill="1" applyBorder="1" applyAlignment="1">
      <alignment horizontal="center" vertical="center" wrapText="1"/>
    </xf>
    <xf numFmtId="0" fontId="6" fillId="0" borderId="1" xfId="0" applyFont="1" applyFill="1" applyBorder="1" applyAlignment="1">
      <alignment vertical="center"/>
    </xf>
    <xf numFmtId="0" fontId="14" fillId="0" borderId="1" xfId="0" applyFont="1" applyFill="1" applyBorder="1" applyAlignment="1">
      <alignment horizontal="center" vertical="center" wrapText="1"/>
    </xf>
    <xf numFmtId="176" fontId="12" fillId="0" borderId="1" xfId="51" applyNumberFormat="1" applyFont="1" applyFill="1" applyBorder="1" applyAlignment="1">
      <alignment horizontal="center" vertical="center" wrapText="1"/>
    </xf>
    <xf numFmtId="180" fontId="14" fillId="0" borderId="1" xfId="51" applyNumberFormat="1" applyFont="1" applyFill="1" applyBorder="1" applyAlignment="1">
      <alignment horizontal="center" vertical="center" wrapText="1"/>
    </xf>
    <xf numFmtId="176" fontId="14" fillId="0" borderId="1" xfId="5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5" fillId="0" borderId="1" xfId="0" applyFont="1" applyFill="1" applyBorder="1" applyAlignment="1">
      <alignment vertical="center"/>
    </xf>
    <xf numFmtId="179" fontId="1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17"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5" fillId="0" borderId="0" xfId="0" applyFont="1" applyFill="1" applyAlignment="1">
      <alignment horizontal="justify" vertical="center"/>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left" vertical="center" wrapText="1"/>
    </xf>
    <xf numFmtId="176" fontId="8" fillId="0" borderId="4" xfId="0" applyNumberFormat="1" applyFont="1" applyFill="1" applyBorder="1" applyAlignment="1">
      <alignment horizontal="center" vertical="center" wrapText="1"/>
    </xf>
    <xf numFmtId="0" fontId="6" fillId="0" borderId="0" xfId="0" applyFont="1" applyFill="1" applyAlignment="1">
      <alignment vertical="center"/>
    </xf>
    <xf numFmtId="9" fontId="21" fillId="0" borderId="1" xfId="0" applyNumberFormat="1" applyFont="1" applyFill="1" applyBorder="1" applyAlignment="1">
      <alignment horizontal="center" vertical="center" wrapText="1"/>
    </xf>
    <xf numFmtId="9" fontId="22" fillId="0" borderId="1" xfId="3" applyNumberFormat="1" applyFont="1" applyFill="1" applyBorder="1" applyAlignment="1" applyProtection="1">
      <alignment horizontal="center" vertical="center" wrapText="1"/>
    </xf>
    <xf numFmtId="176" fontId="7" fillId="0" borderId="1" xfId="50" applyNumberFormat="1" applyFont="1" applyFill="1" applyBorder="1" applyAlignment="1">
      <alignment horizontal="center" vertical="center" wrapText="1"/>
    </xf>
    <xf numFmtId="9" fontId="7" fillId="0" borderId="1" xfId="3" applyNumberFormat="1" applyFont="1" applyFill="1" applyBorder="1" applyAlignment="1" applyProtection="1">
      <alignment horizontal="center" vertical="center" wrapText="1"/>
    </xf>
    <xf numFmtId="9" fontId="7" fillId="0" borderId="1" xfId="51"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23" fillId="0" borderId="1" xfId="0" applyNumberFormat="1" applyFont="1" applyFill="1" applyBorder="1" applyAlignment="1">
      <alignment horizontal="right" vertical="center"/>
    </xf>
    <xf numFmtId="176" fontId="23" fillId="0" borderId="1" xfId="0" applyNumberFormat="1" applyFont="1" applyFill="1" applyBorder="1" applyAlignment="1">
      <alignment horizontal="center" vertical="center"/>
    </xf>
    <xf numFmtId="0" fontId="23" fillId="0" borderId="1" xfId="0" applyFont="1" applyBorder="1">
      <alignment vertical="center"/>
    </xf>
    <xf numFmtId="0" fontId="12" fillId="0" borderId="1" xfId="0" applyFont="1" applyFill="1" applyBorder="1" applyAlignment="1">
      <alignment vertical="center" wrapText="1"/>
    </xf>
    <xf numFmtId="0" fontId="23" fillId="0" borderId="1" xfId="0" applyFont="1" applyFill="1" applyBorder="1" applyAlignment="1">
      <alignment vertical="center" wrapText="1"/>
    </xf>
    <xf numFmtId="0" fontId="10" fillId="0" borderId="1" xfId="0" applyFont="1" applyBorder="1">
      <alignment vertical="center"/>
    </xf>
    <xf numFmtId="0" fontId="18" fillId="0" borderId="1" xfId="0" applyFont="1" applyFill="1" applyBorder="1" applyAlignment="1">
      <alignment vertical="center"/>
    </xf>
    <xf numFmtId="176" fontId="16" fillId="0" borderId="1" xfId="0" applyNumberFormat="1" applyFont="1" applyFill="1" applyBorder="1" applyAlignment="1">
      <alignment vertical="center"/>
    </xf>
    <xf numFmtId="176" fontId="20" fillId="0" borderId="1" xfId="0" applyNumberFormat="1" applyFont="1" applyFill="1" applyBorder="1" applyAlignment="1" applyProtection="1">
      <alignment horizontal="left" vertical="center" wrapText="1"/>
    </xf>
    <xf numFmtId="176" fontId="2" fillId="0" borderId="0" xfId="0" applyNumberFormat="1" applyFont="1" applyFill="1" applyAlignment="1">
      <alignment vertical="center"/>
    </xf>
    <xf numFmtId="176" fontId="5" fillId="0" borderId="0" xfId="0" applyNumberFormat="1" applyFont="1" applyFill="1" applyAlignment="1">
      <alignment horizontal="justify" vertical="center"/>
    </xf>
    <xf numFmtId="0" fontId="3" fillId="0" borderId="0" xfId="0" applyFont="1" applyFill="1" applyAlignment="1">
      <alignment horizontal="left"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12" xfId="49"/>
    <cellStyle name="常规_景观标底编制标准-B版" xfId="50"/>
    <cellStyle name="常规 18"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_rels/workbook.xml.rels><?xml version="1.0" encoding="UTF-8" standalone="yes"?>
<Relationships xmlns="http://schemas.openxmlformats.org/package/2006/relationships"><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1609090</xdr:colOff>
      <xdr:row>47</xdr:row>
      <xdr:rowOff>57150</xdr:rowOff>
    </xdr:from>
    <xdr:to>
      <xdr:col>10</xdr:col>
      <xdr:colOff>1345565</xdr:colOff>
      <xdr:row>77</xdr:row>
      <xdr:rowOff>48260</xdr:rowOff>
    </xdr:to>
    <xdr:pic>
      <xdr:nvPicPr>
        <xdr:cNvPr id="5" name="图片 4"/>
        <xdr:cNvPicPr>
          <a:picLocks noChangeAspect="1"/>
        </xdr:cNvPicPr>
      </xdr:nvPicPr>
      <xdr:blipFill>
        <a:blip r:embed="rId1"/>
        <a:stretch>
          <a:fillRect/>
        </a:stretch>
      </xdr:blipFill>
      <xdr:spPr>
        <a:xfrm>
          <a:off x="2357755" y="34486850"/>
          <a:ext cx="9753600" cy="4848860"/>
        </a:xfrm>
        <a:prstGeom prst="rect">
          <a:avLst/>
        </a:prstGeom>
        <a:noFill/>
        <a:ln w="9525">
          <a:noFill/>
        </a:ln>
      </xdr:spPr>
    </xdr:pic>
    <xdr:clientData/>
  </xdr:twoCellAnchor>
  <xdr:twoCellAnchor editAs="oneCell">
    <xdr:from>
      <xdr:col>2</xdr:col>
      <xdr:colOff>141605</xdr:colOff>
      <xdr:row>81</xdr:row>
      <xdr:rowOff>132715</xdr:rowOff>
    </xdr:from>
    <xdr:to>
      <xdr:col>9</xdr:col>
      <xdr:colOff>1054100</xdr:colOff>
      <xdr:row>120</xdr:row>
      <xdr:rowOff>10795</xdr:rowOff>
    </xdr:to>
    <xdr:pic>
      <xdr:nvPicPr>
        <xdr:cNvPr id="2" name="图片 1" descr="466e57375c40df0640ff0637534a5af"/>
        <xdr:cNvPicPr>
          <a:picLocks noChangeAspect="1"/>
        </xdr:cNvPicPr>
      </xdr:nvPicPr>
      <xdr:blipFill>
        <a:blip r:embed="rId2"/>
        <a:stretch>
          <a:fillRect/>
        </a:stretch>
      </xdr:blipFill>
      <xdr:spPr>
        <a:xfrm>
          <a:off x="2500630" y="40067865"/>
          <a:ext cx="8176260" cy="61931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workbookViewId="0">
      <selection activeCell="C4" sqref="C4"/>
    </sheetView>
  </sheetViews>
  <sheetFormatPr defaultColWidth="9.64166666666667" defaultRowHeight="13.5" outlineLevelRow="2" outlineLevelCol="2"/>
  <cols>
    <col min="1" max="1" width="14.8833333333333" customWidth="1"/>
    <col min="2" max="2" width="22.1333333333333" customWidth="1"/>
    <col min="3" max="3" width="39.3833333333333" customWidth="1"/>
  </cols>
  <sheetData>
    <row r="1" ht="72" customHeight="1" spans="1:3">
      <c r="A1" s="71" t="s">
        <v>0</v>
      </c>
      <c r="B1" s="72"/>
      <c r="C1" s="72"/>
    </row>
    <row r="2" ht="59" customHeight="1" spans="1:3">
      <c r="A2" s="21" t="s">
        <v>1</v>
      </c>
      <c r="B2" s="21" t="s">
        <v>2</v>
      </c>
      <c r="C2" s="39" t="s">
        <v>3</v>
      </c>
    </row>
    <row r="3" ht="59" customHeight="1" spans="1:3">
      <c r="A3" s="21">
        <v>1</v>
      </c>
      <c r="B3" s="39" t="s">
        <v>4</v>
      </c>
      <c r="C3" s="73">
        <f>+工程量清单及计价表!M46</f>
        <v>430000.004177006</v>
      </c>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87"/>
  <sheetViews>
    <sheetView tabSelected="1" view="pageBreakPreview" zoomScaleNormal="100" workbookViewId="0">
      <pane ySplit="5" topLeftCell="A37" activePane="bottomLeft" state="frozen"/>
      <selection/>
      <selection pane="bottomLeft" activeCell="L57" sqref="L57"/>
    </sheetView>
  </sheetViews>
  <sheetFormatPr defaultColWidth="9.64166666666667" defaultRowHeight="12.75"/>
  <cols>
    <col min="1" max="1" width="9.825" style="3" customWidth="1"/>
    <col min="2" max="2" width="21.1333333333333" style="3" customWidth="1"/>
    <col min="3" max="3" width="40.8916666666667" style="3" customWidth="1"/>
    <col min="4" max="4" width="5.88333333333333" style="3" customWidth="1"/>
    <col min="5" max="5" width="10.15" style="4" customWidth="1"/>
    <col min="6" max="6" width="12.5" style="3" customWidth="1"/>
    <col min="7" max="9" width="8.63333333333333" style="3" customWidth="1"/>
    <col min="10" max="10" width="15" style="3" customWidth="1"/>
    <col min="11" max="11" width="18.75" style="3" customWidth="1"/>
    <col min="12" max="12" width="14.75" style="3" customWidth="1"/>
    <col min="13" max="13" width="20" style="5" customWidth="1"/>
    <col min="14" max="14" width="16" style="3" customWidth="1"/>
    <col min="15" max="16379" width="7.775" style="3"/>
    <col min="16380" max="16383" width="46.075" style="3"/>
    <col min="16384" max="16384" width="9.64166666666667" style="3"/>
  </cols>
  <sheetData>
    <row r="1" ht="25.5" spans="1:14">
      <c r="A1" s="6" t="s">
        <v>5</v>
      </c>
      <c r="B1" s="6"/>
      <c r="C1" s="6"/>
      <c r="D1" s="6"/>
      <c r="E1" s="6"/>
      <c r="F1" s="6"/>
      <c r="G1" s="6"/>
      <c r="H1" s="6"/>
      <c r="I1" s="6"/>
      <c r="J1" s="6"/>
      <c r="K1" s="6"/>
      <c r="L1" s="6"/>
      <c r="M1" s="49"/>
      <c r="N1" s="6"/>
    </row>
    <row r="2" s="1" customFormat="1" ht="17" customHeight="1" spans="1:14">
      <c r="A2" s="7" t="s">
        <v>6</v>
      </c>
      <c r="B2" s="7"/>
      <c r="C2" s="7"/>
      <c r="D2" s="8"/>
      <c r="E2" s="7"/>
      <c r="F2" s="7"/>
      <c r="G2" s="7"/>
      <c r="H2" s="7"/>
      <c r="I2" s="7"/>
      <c r="J2" s="7"/>
      <c r="K2" s="7"/>
      <c r="L2" s="7"/>
      <c r="M2" s="50"/>
      <c r="N2" s="7"/>
    </row>
    <row r="3" s="1" customFormat="1" ht="22" customHeight="1" spans="1:14">
      <c r="A3" s="9" t="s">
        <v>1</v>
      </c>
      <c r="B3" s="9" t="s">
        <v>2</v>
      </c>
      <c r="C3" s="9" t="s">
        <v>7</v>
      </c>
      <c r="D3" s="9" t="s">
        <v>8</v>
      </c>
      <c r="E3" s="10" t="s">
        <v>9</v>
      </c>
      <c r="F3" s="11" t="s">
        <v>10</v>
      </c>
      <c r="G3" s="11"/>
      <c r="H3" s="11"/>
      <c r="I3" s="11"/>
      <c r="J3" s="11"/>
      <c r="K3" s="12" t="s">
        <v>11</v>
      </c>
      <c r="L3" s="12" t="s">
        <v>12</v>
      </c>
      <c r="M3" s="11" t="s">
        <v>13</v>
      </c>
      <c r="N3" s="12" t="s">
        <v>14</v>
      </c>
    </row>
    <row r="4" ht="22.5" spans="1:15">
      <c r="A4" s="9"/>
      <c r="B4" s="9"/>
      <c r="C4" s="9"/>
      <c r="D4" s="9"/>
      <c r="E4" s="10"/>
      <c r="F4" s="11" t="s">
        <v>15</v>
      </c>
      <c r="G4" s="11" t="s">
        <v>16</v>
      </c>
      <c r="H4" s="12" t="s">
        <v>17</v>
      </c>
      <c r="I4" s="12" t="s">
        <v>18</v>
      </c>
      <c r="J4" s="11" t="s">
        <v>19</v>
      </c>
      <c r="K4" s="51"/>
      <c r="L4" s="51"/>
      <c r="M4" s="11"/>
      <c r="N4" s="51"/>
      <c r="O4" s="52"/>
    </row>
    <row r="5" ht="28" customHeight="1" spans="1:15">
      <c r="A5" s="9"/>
      <c r="B5" s="9"/>
      <c r="C5" s="9"/>
      <c r="D5" s="9"/>
      <c r="E5" s="10" t="s">
        <v>20</v>
      </c>
      <c r="F5" s="11"/>
      <c r="G5" s="11"/>
      <c r="H5" s="13"/>
      <c r="I5" s="13"/>
      <c r="J5" s="53">
        <v>0.09</v>
      </c>
      <c r="K5" s="53">
        <v>0.03</v>
      </c>
      <c r="L5" s="13"/>
      <c r="M5" s="11"/>
      <c r="N5" s="13"/>
      <c r="O5" s="52"/>
    </row>
    <row r="6" customFormat="1" ht="16" customHeight="1" spans="1:15">
      <c r="A6" s="9"/>
      <c r="B6" s="9"/>
      <c r="C6" s="9"/>
      <c r="D6" s="9"/>
      <c r="E6" s="14"/>
      <c r="F6" s="15"/>
      <c r="G6" s="16"/>
      <c r="H6" s="17"/>
      <c r="I6" s="16"/>
      <c r="J6" s="54"/>
      <c r="K6" s="54"/>
      <c r="L6" s="16"/>
      <c r="M6" s="55"/>
      <c r="N6" s="9"/>
      <c r="O6" s="52"/>
    </row>
    <row r="7" customFormat="1" ht="30" customHeight="1" spans="1:15">
      <c r="A7" s="9" t="s">
        <v>21</v>
      </c>
      <c r="B7" s="18" t="s">
        <v>22</v>
      </c>
      <c r="C7" s="9"/>
      <c r="D7" s="19"/>
      <c r="E7" s="10"/>
      <c r="F7" s="20"/>
      <c r="G7" s="16"/>
      <c r="H7" s="17"/>
      <c r="I7" s="16"/>
      <c r="J7" s="56"/>
      <c r="K7" s="57"/>
      <c r="L7" s="16"/>
      <c r="M7" s="55"/>
      <c r="N7" s="58"/>
      <c r="O7" s="52"/>
    </row>
    <row r="8" customFormat="1" ht="36" spans="1:15">
      <c r="A8" s="19">
        <v>1</v>
      </c>
      <c r="B8" s="21" t="s">
        <v>23</v>
      </c>
      <c r="C8" s="22" t="s">
        <v>24</v>
      </c>
      <c r="D8" s="19" t="s">
        <v>25</v>
      </c>
      <c r="E8" s="23">
        <v>1</v>
      </c>
      <c r="F8" s="20">
        <v>9800</v>
      </c>
      <c r="G8" s="16"/>
      <c r="H8" s="17"/>
      <c r="I8" s="16"/>
      <c r="J8" s="59">
        <f>(F8+G8+G8*H8+I8)*9%</f>
        <v>882</v>
      </c>
      <c r="K8" s="60">
        <f>(F8+G8+G8*H8+I8+J8)*3%</f>
        <v>320.46</v>
      </c>
      <c r="L8" s="60">
        <f>F8+G8+G8*H8+I8+J8+K8</f>
        <v>11002.46</v>
      </c>
      <c r="M8" s="55">
        <f>L8*E8</f>
        <v>11002.46</v>
      </c>
      <c r="N8" s="25"/>
      <c r="O8" s="52"/>
    </row>
    <row r="9" customFormat="1" ht="28" customHeight="1" spans="1:15">
      <c r="A9" s="19">
        <v>2</v>
      </c>
      <c r="B9" s="21" t="s">
        <v>26</v>
      </c>
      <c r="C9" s="22" t="s">
        <v>27</v>
      </c>
      <c r="D9" s="19" t="s">
        <v>28</v>
      </c>
      <c r="E9" s="23">
        <v>15.52</v>
      </c>
      <c r="F9" s="20">
        <v>455</v>
      </c>
      <c r="G9" s="16"/>
      <c r="H9" s="17"/>
      <c r="I9" s="16"/>
      <c r="J9" s="59">
        <f t="shared" ref="J9:J40" si="0">(F9+G9+G9*H9+I9)*9%</f>
        <v>40.95</v>
      </c>
      <c r="K9" s="60">
        <f t="shared" ref="K9:K40" si="1">(F9+G9+G9*H9+I9+J9)*3%</f>
        <v>14.8785</v>
      </c>
      <c r="L9" s="60">
        <f t="shared" ref="L9:L40" si="2">F9+G9+G9*H9+I9+J9+K9</f>
        <v>510.8285</v>
      </c>
      <c r="M9" s="55">
        <f t="shared" ref="M9:M40" si="3">L9*E9</f>
        <v>7928.05832</v>
      </c>
      <c r="N9" s="25"/>
      <c r="O9" s="52"/>
    </row>
    <row r="10" customFormat="1" ht="72" spans="1:15">
      <c r="A10" s="19">
        <v>3</v>
      </c>
      <c r="B10" s="21" t="s">
        <v>29</v>
      </c>
      <c r="C10" s="22" t="s">
        <v>30</v>
      </c>
      <c r="D10" s="19" t="s">
        <v>28</v>
      </c>
      <c r="E10" s="23">
        <v>1.16</v>
      </c>
      <c r="F10" s="20">
        <v>180</v>
      </c>
      <c r="G10" s="16">
        <v>260</v>
      </c>
      <c r="H10" s="24">
        <v>0.07</v>
      </c>
      <c r="I10" s="16">
        <v>25</v>
      </c>
      <c r="J10" s="59">
        <f t="shared" si="0"/>
        <v>43.488</v>
      </c>
      <c r="K10" s="60">
        <f t="shared" si="1"/>
        <v>15.80064</v>
      </c>
      <c r="L10" s="60">
        <f t="shared" si="2"/>
        <v>542.48864</v>
      </c>
      <c r="M10" s="55">
        <f t="shared" si="3"/>
        <v>629.2868224</v>
      </c>
      <c r="N10" s="22" t="s">
        <v>31</v>
      </c>
      <c r="O10" s="52"/>
    </row>
    <row r="11" customFormat="1" ht="72" spans="1:14">
      <c r="A11" s="19">
        <v>4</v>
      </c>
      <c r="B11" s="19" t="s">
        <v>32</v>
      </c>
      <c r="C11" s="22" t="s">
        <v>33</v>
      </c>
      <c r="D11" s="19" t="s">
        <v>28</v>
      </c>
      <c r="E11" s="23">
        <v>3.64</v>
      </c>
      <c r="F11" s="25">
        <v>180</v>
      </c>
      <c r="G11" s="25">
        <v>350</v>
      </c>
      <c r="H11" s="26">
        <v>0.07</v>
      </c>
      <c r="I11" s="25">
        <v>25</v>
      </c>
      <c r="J11" s="59">
        <f t="shared" si="0"/>
        <v>52.155</v>
      </c>
      <c r="K11" s="60">
        <f t="shared" si="1"/>
        <v>18.94965</v>
      </c>
      <c r="L11" s="60">
        <f t="shared" si="2"/>
        <v>650.60465</v>
      </c>
      <c r="M11" s="55">
        <f t="shared" si="3"/>
        <v>2368.200926</v>
      </c>
      <c r="N11" s="61"/>
    </row>
    <row r="12" customFormat="1" ht="72" spans="1:14">
      <c r="A12" s="19">
        <v>5</v>
      </c>
      <c r="B12" s="27" t="s">
        <v>34</v>
      </c>
      <c r="C12" s="28" t="s">
        <v>35</v>
      </c>
      <c r="D12" s="19" t="s">
        <v>28</v>
      </c>
      <c r="E12" s="29">
        <v>0.45</v>
      </c>
      <c r="F12" s="30">
        <v>180</v>
      </c>
      <c r="G12" s="30">
        <v>350</v>
      </c>
      <c r="H12" s="26">
        <v>0.07</v>
      </c>
      <c r="I12" s="30">
        <v>25</v>
      </c>
      <c r="J12" s="59">
        <f t="shared" si="0"/>
        <v>52.155</v>
      </c>
      <c r="K12" s="60">
        <f t="shared" si="1"/>
        <v>18.94965</v>
      </c>
      <c r="L12" s="60">
        <f t="shared" si="2"/>
        <v>650.60465</v>
      </c>
      <c r="M12" s="55">
        <f t="shared" si="3"/>
        <v>292.7720925</v>
      </c>
      <c r="N12" s="61"/>
    </row>
    <row r="13" customFormat="1" ht="48" spans="1:14">
      <c r="A13" s="19">
        <v>6</v>
      </c>
      <c r="B13" s="31" t="s">
        <v>36</v>
      </c>
      <c r="C13" s="28" t="s">
        <v>37</v>
      </c>
      <c r="D13" s="19" t="s">
        <v>38</v>
      </c>
      <c r="E13" s="23">
        <v>0.23</v>
      </c>
      <c r="F13" s="30">
        <v>980</v>
      </c>
      <c r="G13" s="30">
        <v>3240</v>
      </c>
      <c r="H13" s="26">
        <v>0.04</v>
      </c>
      <c r="I13" s="30">
        <v>30</v>
      </c>
      <c r="J13" s="59">
        <f t="shared" si="0"/>
        <v>394.164</v>
      </c>
      <c r="K13" s="60">
        <f t="shared" si="1"/>
        <v>143.21292</v>
      </c>
      <c r="L13" s="60">
        <f t="shared" si="2"/>
        <v>4916.97692</v>
      </c>
      <c r="M13" s="55">
        <f t="shared" si="3"/>
        <v>1130.9046916</v>
      </c>
      <c r="N13" s="61"/>
    </row>
    <row r="14" customFormat="1" ht="84" spans="1:14">
      <c r="A14" s="19">
        <v>7</v>
      </c>
      <c r="B14" s="31" t="s">
        <v>39</v>
      </c>
      <c r="C14" s="28" t="s">
        <v>40</v>
      </c>
      <c r="D14" s="19" t="s">
        <v>28</v>
      </c>
      <c r="E14" s="29">
        <f>0.5*0.5*0.05*4</f>
        <v>0.05</v>
      </c>
      <c r="F14" s="30">
        <v>180</v>
      </c>
      <c r="G14" s="30">
        <v>390</v>
      </c>
      <c r="H14" s="26">
        <v>0.07</v>
      </c>
      <c r="I14" s="30">
        <v>25</v>
      </c>
      <c r="J14" s="59">
        <f t="shared" si="0"/>
        <v>56.007</v>
      </c>
      <c r="K14" s="60">
        <f t="shared" si="1"/>
        <v>20.34921</v>
      </c>
      <c r="L14" s="60">
        <f t="shared" si="2"/>
        <v>698.65621</v>
      </c>
      <c r="M14" s="55">
        <f t="shared" si="3"/>
        <v>34.9328105</v>
      </c>
      <c r="N14" s="61"/>
    </row>
    <row r="15" customFormat="1" ht="72" spans="1:14">
      <c r="A15" s="19">
        <v>8</v>
      </c>
      <c r="B15" s="27" t="s">
        <v>41</v>
      </c>
      <c r="C15" s="28" t="s">
        <v>42</v>
      </c>
      <c r="D15" s="19" t="s">
        <v>28</v>
      </c>
      <c r="E15" s="29">
        <f>0.5*0.5*0.18*4</f>
        <v>0.18</v>
      </c>
      <c r="F15" s="30">
        <v>180</v>
      </c>
      <c r="G15" s="30">
        <v>330</v>
      </c>
      <c r="H15" s="26">
        <v>0.07</v>
      </c>
      <c r="I15" s="30">
        <v>25</v>
      </c>
      <c r="J15" s="59">
        <f t="shared" si="0"/>
        <v>50.229</v>
      </c>
      <c r="K15" s="60">
        <f t="shared" si="1"/>
        <v>18.24987</v>
      </c>
      <c r="L15" s="60">
        <f t="shared" si="2"/>
        <v>626.57887</v>
      </c>
      <c r="M15" s="55">
        <f t="shared" si="3"/>
        <v>112.7841966</v>
      </c>
      <c r="N15" s="61"/>
    </row>
    <row r="16" customFormat="1" ht="48" spans="1:14">
      <c r="A16" s="19">
        <v>9</v>
      </c>
      <c r="B16" s="31" t="s">
        <v>43</v>
      </c>
      <c r="C16" s="28" t="s">
        <v>44</v>
      </c>
      <c r="D16" s="19" t="s">
        <v>45</v>
      </c>
      <c r="E16" s="32">
        <f>(0.425*0.425*157+0.1*0.175*125.6*8)*4</f>
        <v>183.7685</v>
      </c>
      <c r="F16" s="30">
        <v>15</v>
      </c>
      <c r="G16" s="30">
        <f>354/100</f>
        <v>3.54</v>
      </c>
      <c r="H16" s="26">
        <v>0.04</v>
      </c>
      <c r="I16" s="30">
        <f>120/1000</f>
        <v>0.12</v>
      </c>
      <c r="J16" s="59">
        <f t="shared" si="0"/>
        <v>1.692144</v>
      </c>
      <c r="K16" s="60">
        <f t="shared" si="1"/>
        <v>0.61481232</v>
      </c>
      <c r="L16" s="60">
        <f t="shared" si="2"/>
        <v>21.10855632</v>
      </c>
      <c r="M16" s="55">
        <f t="shared" si="3"/>
        <v>3879.08773209192</v>
      </c>
      <c r="N16" s="61"/>
    </row>
    <row r="17" customFormat="1" ht="48" spans="1:14">
      <c r="A17" s="19">
        <v>10</v>
      </c>
      <c r="B17" s="31" t="s">
        <v>46</v>
      </c>
      <c r="C17" s="28" t="s">
        <v>47</v>
      </c>
      <c r="D17" s="19" t="s">
        <v>48</v>
      </c>
      <c r="E17" s="23">
        <f>4*8</f>
        <v>32</v>
      </c>
      <c r="F17" s="30">
        <v>30</v>
      </c>
      <c r="G17" s="30">
        <v>3</v>
      </c>
      <c r="H17" s="26">
        <v>0.01</v>
      </c>
      <c r="I17" s="30">
        <v>1</v>
      </c>
      <c r="J17" s="59">
        <f t="shared" si="0"/>
        <v>3.0627</v>
      </c>
      <c r="K17" s="60">
        <f t="shared" si="1"/>
        <v>1.112781</v>
      </c>
      <c r="L17" s="60">
        <f t="shared" si="2"/>
        <v>38.205481</v>
      </c>
      <c r="M17" s="55">
        <f t="shared" si="3"/>
        <v>1222.575392</v>
      </c>
      <c r="N17" s="61"/>
    </row>
    <row r="18" customFormat="1" ht="96" spans="1:14">
      <c r="A18" s="19">
        <v>11</v>
      </c>
      <c r="B18" s="31" t="s">
        <v>49</v>
      </c>
      <c r="C18" s="28" t="s">
        <v>50</v>
      </c>
      <c r="D18" s="19" t="s">
        <v>38</v>
      </c>
      <c r="E18" s="32">
        <f>81.77*3.8*4/1000</f>
        <v>1.242904</v>
      </c>
      <c r="F18" s="30">
        <v>4900</v>
      </c>
      <c r="G18" s="30">
        <v>4250</v>
      </c>
      <c r="H18" s="26">
        <v>0.04</v>
      </c>
      <c r="I18" s="30">
        <v>120</v>
      </c>
      <c r="J18" s="59">
        <f t="shared" si="0"/>
        <v>849.6</v>
      </c>
      <c r="K18" s="60">
        <f t="shared" si="1"/>
        <v>308.688</v>
      </c>
      <c r="L18" s="60">
        <f t="shared" si="2"/>
        <v>10598.288</v>
      </c>
      <c r="M18" s="55">
        <f t="shared" si="3"/>
        <v>13172.654548352</v>
      </c>
      <c r="N18" s="62" t="s">
        <v>51</v>
      </c>
    </row>
    <row r="19" customFormat="1" ht="96" spans="1:14">
      <c r="A19" s="19">
        <v>12</v>
      </c>
      <c r="B19" s="31" t="s">
        <v>52</v>
      </c>
      <c r="C19" s="28" t="s">
        <v>53</v>
      </c>
      <c r="D19" s="19" t="s">
        <v>38</v>
      </c>
      <c r="E19" s="32">
        <f>(7.8+4.6)*2*35.58/1000</f>
        <v>0.882384</v>
      </c>
      <c r="F19" s="30">
        <v>4900</v>
      </c>
      <c r="G19" s="30">
        <v>4250</v>
      </c>
      <c r="H19" s="26">
        <v>0.04</v>
      </c>
      <c r="I19" s="30">
        <v>120</v>
      </c>
      <c r="J19" s="59">
        <f t="shared" si="0"/>
        <v>849.6</v>
      </c>
      <c r="K19" s="60">
        <f t="shared" si="1"/>
        <v>308.688</v>
      </c>
      <c r="L19" s="60">
        <f t="shared" si="2"/>
        <v>10598.288</v>
      </c>
      <c r="M19" s="55">
        <f t="shared" si="3"/>
        <v>9351.759758592</v>
      </c>
      <c r="N19" s="63"/>
    </row>
    <row r="20" customFormat="1" ht="96" spans="1:14">
      <c r="A20" s="19">
        <v>13</v>
      </c>
      <c r="B20" s="31" t="s">
        <v>54</v>
      </c>
      <c r="C20" s="28" t="s">
        <v>55</v>
      </c>
      <c r="D20" s="19" t="s">
        <v>38</v>
      </c>
      <c r="E20" s="33">
        <f>18.34*(2.7*4+5)/1000</f>
        <v>0.289772</v>
      </c>
      <c r="F20" s="30">
        <v>4900</v>
      </c>
      <c r="G20" s="30">
        <v>4250</v>
      </c>
      <c r="H20" s="26">
        <v>0.04</v>
      </c>
      <c r="I20" s="30">
        <v>120</v>
      </c>
      <c r="J20" s="59">
        <f t="shared" si="0"/>
        <v>849.6</v>
      </c>
      <c r="K20" s="60">
        <f t="shared" si="1"/>
        <v>308.688</v>
      </c>
      <c r="L20" s="60">
        <f t="shared" si="2"/>
        <v>10598.288</v>
      </c>
      <c r="M20" s="55">
        <f t="shared" si="3"/>
        <v>3071.087110336</v>
      </c>
      <c r="N20" s="61"/>
    </row>
    <row r="21" customFormat="1" ht="96" spans="1:14">
      <c r="A21" s="19">
        <v>14</v>
      </c>
      <c r="B21" s="31" t="s">
        <v>56</v>
      </c>
      <c r="C21" s="28" t="s">
        <v>57</v>
      </c>
      <c r="D21" s="19" t="s">
        <v>38</v>
      </c>
      <c r="E21" s="34">
        <f>(8.29*(1.2*4+1.67+2.44+1.66+2.75*2+6.7*4+2.74*4+1.66+2.45+1.66)+5.78*(2.69*4+5+7.8*2))/1000</f>
        <v>0.6753448</v>
      </c>
      <c r="F21" s="30">
        <v>4900</v>
      </c>
      <c r="G21" s="30">
        <v>4250</v>
      </c>
      <c r="H21" s="26">
        <v>0.04</v>
      </c>
      <c r="I21" s="30">
        <v>120</v>
      </c>
      <c r="J21" s="59">
        <f t="shared" si="0"/>
        <v>849.6</v>
      </c>
      <c r="K21" s="60">
        <f t="shared" si="1"/>
        <v>308.688</v>
      </c>
      <c r="L21" s="60">
        <f t="shared" si="2"/>
        <v>10598.288</v>
      </c>
      <c r="M21" s="55">
        <f t="shared" si="3"/>
        <v>7157.4986897024</v>
      </c>
      <c r="N21" s="61"/>
    </row>
    <row r="22" customFormat="1" ht="96" spans="1:14">
      <c r="A22" s="19">
        <v>15</v>
      </c>
      <c r="B22" s="31" t="s">
        <v>58</v>
      </c>
      <c r="C22" s="28" t="s">
        <v>59</v>
      </c>
      <c r="D22" s="19" t="s">
        <v>60</v>
      </c>
      <c r="E22" s="34">
        <f>21.13*2+6.35*2</f>
        <v>54.96</v>
      </c>
      <c r="F22" s="30">
        <v>182</v>
      </c>
      <c r="G22" s="30">
        <v>72</v>
      </c>
      <c r="H22" s="26">
        <v>0.03</v>
      </c>
      <c r="I22" s="30">
        <v>35</v>
      </c>
      <c r="J22" s="59">
        <f t="shared" si="0"/>
        <v>26.2044</v>
      </c>
      <c r="K22" s="60">
        <f t="shared" si="1"/>
        <v>9.520932</v>
      </c>
      <c r="L22" s="60">
        <f t="shared" si="2"/>
        <v>326.885332</v>
      </c>
      <c r="M22" s="55">
        <f t="shared" si="3"/>
        <v>17965.61784672</v>
      </c>
      <c r="N22" s="61"/>
    </row>
    <row r="23" customFormat="1" ht="60" spans="1:14">
      <c r="A23" s="19">
        <v>16</v>
      </c>
      <c r="B23" s="31" t="s">
        <v>61</v>
      </c>
      <c r="C23" s="28" t="s">
        <v>62</v>
      </c>
      <c r="D23" s="19" t="s">
        <v>60</v>
      </c>
      <c r="E23" s="34">
        <f>21.13*2+6.35*2</f>
        <v>54.96</v>
      </c>
      <c r="F23" s="30">
        <v>65</v>
      </c>
      <c r="G23" s="30">
        <v>95</v>
      </c>
      <c r="H23" s="26">
        <v>0.05</v>
      </c>
      <c r="I23" s="30">
        <v>35</v>
      </c>
      <c r="J23" s="59">
        <f t="shared" si="0"/>
        <v>17.9775</v>
      </c>
      <c r="K23" s="60">
        <f t="shared" si="1"/>
        <v>6.531825</v>
      </c>
      <c r="L23" s="60">
        <f t="shared" si="2"/>
        <v>224.259325</v>
      </c>
      <c r="M23" s="55">
        <f t="shared" si="3"/>
        <v>12325.292502</v>
      </c>
      <c r="N23" s="61"/>
    </row>
    <row r="24" customFormat="1" ht="60" spans="1:14">
      <c r="A24" s="19">
        <v>17</v>
      </c>
      <c r="B24" s="31" t="s">
        <v>63</v>
      </c>
      <c r="C24" s="28" t="s">
        <v>64</v>
      </c>
      <c r="D24" s="19" t="s">
        <v>60</v>
      </c>
      <c r="E24" s="34">
        <f>2.12*(10.16+6.9)*2+1.12*5.2</f>
        <v>78.1584</v>
      </c>
      <c r="F24" s="30">
        <v>115</v>
      </c>
      <c r="G24" s="30">
        <v>315</v>
      </c>
      <c r="H24" s="26">
        <v>0.04</v>
      </c>
      <c r="I24" s="30">
        <v>35</v>
      </c>
      <c r="J24" s="59">
        <f t="shared" si="0"/>
        <v>42.984</v>
      </c>
      <c r="K24" s="60">
        <f t="shared" si="1"/>
        <v>15.61752</v>
      </c>
      <c r="L24" s="60">
        <f t="shared" si="2"/>
        <v>536.20152</v>
      </c>
      <c r="M24" s="55">
        <f t="shared" si="3"/>
        <v>41908.652880768</v>
      </c>
      <c r="N24" s="61"/>
    </row>
    <row r="25" customFormat="1" ht="36" customHeight="1" spans="1:14">
      <c r="A25" s="9" t="s">
        <v>65</v>
      </c>
      <c r="B25" s="35" t="s">
        <v>66</v>
      </c>
      <c r="C25" s="36"/>
      <c r="D25" s="19"/>
      <c r="E25" s="10"/>
      <c r="F25" s="37"/>
      <c r="G25" s="37"/>
      <c r="H25" s="38"/>
      <c r="I25" s="37"/>
      <c r="J25" s="59"/>
      <c r="K25" s="60"/>
      <c r="L25" s="60"/>
      <c r="M25" s="55"/>
      <c r="N25" s="64"/>
    </row>
    <row r="26" customFormat="1" ht="132" spans="1:14">
      <c r="A26" s="19">
        <v>18</v>
      </c>
      <c r="B26" s="31" t="s">
        <v>67</v>
      </c>
      <c r="C26" s="28" t="s">
        <v>68</v>
      </c>
      <c r="D26" s="19" t="s">
        <v>60</v>
      </c>
      <c r="E26" s="29">
        <f>(2.17*2+4.35*2+7.57)*3.3</f>
        <v>68.013</v>
      </c>
      <c r="F26" s="30">
        <v>420</v>
      </c>
      <c r="G26" s="30">
        <v>410</v>
      </c>
      <c r="H26" s="26">
        <v>0.08</v>
      </c>
      <c r="I26" s="30">
        <v>30</v>
      </c>
      <c r="J26" s="59">
        <f t="shared" si="0"/>
        <v>80.352</v>
      </c>
      <c r="K26" s="60">
        <f t="shared" si="1"/>
        <v>29.19456</v>
      </c>
      <c r="L26" s="60">
        <f t="shared" si="2"/>
        <v>1002.34656</v>
      </c>
      <c r="M26" s="55">
        <f t="shared" si="3"/>
        <v>68172.59658528</v>
      </c>
      <c r="N26" s="61"/>
    </row>
    <row r="27" customFormat="1" ht="108" spans="1:14">
      <c r="A27" s="19">
        <v>19</v>
      </c>
      <c r="B27" s="31" t="s">
        <v>69</v>
      </c>
      <c r="C27" s="28" t="s">
        <v>70</v>
      </c>
      <c r="D27" s="19" t="s">
        <v>60</v>
      </c>
      <c r="E27" s="29">
        <f>3.2*3</f>
        <v>9.6</v>
      </c>
      <c r="F27" s="30">
        <v>260</v>
      </c>
      <c r="G27" s="30">
        <v>550</v>
      </c>
      <c r="H27" s="26">
        <v>0.02</v>
      </c>
      <c r="I27" s="30">
        <v>50</v>
      </c>
      <c r="J27" s="59">
        <f t="shared" si="0"/>
        <v>78.39</v>
      </c>
      <c r="K27" s="60">
        <f t="shared" si="1"/>
        <v>28.4817</v>
      </c>
      <c r="L27" s="60">
        <f t="shared" si="2"/>
        <v>977.8717</v>
      </c>
      <c r="M27" s="55">
        <f t="shared" si="3"/>
        <v>9387.56832</v>
      </c>
      <c r="N27" s="61"/>
    </row>
    <row r="28" customFormat="1" ht="60" spans="1:14">
      <c r="A28" s="19">
        <v>20</v>
      </c>
      <c r="B28" s="31" t="s">
        <v>71</v>
      </c>
      <c r="C28" s="28" t="s">
        <v>72</v>
      </c>
      <c r="D28" s="19" t="s">
        <v>73</v>
      </c>
      <c r="E28" s="29">
        <v>4</v>
      </c>
      <c r="F28" s="30">
        <v>5500</v>
      </c>
      <c r="G28" s="30">
        <v>3500</v>
      </c>
      <c r="H28" s="26">
        <v>0.08</v>
      </c>
      <c r="I28" s="30">
        <v>200</v>
      </c>
      <c r="J28" s="59">
        <f t="shared" si="0"/>
        <v>853.2</v>
      </c>
      <c r="K28" s="60">
        <f t="shared" si="1"/>
        <v>309.996</v>
      </c>
      <c r="L28" s="60">
        <f t="shared" si="2"/>
        <v>10643.196</v>
      </c>
      <c r="M28" s="55">
        <f t="shared" si="3"/>
        <v>42572.784</v>
      </c>
      <c r="N28" s="61"/>
    </row>
    <row r="29" customFormat="1" ht="48" spans="1:14">
      <c r="A29" s="19">
        <v>21</v>
      </c>
      <c r="B29" s="31" t="s">
        <v>74</v>
      </c>
      <c r="C29" s="28" t="s">
        <v>75</v>
      </c>
      <c r="D29" s="19" t="s">
        <v>60</v>
      </c>
      <c r="E29" s="32">
        <f>0.41*2.2</f>
        <v>0.902</v>
      </c>
      <c r="F29" s="30">
        <v>1000</v>
      </c>
      <c r="G29" s="30">
        <v>1000</v>
      </c>
      <c r="H29" s="26">
        <v>0.08</v>
      </c>
      <c r="I29" s="30">
        <v>150</v>
      </c>
      <c r="J29" s="59">
        <v>187.2</v>
      </c>
      <c r="K29" s="60">
        <v>72.516</v>
      </c>
      <c r="L29" s="60">
        <v>2489.72</v>
      </c>
      <c r="M29" s="55">
        <v>2240.74</v>
      </c>
      <c r="N29" s="61"/>
    </row>
    <row r="30" customFormat="1" ht="36" spans="1:14">
      <c r="A30" s="19">
        <v>22</v>
      </c>
      <c r="B30" s="31" t="s">
        <v>76</v>
      </c>
      <c r="C30" s="28" t="s">
        <v>77</v>
      </c>
      <c r="D30" s="19" t="s">
        <v>60</v>
      </c>
      <c r="E30" s="32">
        <f>7.93*4.72</f>
        <v>37.4296</v>
      </c>
      <c r="F30" s="30">
        <v>45</v>
      </c>
      <c r="G30" s="30">
        <v>55</v>
      </c>
      <c r="H30" s="26">
        <v>0.07</v>
      </c>
      <c r="I30" s="30">
        <v>25</v>
      </c>
      <c r="J30" s="59">
        <f t="shared" si="0"/>
        <v>11.5965</v>
      </c>
      <c r="K30" s="60">
        <f t="shared" si="1"/>
        <v>4.213395</v>
      </c>
      <c r="L30" s="60">
        <f t="shared" si="2"/>
        <v>144.659895</v>
      </c>
      <c r="M30" s="55">
        <f t="shared" si="3"/>
        <v>5414.562005892</v>
      </c>
      <c r="N30" s="61"/>
    </row>
    <row r="31" customFormat="1" ht="36" spans="1:14">
      <c r="A31" s="19">
        <v>23</v>
      </c>
      <c r="B31" s="31" t="s">
        <v>78</v>
      </c>
      <c r="C31" s="28" t="s">
        <v>79</v>
      </c>
      <c r="D31" s="19" t="s">
        <v>60</v>
      </c>
      <c r="E31" s="32">
        <f>E30</f>
        <v>37.4296</v>
      </c>
      <c r="F31" s="30">
        <v>25</v>
      </c>
      <c r="G31" s="30">
        <v>30</v>
      </c>
      <c r="H31" s="26">
        <v>0.01</v>
      </c>
      <c r="I31" s="30">
        <v>5</v>
      </c>
      <c r="J31" s="59">
        <f t="shared" si="0"/>
        <v>5.427</v>
      </c>
      <c r="K31" s="60">
        <f t="shared" si="1"/>
        <v>1.97181</v>
      </c>
      <c r="L31" s="60">
        <f t="shared" si="2"/>
        <v>67.69881</v>
      </c>
      <c r="M31" s="55">
        <f t="shared" si="3"/>
        <v>2533.939378776</v>
      </c>
      <c r="N31" s="61"/>
    </row>
    <row r="32" customFormat="1" ht="72" spans="1:14">
      <c r="A32" s="19">
        <v>24</v>
      </c>
      <c r="B32" s="31" t="s">
        <v>80</v>
      </c>
      <c r="C32" s="28" t="s">
        <v>81</v>
      </c>
      <c r="D32" s="19" t="s">
        <v>60</v>
      </c>
      <c r="E32" s="32">
        <f>E30</f>
        <v>37.4296</v>
      </c>
      <c r="F32" s="30">
        <v>50</v>
      </c>
      <c r="G32" s="30">
        <v>120</v>
      </c>
      <c r="H32" s="26">
        <v>0.08</v>
      </c>
      <c r="I32" s="30">
        <v>15</v>
      </c>
      <c r="J32" s="59">
        <f t="shared" si="0"/>
        <v>17.514</v>
      </c>
      <c r="K32" s="60">
        <f t="shared" si="1"/>
        <v>6.36342</v>
      </c>
      <c r="L32" s="60">
        <f t="shared" si="2"/>
        <v>218.47742</v>
      </c>
      <c r="M32" s="55">
        <f t="shared" si="3"/>
        <v>8177.522439632</v>
      </c>
      <c r="N32" s="61"/>
    </row>
    <row r="33" customFormat="1" ht="60" spans="1:14">
      <c r="A33" s="19">
        <v>25</v>
      </c>
      <c r="B33" s="31" t="s">
        <v>82</v>
      </c>
      <c r="C33" s="28" t="s">
        <v>83</v>
      </c>
      <c r="D33" s="19" t="s">
        <v>60</v>
      </c>
      <c r="E33" s="32">
        <f>E31</f>
        <v>37.4296</v>
      </c>
      <c r="F33" s="30">
        <v>560</v>
      </c>
      <c r="G33" s="30">
        <v>640</v>
      </c>
      <c r="H33" s="26">
        <v>0.04</v>
      </c>
      <c r="I33" s="30">
        <v>30</v>
      </c>
      <c r="J33" s="59">
        <f t="shared" si="0"/>
        <v>113.004</v>
      </c>
      <c r="K33" s="60">
        <f t="shared" si="1"/>
        <v>41.05812</v>
      </c>
      <c r="L33" s="60">
        <f t="shared" si="2"/>
        <v>1409.66212</v>
      </c>
      <c r="M33" s="55">
        <f t="shared" si="3"/>
        <v>52763.089286752</v>
      </c>
      <c r="N33" s="61"/>
    </row>
    <row r="34" customFormat="1" ht="60" spans="1:14">
      <c r="A34" s="19">
        <v>26</v>
      </c>
      <c r="B34" s="31" t="s">
        <v>84</v>
      </c>
      <c r="C34" s="28" t="s">
        <v>85</v>
      </c>
      <c r="D34" s="19" t="s">
        <v>60</v>
      </c>
      <c r="E34" s="32">
        <f>E30</f>
        <v>37.4296</v>
      </c>
      <c r="F34" s="30">
        <v>75</v>
      </c>
      <c r="G34" s="30">
        <v>95</v>
      </c>
      <c r="H34" s="26">
        <v>0.02</v>
      </c>
      <c r="I34" s="30">
        <v>15</v>
      </c>
      <c r="J34" s="59">
        <f t="shared" si="0"/>
        <v>16.821</v>
      </c>
      <c r="K34" s="60">
        <f t="shared" si="1"/>
        <v>6.11163</v>
      </c>
      <c r="L34" s="60">
        <f t="shared" si="2"/>
        <v>209.83263</v>
      </c>
      <c r="M34" s="55">
        <f t="shared" si="3"/>
        <v>7853.951407848</v>
      </c>
      <c r="N34" s="61"/>
    </row>
    <row r="35" customFormat="1" ht="68.45" spans="1:14">
      <c r="A35" s="19">
        <v>27</v>
      </c>
      <c r="B35" s="31" t="s">
        <v>86</v>
      </c>
      <c r="C35" s="28" t="s">
        <v>87</v>
      </c>
      <c r="D35" s="19" t="s">
        <v>88</v>
      </c>
      <c r="E35" s="39">
        <v>1</v>
      </c>
      <c r="F35" s="30">
        <v>150</v>
      </c>
      <c r="G35" s="30">
        <v>2600</v>
      </c>
      <c r="H35" s="26"/>
      <c r="I35" s="30">
        <v>20</v>
      </c>
      <c r="J35" s="59">
        <f t="shared" si="0"/>
        <v>249.3</v>
      </c>
      <c r="K35" s="60">
        <f t="shared" si="1"/>
        <v>90.579</v>
      </c>
      <c r="L35" s="60">
        <f t="shared" si="2"/>
        <v>3109.879</v>
      </c>
      <c r="M35" s="55">
        <f t="shared" si="3"/>
        <v>3109.879</v>
      </c>
      <c r="N35" s="61" t="str">
        <f>_xlfn.DISPIMG("ID_F46859E5F7424C3EBD2D45C5EADBD9AC",1)</f>
        <v>=DISPIMG("ID_F46859E5F7424C3EBD2D45C5EADBD9AC",1)</v>
      </c>
    </row>
    <row r="36" customFormat="1" ht="126.95" spans="1:14">
      <c r="A36" s="19">
        <v>28</v>
      </c>
      <c r="B36" s="31" t="s">
        <v>89</v>
      </c>
      <c r="C36" s="28" t="s">
        <v>90</v>
      </c>
      <c r="D36" s="19" t="s">
        <v>88</v>
      </c>
      <c r="E36" s="39">
        <v>1</v>
      </c>
      <c r="F36" s="30">
        <v>150</v>
      </c>
      <c r="G36" s="30">
        <v>3400</v>
      </c>
      <c r="H36" s="26"/>
      <c r="I36" s="30">
        <v>20</v>
      </c>
      <c r="J36" s="59">
        <f t="shared" si="0"/>
        <v>321.3</v>
      </c>
      <c r="K36" s="60">
        <f t="shared" si="1"/>
        <v>116.739</v>
      </c>
      <c r="L36" s="60">
        <f t="shared" si="2"/>
        <v>4008.039</v>
      </c>
      <c r="M36" s="55">
        <f t="shared" si="3"/>
        <v>4008.039</v>
      </c>
      <c r="N36" s="61" t="str">
        <f>_xlfn.DISPIMG("ID_AB14CBFB70A1435EA36B740852710614",1)</f>
        <v>=DISPIMG("ID_AB14CBFB70A1435EA36B740852710614",1)</v>
      </c>
    </row>
    <row r="37" customFormat="1" ht="97.6" spans="1:14">
      <c r="A37" s="19">
        <v>29</v>
      </c>
      <c r="B37" s="31" t="s">
        <v>91</v>
      </c>
      <c r="C37" s="28" t="s">
        <v>90</v>
      </c>
      <c r="D37" s="19" t="s">
        <v>88</v>
      </c>
      <c r="E37" s="39">
        <v>1</v>
      </c>
      <c r="F37" s="30">
        <v>150</v>
      </c>
      <c r="G37" s="30">
        <v>3100</v>
      </c>
      <c r="H37" s="26"/>
      <c r="I37" s="30">
        <v>20</v>
      </c>
      <c r="J37" s="59">
        <f t="shared" si="0"/>
        <v>294.3</v>
      </c>
      <c r="K37" s="60">
        <f t="shared" si="1"/>
        <v>106.929</v>
      </c>
      <c r="L37" s="60">
        <f t="shared" si="2"/>
        <v>3671.229</v>
      </c>
      <c r="M37" s="55">
        <f t="shared" si="3"/>
        <v>3671.229</v>
      </c>
      <c r="N37" s="61" t="str">
        <f>_xlfn.DISPIMG("ID_65A92BDB2FFF4975A83382EAD4899E95",1)</f>
        <v>=DISPIMG("ID_65A92BDB2FFF4975A83382EAD4899E95",1)</v>
      </c>
    </row>
    <row r="38" customFormat="1" ht="33" customHeight="1" spans="1:14">
      <c r="A38" s="9" t="s">
        <v>92</v>
      </c>
      <c r="B38" s="35" t="s">
        <v>93</v>
      </c>
      <c r="C38" s="36"/>
      <c r="D38" s="19"/>
      <c r="E38" s="10"/>
      <c r="F38" s="37"/>
      <c r="G38" s="37"/>
      <c r="H38" s="38"/>
      <c r="I38" s="37"/>
      <c r="J38" s="59"/>
      <c r="K38" s="60"/>
      <c r="L38" s="60"/>
      <c r="M38" s="55"/>
      <c r="N38" s="64"/>
    </row>
    <row r="39" customFormat="1" ht="52" customHeight="1" spans="1:14">
      <c r="A39" s="19">
        <v>30</v>
      </c>
      <c r="B39" s="31" t="s">
        <v>94</v>
      </c>
      <c r="C39" s="28" t="s">
        <v>95</v>
      </c>
      <c r="D39" s="19" t="s">
        <v>60</v>
      </c>
      <c r="E39" s="32">
        <f>(8+0.3*2+0.2*2)*(4.8+0.3*2+0.2*2)-E30</f>
        <v>14.7704</v>
      </c>
      <c r="F39" s="30">
        <v>75</v>
      </c>
      <c r="G39" s="30">
        <v>55</v>
      </c>
      <c r="H39" s="26">
        <v>0.06</v>
      </c>
      <c r="I39" s="30">
        <v>25</v>
      </c>
      <c r="J39" s="59">
        <f t="shared" si="0"/>
        <v>14.247</v>
      </c>
      <c r="K39" s="60">
        <f t="shared" si="1"/>
        <v>5.17641</v>
      </c>
      <c r="L39" s="60">
        <f t="shared" si="2"/>
        <v>177.72341</v>
      </c>
      <c r="M39" s="55">
        <f t="shared" si="3"/>
        <v>2625.045855064</v>
      </c>
      <c r="N39" s="61"/>
    </row>
    <row r="40" customFormat="1" ht="37" customHeight="1" spans="1:14">
      <c r="A40" s="19">
        <v>31</v>
      </c>
      <c r="B40" s="31" t="s">
        <v>96</v>
      </c>
      <c r="C40" s="28" t="s">
        <v>97</v>
      </c>
      <c r="D40" s="19" t="s">
        <v>98</v>
      </c>
      <c r="E40" s="23">
        <f>10.16*2+7.12*2+5.2*2+3.3*2*4</f>
        <v>71.36</v>
      </c>
      <c r="F40" s="30">
        <v>60</v>
      </c>
      <c r="G40" s="30">
        <v>80</v>
      </c>
      <c r="H40" s="26">
        <v>0.01</v>
      </c>
      <c r="I40" s="30">
        <v>25</v>
      </c>
      <c r="J40" s="59">
        <f t="shared" si="0"/>
        <v>14.922</v>
      </c>
      <c r="K40" s="60">
        <f t="shared" si="1"/>
        <v>5.42166</v>
      </c>
      <c r="L40" s="60">
        <f t="shared" si="2"/>
        <v>186.14366</v>
      </c>
      <c r="M40" s="55">
        <f t="shared" si="3"/>
        <v>13283.2115776</v>
      </c>
      <c r="N40" s="61"/>
    </row>
    <row r="41" customFormat="1" ht="28" customHeight="1" spans="1:14">
      <c r="A41" s="9" t="s">
        <v>99</v>
      </c>
      <c r="B41" s="40" t="s">
        <v>100</v>
      </c>
      <c r="C41" s="28"/>
      <c r="D41" s="19"/>
      <c r="E41" s="10"/>
      <c r="F41" s="37"/>
      <c r="G41" s="37"/>
      <c r="H41" s="38"/>
      <c r="I41" s="37"/>
      <c r="J41" s="59"/>
      <c r="K41" s="59"/>
      <c r="L41" s="59"/>
      <c r="M41" s="59"/>
      <c r="N41" s="64"/>
    </row>
    <row r="42" customFormat="1" ht="36" spans="1:14">
      <c r="A42" s="19">
        <v>32</v>
      </c>
      <c r="B42" s="31" t="s">
        <v>101</v>
      </c>
      <c r="C42" s="28" t="s">
        <v>102</v>
      </c>
      <c r="D42" s="19" t="s">
        <v>25</v>
      </c>
      <c r="E42" s="41">
        <v>1</v>
      </c>
      <c r="F42" s="37"/>
      <c r="G42" s="37"/>
      <c r="H42" s="38"/>
      <c r="I42" s="37"/>
      <c r="J42" s="59"/>
      <c r="K42" s="59"/>
      <c r="L42" s="59"/>
      <c r="M42" s="59">
        <v>25632.22</v>
      </c>
      <c r="N42" s="64"/>
    </row>
    <row r="43" customFormat="1" ht="36" spans="1:14">
      <c r="A43" s="19">
        <v>33</v>
      </c>
      <c r="B43" s="31" t="s">
        <v>103</v>
      </c>
      <c r="C43" s="28" t="s">
        <v>104</v>
      </c>
      <c r="D43" s="19" t="s">
        <v>25</v>
      </c>
      <c r="E43" s="41">
        <v>1</v>
      </c>
      <c r="F43" s="37"/>
      <c r="G43" s="37"/>
      <c r="H43" s="38"/>
      <c r="I43" s="37"/>
      <c r="J43" s="59"/>
      <c r="K43" s="59"/>
      <c r="L43" s="59"/>
      <c r="M43" s="59">
        <v>21000</v>
      </c>
      <c r="N43" s="64"/>
    </row>
    <row r="44" s="2" customFormat="1" ht="36" spans="1:14">
      <c r="A44" s="19">
        <v>34</v>
      </c>
      <c r="B44" s="31" t="s">
        <v>105</v>
      </c>
      <c r="C44" s="28" t="s">
        <v>106</v>
      </c>
      <c r="D44" s="19" t="s">
        <v>25</v>
      </c>
      <c r="E44" s="41">
        <v>1</v>
      </c>
      <c r="F44" s="30"/>
      <c r="G44" s="30"/>
      <c r="H44" s="26"/>
      <c r="I44" s="30"/>
      <c r="J44" s="59"/>
      <c r="K44" s="59"/>
      <c r="L44" s="59"/>
      <c r="M44" s="59">
        <v>18000</v>
      </c>
      <c r="N44" s="65"/>
    </row>
    <row r="45" s="1" customFormat="1" ht="24" spans="1:14">
      <c r="A45" s="19">
        <v>35</v>
      </c>
      <c r="B45" s="31" t="s">
        <v>107</v>
      </c>
      <c r="C45" s="28" t="s">
        <v>108</v>
      </c>
      <c r="D45" s="19" t="s">
        <v>25</v>
      </c>
      <c r="E45" s="41">
        <v>1</v>
      </c>
      <c r="F45" s="42"/>
      <c r="G45" s="42"/>
      <c r="H45" s="42"/>
      <c r="I45" s="42"/>
      <c r="J45" s="59"/>
      <c r="K45" s="59"/>
      <c r="L45" s="59"/>
      <c r="M45" s="59">
        <v>6000</v>
      </c>
      <c r="N45" s="37"/>
    </row>
    <row r="46" s="1" customFormat="1" ht="42" customHeight="1" spans="1:14">
      <c r="A46" s="9" t="s">
        <v>109</v>
      </c>
      <c r="B46" s="40" t="s">
        <v>110</v>
      </c>
      <c r="C46" s="43"/>
      <c r="D46" s="44" t="s">
        <v>111</v>
      </c>
      <c r="E46" s="45"/>
      <c r="F46" s="44"/>
      <c r="G46" s="44"/>
      <c r="H46" s="44"/>
      <c r="I46" s="44"/>
      <c r="J46" s="44"/>
      <c r="K46" s="44"/>
      <c r="L46" s="44"/>
      <c r="M46" s="66">
        <f>SUM(M8:M45)</f>
        <v>430000.004177006</v>
      </c>
      <c r="N46" s="37"/>
    </row>
    <row r="47" s="3" customFormat="1" ht="105" customHeight="1" spans="1:14">
      <c r="A47" s="19" t="s">
        <v>112</v>
      </c>
      <c r="B47" s="46" t="s">
        <v>113</v>
      </c>
      <c r="C47" s="46"/>
      <c r="D47" s="46"/>
      <c r="E47" s="47"/>
      <c r="F47" s="46"/>
      <c r="G47" s="46"/>
      <c r="H47" s="46"/>
      <c r="I47" s="46"/>
      <c r="J47" s="46"/>
      <c r="K47" s="46"/>
      <c r="L47" s="46"/>
      <c r="M47" s="67"/>
      <c r="N47" s="46"/>
    </row>
    <row r="48" s="3" customFormat="1" spans="5:13">
      <c r="E48" s="4"/>
      <c r="M48" s="5"/>
    </row>
    <row r="49" s="3" customFormat="1" spans="5:13">
      <c r="E49" s="4"/>
      <c r="M49" s="5"/>
    </row>
    <row r="50" s="3" customFormat="1" spans="5:13">
      <c r="E50" s="4"/>
      <c r="M50" s="5"/>
    </row>
    <row r="51" s="3" customFormat="1" spans="5:13">
      <c r="E51" s="4"/>
      <c r="M51" s="5"/>
    </row>
    <row r="52" s="3" customFormat="1" spans="5:13">
      <c r="E52" s="4"/>
      <c r="F52" s="2"/>
      <c r="G52" s="2"/>
      <c r="H52" s="2"/>
      <c r="I52" s="2"/>
      <c r="J52" s="2"/>
      <c r="K52" s="2"/>
      <c r="L52" s="2"/>
      <c r="M52" s="68"/>
    </row>
    <row r="53" s="3" customFormat="1" spans="5:13">
      <c r="E53" s="4"/>
      <c r="F53" s="2"/>
      <c r="G53" s="2"/>
      <c r="H53" s="2"/>
      <c r="I53" s="2"/>
      <c r="J53" s="2"/>
      <c r="K53" s="2"/>
      <c r="L53" s="2"/>
      <c r="M53" s="68"/>
    </row>
    <row r="54" s="3" customFormat="1" spans="5:13">
      <c r="E54" s="4"/>
      <c r="M54" s="5"/>
    </row>
    <row r="55" s="3" customFormat="1" spans="5:13">
      <c r="E55" s="4"/>
      <c r="M55" s="5"/>
    </row>
    <row r="56" s="3" customFormat="1" spans="5:13">
      <c r="E56" s="4"/>
      <c r="M56" s="5"/>
    </row>
    <row r="57" s="3" customFormat="1" spans="5:13">
      <c r="E57" s="4"/>
      <c r="F57" s="2"/>
      <c r="G57" s="2"/>
      <c r="H57" s="2"/>
      <c r="I57" s="2"/>
      <c r="J57" s="2"/>
      <c r="K57" s="2"/>
      <c r="L57" s="2"/>
      <c r="M57" s="68"/>
    </row>
    <row r="58" s="3" customFormat="1" spans="5:13">
      <c r="E58" s="4"/>
      <c r="F58" s="2"/>
      <c r="G58" s="2"/>
      <c r="H58" s="2"/>
      <c r="I58" s="2"/>
      <c r="J58" s="2"/>
      <c r="K58" s="2"/>
      <c r="L58" s="2"/>
      <c r="M58" s="68"/>
    </row>
    <row r="59" s="3" customFormat="1" spans="5:13">
      <c r="E59" s="4"/>
      <c r="F59" s="48"/>
      <c r="G59" s="48"/>
      <c r="H59" s="48"/>
      <c r="I59" s="48"/>
      <c r="J59" s="48"/>
      <c r="K59" s="48"/>
      <c r="L59" s="48"/>
      <c r="M59" s="69"/>
    </row>
    <row r="60" s="3" customFormat="1" spans="5:13">
      <c r="E60" s="4"/>
      <c r="M60" s="5"/>
    </row>
    <row r="61" s="3" customFormat="1" spans="5:13">
      <c r="E61" s="4"/>
      <c r="M61" s="5"/>
    </row>
    <row r="62" s="3" customFormat="1" spans="5:13">
      <c r="E62" s="4"/>
      <c r="M62" s="5"/>
    </row>
    <row r="63" s="3" customFormat="1" spans="5:13">
      <c r="E63" s="4"/>
      <c r="M63" s="5"/>
    </row>
    <row r="64" s="3" customFormat="1" spans="5:13">
      <c r="E64" s="4"/>
      <c r="M64" s="5"/>
    </row>
    <row r="65" s="3" customFormat="1" spans="5:13">
      <c r="E65" s="4"/>
      <c r="M65" s="5"/>
    </row>
    <row r="66" s="3" customFormat="1" spans="5:13">
      <c r="E66" s="4"/>
      <c r="M66" s="5"/>
    </row>
    <row r="67" s="3" customFormat="1" spans="5:13">
      <c r="E67" s="4"/>
      <c r="M67" s="5"/>
    </row>
    <row r="68" s="3" customFormat="1" spans="5:13">
      <c r="E68" s="4"/>
      <c r="M68" s="5"/>
    </row>
    <row r="69" s="3" customFormat="1" spans="5:13">
      <c r="E69" s="4"/>
      <c r="M69" s="5"/>
    </row>
    <row r="70" s="3" customFormat="1" spans="5:13">
      <c r="E70" s="4"/>
      <c r="M70" s="5"/>
    </row>
    <row r="71" s="3" customFormat="1" spans="5:13">
      <c r="E71" s="4"/>
      <c r="M71" s="5"/>
    </row>
    <row r="72" s="3" customFormat="1" spans="5:13">
      <c r="E72" s="4"/>
      <c r="M72" s="5"/>
    </row>
    <row r="73" s="3" customFormat="1" spans="5:13">
      <c r="E73" s="4"/>
      <c r="M73" s="5"/>
    </row>
    <row r="74" s="3" customFormat="1" spans="5:13">
      <c r="E74" s="4"/>
      <c r="M74" s="5"/>
    </row>
    <row r="75" s="3" customFormat="1" spans="5:13">
      <c r="E75" s="4"/>
      <c r="M75" s="5"/>
    </row>
    <row r="76" s="3" customFormat="1" spans="5:13">
      <c r="E76" s="4"/>
      <c r="M76" s="5"/>
    </row>
    <row r="77" s="3" customFormat="1" spans="5:13">
      <c r="E77" s="4"/>
      <c r="M77" s="5"/>
    </row>
    <row r="82" spans="1:14">
      <c r="A82" s="8" t="s">
        <v>114</v>
      </c>
      <c r="B82" s="70"/>
      <c r="C82" s="70"/>
      <c r="D82" s="70"/>
      <c r="E82" s="70"/>
      <c r="F82" s="70"/>
      <c r="G82" s="70"/>
      <c r="H82" s="70"/>
      <c r="I82" s="70"/>
      <c r="J82" s="70"/>
      <c r="K82" s="70"/>
      <c r="L82" s="70"/>
      <c r="M82" s="70"/>
      <c r="N82" s="70"/>
    </row>
    <row r="83" spans="1:14">
      <c r="A83" s="70"/>
      <c r="B83" s="70"/>
      <c r="C83" s="70"/>
      <c r="D83" s="70"/>
      <c r="E83" s="70"/>
      <c r="F83" s="70"/>
      <c r="G83" s="70"/>
      <c r="H83" s="70"/>
      <c r="I83" s="70"/>
      <c r="J83" s="70"/>
      <c r="K83" s="70"/>
      <c r="L83" s="70"/>
      <c r="M83" s="70"/>
      <c r="N83" s="70"/>
    </row>
    <row r="84" spans="1:14">
      <c r="A84" s="70"/>
      <c r="B84" s="70"/>
      <c r="C84" s="70"/>
      <c r="D84" s="70"/>
      <c r="E84" s="70"/>
      <c r="F84" s="70"/>
      <c r="G84" s="70"/>
      <c r="H84" s="70"/>
      <c r="I84" s="70"/>
      <c r="J84" s="70"/>
      <c r="K84" s="70"/>
      <c r="L84" s="70"/>
      <c r="M84" s="70"/>
      <c r="N84" s="70"/>
    </row>
    <row r="85" spans="1:14">
      <c r="A85" s="70"/>
      <c r="B85" s="70"/>
      <c r="C85" s="70"/>
      <c r="D85" s="70"/>
      <c r="E85" s="70"/>
      <c r="F85" s="70"/>
      <c r="G85" s="70"/>
      <c r="H85" s="70"/>
      <c r="I85" s="70"/>
      <c r="J85" s="70"/>
      <c r="K85" s="70"/>
      <c r="L85" s="70"/>
      <c r="M85" s="70"/>
      <c r="N85" s="70"/>
    </row>
    <row r="86" spans="1:14">
      <c r="A86" s="70"/>
      <c r="B86" s="70"/>
      <c r="C86" s="70"/>
      <c r="D86" s="70"/>
      <c r="E86" s="70"/>
      <c r="F86" s="70"/>
      <c r="G86" s="70"/>
      <c r="H86" s="70"/>
      <c r="I86" s="70"/>
      <c r="J86" s="70"/>
      <c r="K86" s="70"/>
      <c r="L86" s="70"/>
      <c r="M86" s="70"/>
      <c r="N86" s="70"/>
    </row>
    <row r="87" spans="1:14">
      <c r="A87" s="70"/>
      <c r="B87" s="70"/>
      <c r="C87" s="70"/>
      <c r="D87" s="70"/>
      <c r="E87" s="70"/>
      <c r="F87" s="70"/>
      <c r="G87" s="70"/>
      <c r="H87" s="70"/>
      <c r="I87" s="70"/>
      <c r="J87" s="70"/>
      <c r="K87" s="70"/>
      <c r="L87" s="70"/>
      <c r="M87" s="70"/>
      <c r="N87" s="70"/>
    </row>
  </sheetData>
  <mergeCells count="18">
    <mergeCell ref="A1:N1"/>
    <mergeCell ref="A2:N2"/>
    <mergeCell ref="F3:J3"/>
    <mergeCell ref="B47:N47"/>
    <mergeCell ref="A3:A6"/>
    <mergeCell ref="B3:B6"/>
    <mergeCell ref="C3:C6"/>
    <mergeCell ref="D3:D6"/>
    <mergeCell ref="E3:E4"/>
    <mergeCell ref="F4:F5"/>
    <mergeCell ref="G4:G5"/>
    <mergeCell ref="H4:H5"/>
    <mergeCell ref="I4:I5"/>
    <mergeCell ref="K3:K4"/>
    <mergeCell ref="L3:L5"/>
    <mergeCell ref="M3:M5"/>
    <mergeCell ref="N3:N5"/>
    <mergeCell ref="A82:N87"/>
  </mergeCells>
  <pageMargins left="0.75" right="0.75" top="1" bottom="1" header="0.5" footer="0.5"/>
  <pageSetup paperSize="9" scale="41"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工程量清单及计价表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胡小婷</cp:lastModifiedBy>
  <dcterms:created xsi:type="dcterms:W3CDTF">2023-03-22T07:10:00Z</dcterms:created>
  <dcterms:modified xsi:type="dcterms:W3CDTF">2024-04-19T02:31:44Z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8AF2401F0C2D4637876DDE62FB22F997_13</vt:lpwstr>
  </property>
  <property fmtid="{D5CDD505-2E9C-101B-9397-08002B2CF9AE}" pid="3" name="KSOProductBuildVer">
    <vt:lpwstr>2052-12.1.0.16729</vt:lpwstr>
  </property>
  <property fmtid="{D5CDD505-2E9C-101B-9397-08002B2CF9AE}" pid="4" name="KSOReadingLayout">
    <vt:bool>true</vt:bool>
  </property>
</Properties>
</file>