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进度款" sheetId="6" r:id="rId1"/>
    <sheet name="汇总表" sheetId="4" r:id="rId2"/>
    <sheet name="户内精装修" sheetId="3" r:id="rId3"/>
    <sheet name="安装" sheetId="5" r:id="rId4"/>
  </sheets>
  <externalReferences>
    <externalReference r:id="rId5"/>
  </externalReferences>
  <definedNames>
    <definedName name="_xlnm._FilterDatabase" localSheetId="2" hidden="1">户内精装修!$A$4:$W$232</definedName>
    <definedName name="_xlnm._FilterDatabase" localSheetId="3" hidden="1">安装!$A$3:$Q$288</definedName>
    <definedName name="a">EVALUATE('[1]3一层售楼部硬装'!XFD1)</definedName>
    <definedName name="aa">EVALUATE(#REF!)</definedName>
    <definedName name="as">EVALUATE(#REF!)</definedName>
    <definedName name="ad">EVALUATE('[1]4二层办公司硬装'!XFD1)</definedName>
    <definedName name="_xlnm.Print_Area" localSheetId="2">户内精装修!$A$1:$Q$232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<sst xmlns="http://schemas.openxmlformats.org/spreadsheetml/2006/main" count="1925" uniqueCount="324">
  <si>
    <t>工程进度款费用计算明细表</t>
  </si>
  <si>
    <t>序号</t>
  </si>
  <si>
    <t>分项名称</t>
  </si>
  <si>
    <t>暂定/固定合同价
(元)</t>
  </si>
  <si>
    <t>合同总工程量</t>
  </si>
  <si>
    <t>合同单价</t>
  </si>
  <si>
    <t>累计已审批进度款（元）</t>
  </si>
  <si>
    <t>本次申请应付款（元）</t>
  </si>
  <si>
    <t>累计应付款（含本次申请，元)</t>
  </si>
  <si>
    <t>累计实付款
(元)</t>
  </si>
  <si>
    <t>累计已批未付 (不含本次申请，元)</t>
  </si>
  <si>
    <t>本次付款形象进度简述</t>
  </si>
  <si>
    <t>累计已审批工程量</t>
  </si>
  <si>
    <t>累计已审批款</t>
  </si>
  <si>
    <t>本次应付工程量</t>
  </si>
  <si>
    <t>合同节点比例</t>
  </si>
  <si>
    <t>本次应付款</t>
  </si>
  <si>
    <t>应申请总金额</t>
  </si>
  <si>
    <t>累计申请比例</t>
  </si>
  <si>
    <t>按合同填写</t>
  </si>
  <si>
    <t>按中标清单填写</t>
  </si>
  <si>
    <t>填写累计已审批的量</t>
  </si>
  <si>
    <t>按已审批金额填写</t>
  </si>
  <si>
    <t>根据形象进度填写</t>
  </si>
  <si>
    <t>按合同节点填写比例</t>
  </si>
  <si>
    <t>按合同付款节点计算</t>
  </si>
  <si>
    <t>不能超合同对应清单项总价</t>
  </si>
  <si>
    <t>自动计算</t>
  </si>
  <si>
    <t>截至付款计算时，按财务实际支付金额填写</t>
  </si>
  <si>
    <t>已审批-实付</t>
  </si>
  <si>
    <t>隐藏该行</t>
  </si>
  <si>
    <t>地面</t>
  </si>
  <si>
    <t>地暖</t>
  </si>
  <si>
    <t>墙面</t>
  </si>
  <si>
    <t>标准层天花</t>
  </si>
  <si>
    <t>顶层天花</t>
  </si>
  <si>
    <t>安装部分</t>
  </si>
  <si>
    <t>合计</t>
  </si>
  <si>
    <t>据实填总金额</t>
  </si>
  <si>
    <t>据实填写挂账</t>
  </si>
  <si>
    <t>本次付款申请金额取整为：</t>
  </si>
  <si>
    <t>取到整数位</t>
  </si>
  <si>
    <t>注：1、分项工程不同时按具体约定进行调整;2、付款线上发起时需上传本电子表格。3、一份合同建立一个付款计算明细表，每次计算付款时在工作表内新建新的工作薄，每次付款时能看到上次付款计算情况，不允许在一个工作薄内修改。4、本表格随开工楼号数量逐步自行添加；</t>
  </si>
  <si>
    <t>5、本付款表为参考样表，格式不同能体现以上要求即可。6、按定额计价总包工程本表填写总金额，对应定额预算单独打包上次做附件供复查。</t>
  </si>
  <si>
    <t xml:space="preserve">                                                                                         现场驻场成本负责人：                 </t>
  </si>
  <si>
    <t xml:space="preserve">                                                                                           日期：</t>
  </si>
  <si>
    <t>16#楼精装房工程-装饰</t>
  </si>
  <si>
    <t>户型名称</t>
  </si>
  <si>
    <t>项目名称</t>
  </si>
  <si>
    <t>单户型造价（元/个）</t>
  </si>
  <si>
    <t>户型数量（个）</t>
  </si>
  <si>
    <t>合计（元）</t>
  </si>
  <si>
    <t>备注</t>
  </si>
  <si>
    <t>H1户型</t>
  </si>
  <si>
    <t>小计</t>
  </si>
  <si>
    <t>H2户型</t>
  </si>
  <si>
    <t>H3户型</t>
  </si>
  <si>
    <t>H4户型</t>
  </si>
  <si>
    <t>H5户型</t>
  </si>
  <si>
    <t>工程项目名称</t>
  </si>
  <si>
    <t>工程内容</t>
  </si>
  <si>
    <t>单位</t>
  </si>
  <si>
    <t>工程量
g</t>
  </si>
  <si>
    <t>第一次进度款工程量</t>
  </si>
  <si>
    <t>第二次进度款工程量</t>
  </si>
  <si>
    <t>其中：各子项构成（元）</t>
  </si>
  <si>
    <t>含税综合单价(元)
f=(a+b+c+d+e)</t>
  </si>
  <si>
    <t>合价(元)=g*f</t>
  </si>
  <si>
    <t>第一次进度款工程产值</t>
  </si>
  <si>
    <t>第二次进度款工程产值</t>
  </si>
  <si>
    <t>人工费
a</t>
  </si>
  <si>
    <t>主材费
b</t>
  </si>
  <si>
    <t>机械、辅材及其他c</t>
  </si>
  <si>
    <t>管理费及利润
d=(a+b+c)*费率</t>
  </si>
  <si>
    <t>税金
e=(a+b+c+d)*费率</t>
  </si>
  <si>
    <t>一</t>
  </si>
  <si>
    <t>H1硬质装修部分</t>
  </si>
  <si>
    <t>一个户型工程量清单，</t>
  </si>
  <si>
    <t>木地板</t>
  </si>
  <si>
    <t>1、10mm厚强化复合木地板
2、地板与过门石接口处采用5mm不锈钢收口详见地面大样图.
3、3mm防潮薄膜层                                                                                                                                                                  4、其他未尽事宜:依据图纸、规范并结合实际情况，完成此项工作内容的所有工序、所有内容</t>
  </si>
  <si>
    <t>m2</t>
  </si>
  <si>
    <t>大自然</t>
  </si>
  <si>
    <t>PVC踢脚(80mm高)</t>
  </si>
  <si>
    <t>1、PVC踢脚(80mm高)
2、装饰墙面(见墙面装饰做法)</t>
  </si>
  <si>
    <t>m</t>
  </si>
  <si>
    <t>地面防水</t>
  </si>
  <si>
    <t>1、最薄处30厚C15细石混凝土找坡层抹平(1%坡度向地漏)表面抹光
2.1.5mmJS-I聚合物防水层刷3遍
3、部位：阳台
4.其他：未尽事宜参见施工图说明及相关规范图集。。</t>
  </si>
  <si>
    <t>1、20mm厚水泥砂浆找平层
2.卫生间地面1.5mmJS-I聚合物防水层刷3遍(仅湿区有此道工序)
3、部位：卫生间
4.其他：未尽事宜参见施工图说明及相关规范图集。。</t>
  </si>
  <si>
    <t xml:space="preserve">
1、1.5mmJS-I聚合物防水层刷3遍（回填料上施工）
2、部位：卫生间湿区
3、其他未尽事宜:依据图纸、规范并结合实际情况，完成此项工作内容的所有工序、所有内容</t>
  </si>
  <si>
    <t xml:space="preserve">瓷砖地面 </t>
  </si>
  <si>
    <t>1、10mm厚CT02地砖(同色美缝剂美缝)
2、5mm厚DTA砂浆结合层
3、20mm厚DS砂浆(或1:2.5水泥砂浆)找平层
4、满足施工规范及设计图纸要求；
5、部位：卫生间（湿）
6、其他未尽事宜:依据图纸、规范并结合实际情况，完成此项工作内容的所有工序、所有内容</t>
  </si>
  <si>
    <t>东鹏</t>
  </si>
  <si>
    <t>1、10mm厚CT01地砖(同色美缝剂美缝)
2、5mm厚DTA砂浆结合层
3、20mm厚DS砂浆(或1:2.5水泥砂浆)找平层
4、满足施工规范及设计图纸要求；
5、部位：卫生间（干）、厨房
6、其他未尽事宜:依据图纸、规范并结合实际情况，完成此项工作内容的所有工序、所有内容</t>
  </si>
  <si>
    <t>水泥砂浆地面</t>
  </si>
  <si>
    <t>1、1:2.5水泥砂浆找平层35mm厚
2、满足施工规范及设计图纸要求；
3、部位：厨房橱柜下
4、其他未尽事宜:依据图纸、规范并结合实际情况，完成此项工作内容的所有工序、所有内容</t>
  </si>
  <si>
    <t>1、10mm厚CT04地砖(同色美缝剂美缝)
2、5mm厚DTA砂浆结合层
3、20mm厚DS砂浆(或1:2.5水泥砂浆)找平层
4、满足施工规范及设计图纸要求；
5、部位：阳台
6、其他未尽事宜:依据图纸、规范并结合实际情况，完成此项工作内容的所有工序、所有内容</t>
  </si>
  <si>
    <t>过门石</t>
  </si>
  <si>
    <t>1、18mm厚st0天然石材
2、结构胶粘接层
3、20mm厚DS砂浆(或1:2.5水泥砂浆)找平层
4、c20混凝土挡墙
5、满足施工规范及设计图纸要求；
6、部位：过门石
7、其他未尽事宜:依据图纸、规范并结合实际情况，完成此项工作内容的所有工序、所有内容</t>
  </si>
  <si>
    <t>飘窗窗台板</t>
  </si>
  <si>
    <t>1.结合层厚度、砂浆配合比:1:3水泥砂浆结合层，具体厚度依据图纸及实际现场情况综合考虑；
2.面层材料：人造石st-02窗台板，达到设计要求完成面；                                                                                                                                                                  3.勾缝材料、酸洗、打蜡要求:含嵌缝剂，六面防护，抛光，防污，防碱等一切处理 ； 
4.其他未尽事宜:依据图纸、规范并结合实际情况，完成此项工作内容的所有工序、所有内容。</t>
  </si>
  <si>
    <t>1、木地板房间地面抹光处理、其他房间磋毛处理
2、50厚C15豆石混凝土（厚度根据现场实际情况调整厚度，卫生间最薄处30厚）（内铺设φ20耐热聚乙烯(PE-RT)管，直径3 钢丝网片）
3、0.2厚真空镀铝聚酯薄膜
4、20厚挤塑聚苯板乙烯泡沫塑料板
5、含集、分水器及配套附件阀门。
6、含套管及配套500mm保护台等，供暖回暖管道链接施压等全部工序。
7、未尽事宜详见参暖图</t>
  </si>
  <si>
    <t>卫生间取消小背篓按地暖铺设</t>
  </si>
  <si>
    <t>壁布墙面</t>
  </si>
  <si>
    <t>1、贴壁布wc01面层
2、环保壁纸基膜二道
3、满刮腻子二道,砂纸磨平
4、墙面满涂墙固
5、其他未尽事宜:依据图纸、规范并结合实际情况，完成此项工作内容的所有工序、所有内容</t>
  </si>
  <si>
    <t>施工范围：玄关柜后未考虑</t>
  </si>
  <si>
    <t>窗台板</t>
  </si>
  <si>
    <t>1.结合层厚度、砂浆配合比:1:3水泥砂浆结合层，具体厚度依据图纸及实际现场情况综合考虑；
2.面层材料：人造石st-02窗台板，达到设计要求完成面；                                                                                                                                                                  3.勾缝材料、酸洗、打蜡要求:含嵌缝剂，六面防护，抛光，防污，防碱等一切处理 ； 
4.其他未尽事宜:依据图纸、规范并结合实际情况，完成此项工作内容的所有工序、所有内容。
5、：宽度约10cm含下挂石材，具体安现场实际尺寸调整
6、其他未尽事宜:依据图纸、规范并结合实际情况，完成此项工作内容的所有工序、所有内容</t>
  </si>
  <si>
    <t>卧室门</t>
  </si>
  <si>
    <t>1、规格：900*2100
2、含门套线
3、详见图纸MT-01</t>
  </si>
  <si>
    <t>樘</t>
  </si>
  <si>
    <t>玄关柜</t>
  </si>
  <si>
    <t>1、规格：800*2280mm，含台面、镜面、五金件、柜体内暗藏灯带、柜体等成品
2、计算规则：垂直投影面积计算
3、详见图纸柜子图纸G-01、其他未尽事宜:依据图纸、规范并结合实际情况，完成此项工作内容的所有工序、所有内容</t>
  </si>
  <si>
    <t>仿大理石岩板墙面</t>
  </si>
  <si>
    <t>1、仿大理石岩板厚度9mm
2、石材粘接剂
3、18厚阻燃板
4.其他未尽事宜:依据图纸、规范并结合实际情况，完成此项工作内容的所有工序、所有内容。</t>
  </si>
  <si>
    <t>成品不锈钢收口</t>
  </si>
  <si>
    <t>1、锈钢收口壁纸与岩板收口
2、1mm厚不锈钢MT-01
3、其他未尽事宜:依据图纸、规范并结合实际情况，完成此项工作内容的所有工序、所有内容</t>
  </si>
  <si>
    <t>瓷砖墙面</t>
  </si>
  <si>
    <t>1、墙砖CT03瓷砖(同色美缝剂美缝)
2、瓷砖粘结剂
3、排水管理包管处理、
4、其他未尽事宜:依据图纸、规范并结合实际情况，完成此项工作内容的所有工序、所有内容。</t>
  </si>
  <si>
    <t>施工范围：镜子后未考虑</t>
  </si>
  <si>
    <t>墙面防水</t>
  </si>
  <si>
    <t>1.刷1.0mmJS-II聚合物防水层刷2遍
2、部位：卫生间湿区墙面高1m范围内、干区墙面0.3m高范围内、阳台墙面0.5m范围内
3、其他未尽事宜:依据图纸、规范并结合实际情况，完成此项工作内容的所有工序、所有内容。</t>
  </si>
  <si>
    <t>1、锈钢收口壁纸与瓷砖收口
2、1mm厚不锈钢MT-02
3、其他未尽事宜:依据图纸、规范并结合实际情况，完成此项工作内容的所有工序、所有内容</t>
  </si>
  <si>
    <t>卫生间门</t>
  </si>
  <si>
    <t>1、规格：800*2100
2、含门套线、含门套ST01石材基座等成活价格
3、详见图纸MT-02、其他未尽事宜:依据图纸、规范并结合实际情况，完成此项工作内容的所有工序、所有内容</t>
  </si>
  <si>
    <t>厨房门</t>
  </si>
  <si>
    <t>1、规格：800*2100
2、含门套线等成活价格
3、详见图纸MT-03、其他未尽事宜:依据图纸、规范并结合实际情况，完成此项工作内容的所有工序、所有内容</t>
  </si>
  <si>
    <t>阳台瓷砖墙</t>
  </si>
  <si>
    <t>1、墙砖CT04瓷砖
2、瓷砖粘结剂
3、其他未尽事宜:依据图纸、规范并结合实际情况，完成此项工作内容的所有工序、所有内容。</t>
  </si>
  <si>
    <t>阳台防水乳胶漆涂料</t>
  </si>
  <si>
    <t>1、白色防水乳胶漆面层两道
2、封闭底漆涂料一道
3、满刮耐水腻子两遍
4、刷涂界面剂一道
5、部位：阳台
6、其他未尽事宜:依据图纸、规范并结合实际情况，完成此项工作内容的所有工序、所有内容</t>
  </si>
  <si>
    <t>橱柜</t>
  </si>
  <si>
    <t>1、含柜体、面板、五金、台面、烟机水盆的开洞等所有成活工序
2、其他未尽事宜:依据图纸、规范并结合实际情况，完成此项工作内容的所有工序、所有内容</t>
  </si>
  <si>
    <t>吊柜</t>
  </si>
  <si>
    <t>1、含柜体、面板、五金件、暗藏灯带等所有成活工序
2、其他未尽事宜:依据图纸、规范并结合实际情况，完成此项工作内容的所有工序、所有内容</t>
  </si>
  <si>
    <t>纸巾盒</t>
  </si>
  <si>
    <t xml:space="preserve">1、详见图纸
2、投标是报送图册
</t>
  </si>
  <si>
    <t>个</t>
  </si>
  <si>
    <t>九牧</t>
  </si>
  <si>
    <t>毛巾架</t>
  </si>
  <si>
    <t>300x300铝扣板</t>
  </si>
  <si>
    <t xml:space="preserve">
1、300x300铝扣板(铝板与墙面交接处采用L型收边龙骨固定)厚度采用0.8mm
2、下层暗架镀锌天花龙骨(@=300mm)
3、上层暗架镀锌天花龙骨@≤1200mm 
4、φ6钢筋吊杆,中距横向≤1200纵向≤1200,吊杆上部与顶板固定件连接
5、原有结构顶板
6、部位：厨房、卫生间（湿）
7、其他未尽事宜:依据图纸、规范并结合实际情况，完成此项工作内容的所有工序、所有内容</t>
  </si>
  <si>
    <t>M2</t>
  </si>
  <si>
    <t>石膏板吊顶</t>
  </si>
  <si>
    <t xml:space="preserve">
1、白色乳胶漆面层两道;
2、封闭底漆涂料一道
3、满刮耐水腻子两遍
5、9.5厚双层石膏板,用自攻螺丝与基层板固定
6、18厚防火阻燃板,用自攻螺丝与龙骨固定
7、轻钢龙骨双层骨架:50系轻钢主龙骨中距≤1200,次龙骨中距≤400,横撑龙骨中距900
8、φ6钢筋吊杆,中距横向≤1200纵向≤1200,吊杆上部与顶板固定件连接
9、原有结构顶板
10、部位：客厅周边、卫生间（干）、入户玄关
11、其他未尽事宜:依据图纸、规范并结合实际情况，完成此项工作内容的所有工序、所有内容。
12、计算规则：按水平投影面积计算</t>
  </si>
  <si>
    <t>原顶天棚（室外）</t>
  </si>
  <si>
    <t>1、白色防水乳胶漆面层两道
2、封闭底漆涂料一道
3、满刮耐水腻子两遍（局部不平处粉刷石膏找平层）
4、刷涂界面剂一道
5、原有结构顶板
6、部位：阳台
7、其他未尽事宜:依据图纸、规范并结合实际情况，完成此项工作内容的所有工序、所有内容</t>
  </si>
  <si>
    <t>原顶天棚（室内）</t>
  </si>
  <si>
    <t>1、白色乳胶漆面层两道
2、封闭底漆涂料一道
3、满刮耐水腻子两遍（局部不平处粉刷石膏找平层）
4、刷涂界面剂一道
5、原有结构顶板
7、部位：室内原顶
8、其他未尽事宜:依据图纸、规范并结合实际情况，完成此项工作内容的所有工序、所有内容</t>
  </si>
  <si>
    <t>成品石膏线</t>
  </si>
  <si>
    <t>1、白色乳胶漆
2、成品石膏板造型
3、部位：卧室
4、其他未尽事宜:依据图纸、规范并结合实际情况，完成此项工作内容的所有工序、所有内容</t>
  </si>
  <si>
    <t>窗帘盒</t>
  </si>
  <si>
    <t>1、白色乳胶漆
2、阻燃版
3、9.5mm厚双面石膏板
4、部位：窗户上部
5、详见图纸T-01
6、其他未尽事宜:依据图纸、规范并结合实际情况，完成此项工作内容的所有工序、所有内容</t>
  </si>
  <si>
    <t>三</t>
  </si>
  <si>
    <t>H2硬质装修部分</t>
  </si>
  <si>
    <t>1、最薄处30厚C15细石混凝土找坡层抹平(1%坡度向地漏)表面抹光
2.1.5mmJS-I聚合物防水层刷3遍
3、部位：阳台
4.其他：未尽事宜参见施工图说明及相关规范图集。</t>
  </si>
  <si>
    <t>1、20mm厚水泥砂浆找平层
2.卫生间地面1.5mmJS-I聚合物防水层刷3遍
3、部位：卫生间
4.其他：未尽事宜参见施工图说明及相关规范图集。。</t>
  </si>
  <si>
    <t xml:space="preserve">
1、1.5mmJS-I聚合物防水层刷3遍（回填料上施工）
2、部位：卫生间
3、其他未尽事宜:依据图纸、规范并结合实际情况，完成此项工作内容的所有工序、所有内容</t>
  </si>
  <si>
    <t>1、10mm厚CT01地砖(同色美缝剂美缝)
2、5mm厚DTA砂浆结合层
3、20mm厚DS砂浆(或1:2.5水泥砂浆)找平层
4、满足施工规范及设计图纸要求；
5、部位：厨房
6、其他未尽事宜:依据图纸、规范并结合实际情况，完成此项工作内容的所有工序、所有内容</t>
  </si>
  <si>
    <t>1、1:2.5水泥砂浆找平层105mm厚
2、满足施工规范及设计图纸要求；
3、部位：厨房橱柜下
4、其他未尽事宜:依据图纸、规范并结合实际情况，完成此项工作内容的所有工序、所有内容</t>
  </si>
  <si>
    <t>1、18mm厚st0天然石材
2、结构胶粘接层
3、20mm厚DS砂浆(或1:2.5水泥砂浆)找平层
4、c20混凝土挡墙
5、其他未尽事宜:依据图纸、规范并结合实际情况，完成此项工作内容的所有工序、所有内容；
6、部位：过门石
7、其他未尽事宜:依据图纸、规范并结合实际情况，完成此项工作内容的所有工序、所有内容</t>
  </si>
  <si>
    <t>1、木地板房间地面抹光处理、其他房间磋毛处理
2、50厚C15豆石混凝土（厚度根据现场实际情况调整厚度）（内铺设φ20耐热聚乙烯(PE-RT)管，直径3 钢丝网片）。
3、0.2厚真空镀铝聚酯薄膜
4、20厚挤塑聚苯板乙烯泡沫塑料板
5、含集、分水器及配套附件阀门。
6、含套管及配套500mm保护台等，供暖回暖管道链接施压等全部工序。
7、其他未尽事宜:依据图纸、规范并结合实际情况，完成此项工作内容的所有工序、所有内容</t>
  </si>
  <si>
    <t>1、仿大理石岩板板厚度9mm
2、石材粘接剂
3、18厚阻燃板
4.其他未尽事宜:依据图纸、规范并结合实际情况，完成此项工作内容的所有工序、所有内容。</t>
  </si>
  <si>
    <t>1、墙砖CT03瓷砖(同色美缝剂美缝)
2、瓷砖粘结剂
3、排水管理包管处理、
4、其他未尽事宜:依据图纸、规范并结合实际情况，完成此项工作内容的所有工序、所有内容。
5、部位：厨房、卫生间</t>
  </si>
  <si>
    <t>水泥砂浆粉刷</t>
  </si>
  <si>
    <t>1、水泥砂浆粉刷
2、部位：厨房
3、其他未尽事宜:依据图纸、规范并结合实际情况，完成此项工作内容的所有工序、所有内容。
房</t>
  </si>
  <si>
    <t>1.刷1.0mmJS-II聚合物防水层刷2遍
2、部位：卫生间湿区墙面高1m范围内、阳台墙面0.5m范围内
3、其他未尽事宜:依据图纸、规范并结合实际情况，完成此项工作内容的所有工序、所有内容。</t>
  </si>
  <si>
    <t>阳台木门</t>
  </si>
  <si>
    <t xml:space="preserve">1、规格：900*2100
2、含门套线等成活价格
3、成品木夹板门 </t>
  </si>
  <si>
    <t xml:space="preserve">
1、白色乳胶漆面层两道;
2、封闭底漆涂料一道
3、满刮耐水腻子两遍
5、9.5厚双层石膏板,用自攻螺丝与基层板固定
6、18厚防火阻燃板,用自攻螺丝与龙骨固定
7、轻钢龙骨双层骨架:50系轻钢主龙骨中距≤1200,次龙骨中距≤400,横撑龙骨中距900
8、φ6钢筋吊杆,中距横向≤1200纵向≤1200,吊杆上部与顶板固定件连接
9、原有结构顶板
10、部位：客厅周边
11、其他未尽事宜:依据图纸、规范并结合实际情况，完成此项工作内容的所有工序、所有内容。
12、计算规则：按水平投影面积计算</t>
  </si>
  <si>
    <t xml:space="preserve">
1、300x300铝扣板(铝板与墙面交接处采用L型收边龙骨固定)厚度采用0.8mm
2、下层暗架镀锌天花龙骨(@=300mm)
3、上层暗架镀锌天花龙骨@≤1200mm 
4、φ6钢筋吊杆,中距横向≤1200纵向≤1200,吊杆上部与顶板固定件连接
5、原有结构顶板
6、部位：厨房、卫生间
7、其他未尽事宜:依据图纸、规范并结合实际情况，完成此项工作内容的所有工序、所有内容</t>
  </si>
  <si>
    <t>H3硬质装修部分</t>
  </si>
  <si>
    <t>1、10mm厚CT01地砖(同色美缝剂美缝)
2、5mm厚DTA砂浆结合层
3、20mm厚DS砂浆(或1:2.5水泥砂浆)找平层
4、满足施工规范及设计图纸要求；
5、部位：厨房</t>
  </si>
  <si>
    <t>1、规格：800*2100
2、含门套线等成活价格
3、详见图纸MT-03</t>
  </si>
  <si>
    <t>四</t>
  </si>
  <si>
    <t>H4硬质装修部分</t>
  </si>
  <si>
    <t>1、20mm厚水泥砂浆找平层
2.卫生间地面1.5mmJS-I聚合物防水层刷3遍
3、部位：卫生间
4.其他：未尽事宜参见施工图说明及相关规范图集。</t>
  </si>
  <si>
    <t>五</t>
  </si>
  <si>
    <t>H5硬质装修部分</t>
  </si>
  <si>
    <t>1、20mm厚水泥砂浆找平层
2.卫生间地面1.5mmJS-I聚合物防水层刷3遍
3、部位：卫生间（干、湿区）
4.其他：未尽事宜参见施工图说明及相关规范图集。。</t>
  </si>
  <si>
    <t xml:space="preserve">
1、1.5mmJS-I聚合物防水层刷3遍（回填料上施工）
2、部位：卫生间（湿区）
3、其他未尽事宜:依据图纸、规范并结合实际情况，完成此项工作内容的所有工序、所有内容</t>
  </si>
  <si>
    <t>1、10mm厚CT01地砖(同色美缝剂美缝)
2、5mm厚DTA砂浆结合层
3、20mm厚DS砂浆(或1:2.5水泥砂浆)找平层
4、满足施工规范及设计图纸要求；
5、部位：厨房、卫生间（干）
6、其他未尽事宜:依据图纸、规范并结合实际情况，完成此项工作内容的所有工序、所有内容</t>
  </si>
  <si>
    <t>16#楼精装房工程-安装</t>
  </si>
  <si>
    <t>含税综合单价
f=(a+b+c+d+e)</t>
  </si>
  <si>
    <t>备 注
（品牌/厂家）</t>
  </si>
  <si>
    <t>主材费</t>
  </si>
  <si>
    <t>其中主材单价</t>
  </si>
  <si>
    <t>其中主材损耗率</t>
  </si>
  <si>
    <t>b=x*（1+y）</t>
  </si>
  <si>
    <t>x</t>
  </si>
  <si>
    <t xml:space="preserve"> y</t>
  </si>
  <si>
    <t>H1户型-强弱电</t>
  </si>
  <si>
    <t>一户</t>
  </si>
  <si>
    <t>项</t>
  </si>
  <si>
    <t>LED射灯</t>
  </si>
  <si>
    <t xml:space="preserve">1.名称：LED射灯 含开洞费用
2.参数：(暗装)7W 色温3000K Φ85
3.未详尽处满足图纸设计、相关规范要求  </t>
  </si>
  <si>
    <t>雷士</t>
  </si>
  <si>
    <t>LED筒灯</t>
  </si>
  <si>
    <t xml:space="preserve">1.名称：LED筒灯  含开洞费用
2.参数：(暗装)6W 色温4000K Φ85
3.未详尽处满足图纸设计、相关规范要求  </t>
  </si>
  <si>
    <t>LED防雾射灯</t>
  </si>
  <si>
    <t xml:space="preserve">1.名称：LED防雾射灯  含开洞费用
2.参数：7W 色温3000K Φ85
3.未详尽处满足图纸设计、相关规范要求   </t>
  </si>
  <si>
    <t>阳台吸顶灯</t>
  </si>
  <si>
    <t xml:space="preserve">1.名称：阳台吸顶灯
2.参数：12w 色温3000K
3.未详尽处满足图纸设计、相关规范要求  </t>
  </si>
  <si>
    <t>卧室吸顶灯</t>
  </si>
  <si>
    <t xml:space="preserve">1.名称：卧室吸顶灯
2.参数：15w 色温3000K
3.未详尽处满足图纸设计、相关规范要求  </t>
  </si>
  <si>
    <t>平板灯</t>
  </si>
  <si>
    <t xml:space="preserve">1.名称：平板灯
2.参数：300*600 3000K
3.未详尽处满足图纸设计、相关规范要求  </t>
  </si>
  <si>
    <t>暖风机</t>
  </si>
  <si>
    <t xml:space="preserve">1.名称：暖风机
2.参数：(300*600)
3.未详尽处满足图纸设计、相关规范要求  </t>
  </si>
  <si>
    <t>集成灯</t>
  </si>
  <si>
    <t xml:space="preserve">1.名称：集成灯
2.参数：(300*300)暖光（3300K以下）
3.未详尽处满足图纸设计、相关规范要求  </t>
  </si>
  <si>
    <t>感应夜灯</t>
  </si>
  <si>
    <t xml:space="preserve">1.名称：感应夜灯
2.未详尽处满足图纸设计、相关规范要求  </t>
  </si>
  <si>
    <t>灯具红外感应器</t>
  </si>
  <si>
    <t xml:space="preserve">1.名称：灯具红外感应器
2.未详尽处满足图纸设计、相关规范要求  </t>
  </si>
  <si>
    <t>五孔插座</t>
  </si>
  <si>
    <t xml:space="preserve">1.名称：五孔插座
2.规格:10A
3.未详尽处满足图纸设计、相关规范要求  </t>
  </si>
  <si>
    <t>西蒙M3灰</t>
  </si>
  <si>
    <t>冰箱三孔插座</t>
  </si>
  <si>
    <t xml:space="preserve">1.名称：冰箱三孔插座
2.规格:10A
3.未详尽处满足图纸设计、相关规范要求  </t>
  </si>
  <si>
    <t>抽油烟机三孔插座</t>
  </si>
  <si>
    <t xml:space="preserve">1.名称：抽油烟机三孔插座
2.规格:10A
3.未详尽处满足图纸设计、相关规范要求  </t>
  </si>
  <si>
    <t>净水器防溅五孔插座</t>
  </si>
  <si>
    <t xml:space="preserve">1.名称：净水器防溅五孔插座
2.规格:10A
3.未详尽处满足图纸设计、相关规范要求  </t>
  </si>
  <si>
    <t>垃圾处理器防溅五孔插座</t>
  </si>
  <si>
    <t xml:space="preserve">1.名称：垃圾处理器防溅五孔插座
2.规格:10A
3.未详尽处满足图纸设计、相关规范要求  </t>
  </si>
  <si>
    <t>热水器防溅五孔插座带开关</t>
  </si>
  <si>
    <t xml:space="preserve">1.名称：热水器防溅五孔插座带开关
2.规格:10A
3.未详尽处满足图纸设计、相关规范要求  </t>
  </si>
  <si>
    <t>洗衣机防溅五孔插座</t>
  </si>
  <si>
    <t xml:space="preserve">1.名称：洗衣机防溅五孔插座
2.规格:10A
3.未详尽处满足图纸设计、相关规范要求  </t>
  </si>
  <si>
    <t>消毒柜三孔插座</t>
  </si>
  <si>
    <t xml:space="preserve">1.名称：消毒柜三孔插座
2.规格:10A
3.未详尽处满足图纸设计、相关规范要求  </t>
  </si>
  <si>
    <t>空调三孔插座带开关</t>
  </si>
  <si>
    <t xml:space="preserve">1.名称：空调三孔插座带开关
2.规格:16A
3.未详尽处满足图纸设计、相关规范要求  </t>
  </si>
  <si>
    <t>厨房五孔带开关插座</t>
  </si>
  <si>
    <t xml:space="preserve">1.名称：厨房五孔带开关插座
2.规格:10A
3.未详尽处满足图纸设计、相关规范要求  </t>
  </si>
  <si>
    <t>卫生间防溅五孔插座</t>
  </si>
  <si>
    <t xml:space="preserve">1.名称：卫生间防溅五孔插座
2.规格:10A
3.未详尽处满足图纸设计、相关规范要求  </t>
  </si>
  <si>
    <t>集分水器F防溅五孔插座</t>
  </si>
  <si>
    <t xml:space="preserve">1.名称：集分水器F防溅五孔插座
2.规格:10A
3.未详尽处满足图纸设计、相关规范要求  </t>
  </si>
  <si>
    <t>单联单控开关</t>
  </si>
  <si>
    <t xml:space="preserve">1.名称：单联单控开关
2.底边距地h:1300mm
3.未详尽处满足图纸设计、相关规范要求  </t>
  </si>
  <si>
    <t>单联双控开关</t>
  </si>
  <si>
    <t xml:space="preserve">1.名称：单联双控开关
2.底边距地h:1300mm
3.未详尽处满足图纸设计、相关规范要求  </t>
  </si>
  <si>
    <t>三联双控开关</t>
  </si>
  <si>
    <t xml:space="preserve">1.名称：三联双控开关
2.底边距地h:1300mm
3.未详尽处满足图纸设计、相关规范要求  </t>
  </si>
  <si>
    <t>地暖温控开关</t>
  </si>
  <si>
    <t xml:space="preserve">1.名称：地暖温控开关
2.底边距地h:1300mm
3.未详尽处满足图纸设计、相关规范要求  </t>
  </si>
  <si>
    <t>伊莱科</t>
  </si>
  <si>
    <t>一键离家开关(10A)
(只控制灯具)</t>
  </si>
  <si>
    <t xml:space="preserve">1.名称：一键离家开关(10A)
(只控制灯具)
2.底边距地h:1300mm
3.未详尽处满足图纸设计、相关规范要求  </t>
  </si>
  <si>
    <t>松下</t>
  </si>
  <si>
    <t>浴霸开关面板</t>
  </si>
  <si>
    <t xml:space="preserve">1.名称：浴霸开关面板
2.底边距地h:1300mm
3.未详尽处满足图纸设计、相关规范要求  </t>
  </si>
  <si>
    <t>接线盒面板</t>
  </si>
  <si>
    <t xml:space="preserve">1.名称：接线盒面板
2.未详尽处满足图纸设计、相关规范要求  </t>
  </si>
  <si>
    <t>电话信号插座</t>
  </si>
  <si>
    <t xml:space="preserve">1.名称：网络/电话信号插座
2.未详尽处满足图纸设计、相关规范要求  </t>
  </si>
  <si>
    <t>电视信号插座</t>
  </si>
  <si>
    <t xml:space="preserve">1.名称：网络/电视信号插座
2.未详尽处满足图纸设计、相关规范要求  </t>
  </si>
  <si>
    <t>网络信号插座</t>
  </si>
  <si>
    <t xml:space="preserve">1.名称：网络信号插座
2.未详尽处满足图纸设计、相关规范要求  </t>
  </si>
  <si>
    <t>电线</t>
  </si>
  <si>
    <t xml:space="preserve">1、名称:电线BV-2.5
2、管内敷设
3、未详尽处满足图纸设计、相关规范要求                    </t>
  </si>
  <si>
    <t>郑星</t>
  </si>
  <si>
    <t xml:space="preserve">1、名称:电线BV-4
2、管内敷设
3、未详尽处满足图纸设计、相关规范要求                    </t>
  </si>
  <si>
    <t>网线</t>
  </si>
  <si>
    <t xml:space="preserve">1、名称:UTPCAT5e
2、管内敷设
3、未详尽处满足图纸设计、相关规范要求                    </t>
  </si>
  <si>
    <t>超六类</t>
  </si>
  <si>
    <t>电话线</t>
  </si>
  <si>
    <t xml:space="preserve">1、名称:RVS-2x0.5
2、管内敷设
3、未详尽处满足图纸设计、相关规范要求                    </t>
  </si>
  <si>
    <t>电视线</t>
  </si>
  <si>
    <t xml:space="preserve">1、名称:SYWV-75-5
2、管内敷设
3、未详尽处满足图纸设计、相关规范要求                    </t>
  </si>
  <si>
    <t>元</t>
  </si>
  <si>
    <t>二</t>
  </si>
  <si>
    <t>H1户型-给排水</t>
  </si>
  <si>
    <t>坐便器</t>
  </si>
  <si>
    <t xml:space="preserve">1.名称：坐便器含角阀
2.含所有配件安装
3.未详尽处满足图纸设计、相关规范要求   </t>
  </si>
  <si>
    <t>套</t>
  </si>
  <si>
    <t>热水器</t>
  </si>
  <si>
    <t xml:space="preserve">1.名称：热水器含角阀
2.含所有配件安装
3.未详尽处满足图纸设计、相关规范要求 </t>
  </si>
  <si>
    <t>万家乐DP2-12</t>
  </si>
  <si>
    <t>淋浴花洒</t>
  </si>
  <si>
    <t xml:space="preserve">1.名称：淋浴花洒
2.含所有配件安装；
3.未详尽处满足图纸设计、相关规范要求 </t>
  </si>
  <si>
    <t>洗脸盆</t>
  </si>
  <si>
    <t xml:space="preserve">1.名称：洗脸盆含水龙头、柜体、镜子
2.含所有配件安装（包含洗脸盆下水管安装）
3.未详尽处满足图纸设计、相关规范要求 </t>
  </si>
  <si>
    <t>洗衣机龙头</t>
  </si>
  <si>
    <t xml:space="preserve">1.名称:洗衣机龙头
2.型号、规格:DN15
3.未详尽处满足图纸设计、相关规范要求 </t>
  </si>
  <si>
    <t>洗衣机地漏</t>
  </si>
  <si>
    <t xml:space="preserve">1.名称:洗衣机地漏
2.型号、规格:DN50
3.未详尽处满足图纸设计、相关规范要求 </t>
  </si>
  <si>
    <t>地漏</t>
  </si>
  <si>
    <t xml:space="preserve">1.名称:地漏
2.型号、规格:DN50
3.未详尽处满足图纸设计、相关规范要求 </t>
  </si>
  <si>
    <t>抽油烟机</t>
  </si>
  <si>
    <t xml:space="preserve">1.名称：抽油烟机
2.未详尽处满足图纸设计、相关规范要求 </t>
  </si>
  <si>
    <t>方太</t>
  </si>
  <si>
    <t>燃气灶</t>
  </si>
  <si>
    <t xml:space="preserve">1.燃气灶
2.未详尽处满足图纸设计、相关规范要求 </t>
  </si>
  <si>
    <t>洗菜盆</t>
  </si>
  <si>
    <t xml:space="preserve">1.名称：洗菜盆含水龙头
2.含所有配件安装（包含洗菜盆下水管安装）
3.未详尽处满足图纸设计、相关规范要求 </t>
  </si>
  <si>
    <t>截止阀</t>
  </si>
  <si>
    <t xml:space="preserve">1.名称：截止阀
2.规格：DN20
3.未详尽处满足图纸设计、相关规范要求 </t>
  </si>
  <si>
    <t>联塑</t>
  </si>
  <si>
    <t xml:space="preserve">1.名称：截止阀
2.规格：DN15
3.未详尽处满足图纸设计、相关规范要求 </t>
  </si>
  <si>
    <t>真空破坏器</t>
  </si>
  <si>
    <t>1.名称：真空破坏器
2.规格：DN15
3.含预留DN15消防软管接口</t>
  </si>
  <si>
    <t>给水管</t>
  </si>
  <si>
    <t>1. PP-R De25（冷水）
2.含角阀、配件、管帽、堵头及其他相关配件
3.管道试压,消毒、冲洗</t>
  </si>
  <si>
    <t>1. PP-R De20（冷水）
2.含角阀、配件、管帽、堵头及其他相关配件
3.管道试压,消毒、冲洗</t>
  </si>
  <si>
    <t>1. PP-R De25（热水）
2.含角阀、配件、管帽、堵头及其他相关配件
3.管道试压,消毒、冲洗</t>
  </si>
  <si>
    <t>1. PP-R De20（热水）
2.含角阀、配件、管帽、堵头及其他相关配件
3.管道试压,消毒、冲洗</t>
  </si>
  <si>
    <t>H1户型合计</t>
  </si>
  <si>
    <t>H2户型-强弱电</t>
  </si>
  <si>
    <t>H2户型-给排水</t>
  </si>
  <si>
    <t xml:space="preserve">1.名称：热水器
2.含所有配件安装
3.未详尽处满足图纸设计、相关规范要求 </t>
  </si>
  <si>
    <t>H2户型合计</t>
  </si>
  <si>
    <t>H3户型-强弱电</t>
  </si>
  <si>
    <t>H3户型-给排水</t>
  </si>
  <si>
    <t>H3户型合计</t>
  </si>
  <si>
    <t>H4户型-强弱电</t>
  </si>
  <si>
    <t>H4户型-给排水</t>
  </si>
  <si>
    <t>H4户型合计</t>
  </si>
  <si>
    <t>H5户型-强弱电</t>
  </si>
  <si>
    <t>H5户型-给排水</t>
  </si>
  <si>
    <t xml:space="preserve">1.名称：洗脸盆含水龙头
2.含所有配件安装（包含洗脸盆下水管安装）
3.未详尽处满足图纸设计、相关规范要求 </t>
  </si>
  <si>
    <t>H5户型合计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</si>
</sst>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s>
  <fonts count="47">
    <font>
      <sz val="11"/>
      <color theme="1"/>
      <name val="宋体"/>
      <charset val="134"/>
      <scheme val="minor"/>
    </font>
    <font>
      <sz val="12"/>
      <name val="宋体"/>
      <charset val="134"/>
    </font>
    <font>
      <sz val="10"/>
      <color theme="1"/>
      <name val="宋体"/>
      <charset val="134"/>
      <scheme val="minor"/>
    </font>
    <font>
      <b/>
      <sz val="14"/>
      <color theme="1"/>
      <name val="宋体"/>
      <charset val="134"/>
      <scheme val="minor"/>
    </font>
    <font>
      <b/>
      <sz val="10"/>
      <color theme="1"/>
      <name val="宋体"/>
      <charset val="134"/>
      <scheme val="minor"/>
    </font>
    <font>
      <sz val="9"/>
      <name val="宋体"/>
      <charset val="134"/>
    </font>
    <font>
      <sz val="10"/>
      <name val="宋体"/>
      <charset val="134"/>
    </font>
    <font>
      <sz val="10"/>
      <name val="宋体"/>
      <charset val="134"/>
      <scheme val="minor"/>
    </font>
    <font>
      <sz val="9"/>
      <name val="宋体"/>
      <charset val="134"/>
      <scheme val="minor"/>
    </font>
    <font>
      <sz val="10"/>
      <color theme="1"/>
      <name val="宋体"/>
      <charset val="134"/>
    </font>
    <font>
      <sz val="11"/>
      <name val="宋体"/>
      <charset val="134"/>
    </font>
    <font>
      <b/>
      <sz val="18"/>
      <name val="宋体"/>
      <charset val="134"/>
    </font>
    <font>
      <sz val="9"/>
      <name val="微软雅黑"/>
      <charset val="134"/>
    </font>
    <font>
      <sz val="9"/>
      <color theme="1"/>
      <name val="宋体"/>
      <charset val="134"/>
    </font>
    <font>
      <sz val="12"/>
      <color rgb="FF000000"/>
      <name val="微软雅黑"/>
      <charset val="134"/>
    </font>
    <font>
      <b/>
      <sz val="18"/>
      <color theme="1"/>
      <name val="宋体"/>
      <charset val="134"/>
      <scheme val="minor"/>
    </font>
    <font>
      <b/>
      <sz val="8"/>
      <color theme="0"/>
      <name val="微软雅黑"/>
      <charset val="134"/>
    </font>
    <font>
      <sz val="8"/>
      <name val="宋体"/>
      <charset val="134"/>
      <scheme val="minor"/>
    </font>
    <font>
      <sz val="8"/>
      <color theme="1"/>
      <name val="宋体"/>
      <charset val="134"/>
      <scheme val="minor"/>
    </font>
    <font>
      <sz val="8"/>
      <color rgb="FF000000"/>
      <name val="宋体"/>
      <charset val="134"/>
      <scheme val="minor"/>
    </font>
    <font>
      <sz val="8"/>
      <color rgb="FF000000"/>
      <name val="宋体"/>
      <charset val="134"/>
    </font>
    <font>
      <sz val="8"/>
      <color rgb="FFFF0000"/>
      <name val="宋体"/>
      <charset val="134"/>
      <scheme val="minor"/>
    </font>
    <font>
      <b/>
      <sz val="8"/>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indexed="8"/>
      <name val="宋体"/>
      <charset val="134"/>
    </font>
    <font>
      <sz val="12"/>
      <color rgb="FF000000"/>
      <name val="宋体"/>
      <charset val="134"/>
    </font>
    <font>
      <sz val="10"/>
      <name val="Arial"/>
      <charset val="1"/>
    </font>
    <font>
      <sz val="12"/>
      <name val="Times New Roman"/>
      <charset val="134"/>
    </font>
  </fonts>
  <fills count="36">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5" tint="0.599993896298105"/>
        <bgColor indexed="64"/>
      </patternFill>
    </fill>
    <fill>
      <patternFill patternType="solid">
        <fgColor theme="7"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6" borderId="1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4" applyNumberFormat="0" applyFill="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0" fillId="0" borderId="0" applyNumberFormat="0" applyFill="0" applyBorder="0" applyAlignment="0" applyProtection="0">
      <alignment vertical="center"/>
    </xf>
    <xf numFmtId="0" fontId="31" fillId="7" borderId="16" applyNumberFormat="0" applyAlignment="0" applyProtection="0">
      <alignment vertical="center"/>
    </xf>
    <xf numFmtId="0" fontId="32" fillId="8" borderId="17" applyNumberFormat="0" applyAlignment="0" applyProtection="0">
      <alignment vertical="center"/>
    </xf>
    <xf numFmtId="0" fontId="33" fillId="8" borderId="16" applyNumberFormat="0" applyAlignment="0" applyProtection="0">
      <alignment vertical="center"/>
    </xf>
    <xf numFmtId="0" fontId="34" fillId="9" borderId="18" applyNumberFormat="0" applyAlignment="0" applyProtection="0">
      <alignment vertical="center"/>
    </xf>
    <xf numFmtId="0" fontId="35" fillId="0" borderId="19" applyNumberFormat="0" applyFill="0" applyAlignment="0" applyProtection="0">
      <alignment vertical="center"/>
    </xf>
    <xf numFmtId="0" fontId="36" fillId="0" borderId="20" applyNumberFormat="0" applyFill="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4"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xf numFmtId="0" fontId="42" fillId="0" borderId="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3" fillId="0" borderId="0">
      <alignment vertical="center"/>
    </xf>
    <xf numFmtId="176" fontId="44" fillId="0" borderId="7">
      <alignment horizontal="right" vertical="center" wrapText="1"/>
    </xf>
    <xf numFmtId="0" fontId="1" fillId="0" borderId="0">
      <alignment vertical="center"/>
    </xf>
    <xf numFmtId="0" fontId="45" fillId="0" borderId="0"/>
    <xf numFmtId="0" fontId="0" fillId="0" borderId="0">
      <alignment vertical="center"/>
    </xf>
    <xf numFmtId="0" fontId="1" fillId="0" borderId="0">
      <alignment vertical="center"/>
    </xf>
    <xf numFmtId="0" fontId="46" fillId="0" borderId="0"/>
    <xf numFmtId="0" fontId="1" fillId="0" borderId="0">
      <alignment vertical="center"/>
    </xf>
    <xf numFmtId="176" fontId="44" fillId="0" borderId="7">
      <alignment horizontal="right" vertical="center" wrapText="1"/>
    </xf>
    <xf numFmtId="0" fontId="0" fillId="0" borderId="0">
      <alignment vertical="center"/>
    </xf>
    <xf numFmtId="0" fontId="43" fillId="0" borderId="0">
      <alignment vertical="center"/>
    </xf>
    <xf numFmtId="0" fontId="44" fillId="0" borderId="0" applyProtection="0">
      <alignment vertical="center"/>
    </xf>
    <xf numFmtId="0" fontId="1" fillId="0" borderId="0"/>
  </cellStyleXfs>
  <cellXfs count="164">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9" fontId="2" fillId="0" borderId="0" xfId="0" applyNumberFormat="1" applyFont="1" applyFill="1" applyAlignment="1">
      <alignment vertical="center"/>
    </xf>
    <xf numFmtId="176" fontId="2" fillId="0" borderId="0" xfId="0" applyNumberFormat="1" applyFont="1" applyFill="1" applyAlignment="1">
      <alignment vertical="center"/>
    </xf>
    <xf numFmtId="176" fontId="3" fillId="0" borderId="0" xfId="0" applyNumberFormat="1" applyFont="1" applyFill="1" applyAlignment="1">
      <alignment horizontal="center" vertical="center" wrapText="1"/>
    </xf>
    <xf numFmtId="176" fontId="4" fillId="0" borderId="0" xfId="0" applyNumberFormat="1" applyFont="1" applyFill="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176" fontId="6" fillId="0" borderId="2" xfId="0" applyNumberFormat="1" applyFont="1" applyFill="1" applyBorder="1" applyAlignment="1" applyProtection="1">
      <alignment horizontal="center" vertical="center" wrapText="1"/>
    </xf>
    <xf numFmtId="176" fontId="5" fillId="0" borderId="2" xfId="0" applyNumberFormat="1" applyFont="1" applyFill="1" applyBorder="1" applyAlignment="1" applyProtection="1">
      <alignment horizontal="center" vertical="center" wrapText="1"/>
    </xf>
    <xf numFmtId="176" fontId="6" fillId="0" borderId="3"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5" fillId="0" borderId="5"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176" fontId="6" fillId="0" borderId="6" xfId="0" applyNumberFormat="1" applyFont="1" applyFill="1" applyBorder="1" applyAlignment="1" applyProtection="1">
      <alignment horizontal="center" vertical="center" wrapText="1"/>
    </xf>
    <xf numFmtId="176" fontId="5" fillId="0" borderId="6" xfId="0" applyNumberFormat="1" applyFont="1" applyFill="1" applyBorder="1" applyAlignment="1" applyProtection="1">
      <alignment horizontal="center" vertical="center" wrapText="1"/>
    </xf>
    <xf numFmtId="176" fontId="6" fillId="0" borderId="7" xfId="0" applyNumberFormat="1" applyFont="1" applyFill="1" applyBorder="1" applyAlignment="1">
      <alignment horizontal="center" vertical="center" wrapText="1"/>
    </xf>
    <xf numFmtId="0" fontId="5" fillId="0" borderId="8"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wrapText="1"/>
    </xf>
    <xf numFmtId="176" fontId="6" fillId="0" borderId="9" xfId="0" applyNumberFormat="1" applyFont="1" applyFill="1" applyBorder="1" applyAlignment="1" applyProtection="1">
      <alignment horizontal="center" vertical="center" wrapText="1"/>
    </xf>
    <xf numFmtId="176" fontId="5" fillId="0" borderId="9" xfId="0" applyNumberFormat="1" applyFont="1" applyFill="1" applyBorder="1" applyAlignment="1" applyProtection="1">
      <alignment horizontal="center" vertical="center" wrapText="1"/>
    </xf>
    <xf numFmtId="176" fontId="6" fillId="0" borderId="7" xfId="0" applyNumberFormat="1" applyFont="1" applyFill="1" applyBorder="1" applyAlignment="1">
      <alignment vertical="center" wrapText="1"/>
    </xf>
    <xf numFmtId="0" fontId="5" fillId="0" borderId="7" xfId="0" applyNumberFormat="1" applyFont="1" applyFill="1" applyBorder="1" applyAlignment="1" applyProtection="1">
      <alignment horizontal="center" vertical="center" wrapText="1"/>
    </xf>
    <xf numFmtId="176" fontId="6" fillId="0" borderId="7"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xf>
    <xf numFmtId="177" fontId="7" fillId="0" borderId="7" xfId="65" applyNumberFormat="1" applyFont="1" applyFill="1" applyBorder="1" applyAlignment="1">
      <alignment horizontal="center" vertical="center" wrapText="1"/>
    </xf>
    <xf numFmtId="177" fontId="7" fillId="0" borderId="7" xfId="65" applyNumberFormat="1" applyFont="1" applyFill="1" applyBorder="1" applyAlignment="1">
      <alignment horizontal="left" vertical="center" wrapText="1"/>
    </xf>
    <xf numFmtId="178" fontId="7" fillId="0" borderId="7"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wrapText="1"/>
    </xf>
    <xf numFmtId="177" fontId="7" fillId="0" borderId="7" xfId="59"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6" fillId="0" borderId="7" xfId="0" applyFont="1" applyFill="1" applyBorder="1" applyAlignment="1">
      <alignment horizontal="left" vertical="center" wrapText="1"/>
    </xf>
    <xf numFmtId="176" fontId="7" fillId="0" borderId="7" xfId="0" applyNumberFormat="1" applyFont="1" applyFill="1" applyBorder="1" applyAlignment="1">
      <alignment horizontal="center" vertical="center" wrapText="1"/>
    </xf>
    <xf numFmtId="0" fontId="0" fillId="0" borderId="7" xfId="0" applyFont="1" applyFill="1" applyBorder="1" applyAlignment="1">
      <alignment horizontal="center" vertical="center"/>
    </xf>
    <xf numFmtId="0" fontId="2" fillId="0" borderId="7" xfId="0" applyFont="1" applyFill="1" applyBorder="1" applyAlignment="1">
      <alignment vertical="center"/>
    </xf>
    <xf numFmtId="177" fontId="8" fillId="0" borderId="7" xfId="65" applyNumberFormat="1" applyFont="1" applyFill="1" applyBorder="1" applyAlignment="1">
      <alignment horizontal="center" vertical="center" wrapText="1"/>
    </xf>
    <xf numFmtId="177" fontId="8" fillId="0" borderId="7" xfId="65" applyNumberFormat="1" applyFont="1" applyFill="1" applyBorder="1" applyAlignment="1">
      <alignment horizontal="left" vertical="center" wrapText="1"/>
    </xf>
    <xf numFmtId="43" fontId="7" fillId="0" borderId="7" xfId="1" applyFont="1" applyFill="1" applyBorder="1" applyAlignment="1">
      <alignment horizontal="left" vertical="center" wrapText="1"/>
    </xf>
    <xf numFmtId="176" fontId="2" fillId="0" borderId="7" xfId="0" applyNumberFormat="1" applyFont="1" applyFill="1" applyBorder="1" applyAlignment="1">
      <alignment vertical="center"/>
    </xf>
    <xf numFmtId="9" fontId="4" fillId="0" borderId="0" xfId="0" applyNumberFormat="1" applyFont="1" applyFill="1" applyAlignment="1">
      <alignment horizontal="center" vertical="center" wrapText="1"/>
    </xf>
    <xf numFmtId="9" fontId="6" fillId="0" borderId="4" xfId="0" applyNumberFormat="1" applyFont="1" applyFill="1" applyBorder="1" applyAlignment="1">
      <alignment horizontal="center" vertical="center" wrapText="1"/>
    </xf>
    <xf numFmtId="176" fontId="6" fillId="0" borderId="10"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9" fontId="6" fillId="0" borderId="7" xfId="0" applyNumberFormat="1"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176" fontId="6" fillId="0" borderId="9" xfId="0" applyNumberFormat="1" applyFont="1" applyFill="1" applyBorder="1" applyAlignment="1">
      <alignment horizontal="center" vertical="center" wrapText="1"/>
    </xf>
    <xf numFmtId="9" fontId="2" fillId="0" borderId="7" xfId="0" applyNumberFormat="1" applyFont="1" applyFill="1" applyBorder="1" applyAlignment="1">
      <alignment horizontal="center" vertical="center" wrapText="1"/>
    </xf>
    <xf numFmtId="2" fontId="9" fillId="0" borderId="7" xfId="0" applyNumberFormat="1" applyFont="1" applyFill="1" applyBorder="1" applyAlignment="1">
      <alignment horizontal="center" vertical="center" shrinkToFit="1"/>
    </xf>
    <xf numFmtId="9" fontId="2" fillId="0" borderId="7" xfId="0" applyNumberFormat="1" applyFont="1" applyFill="1" applyBorder="1" applyAlignment="1">
      <alignment vertical="center"/>
    </xf>
    <xf numFmtId="9" fontId="2" fillId="0" borderId="7" xfId="0" applyNumberFormat="1" applyFont="1" applyFill="1" applyBorder="1" applyAlignment="1">
      <alignment horizontal="center" vertical="center"/>
    </xf>
    <xf numFmtId="176" fontId="5" fillId="0" borderId="7" xfId="0" applyNumberFormat="1" applyFont="1" applyFill="1" applyBorder="1" applyAlignment="1">
      <alignment horizontal="center" vertical="center" wrapText="1"/>
    </xf>
    <xf numFmtId="0" fontId="0" fillId="0" borderId="0" xfId="0" applyFont="1" applyFill="1" applyBorder="1" applyAlignment="1">
      <alignment vertical="center"/>
    </xf>
    <xf numFmtId="177" fontId="7" fillId="0" borderId="0" xfId="65"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alignment vertical="center"/>
    </xf>
    <xf numFmtId="0" fontId="10" fillId="0" borderId="0" xfId="0" applyFont="1" applyFill="1" applyAlignment="1">
      <alignment vertical="center" wrapText="1"/>
    </xf>
    <xf numFmtId="0" fontId="10" fillId="0" borderId="0" xfId="0" applyFont="1" applyFill="1" applyAlignment="1">
      <alignment horizontal="center" vertical="center"/>
    </xf>
    <xf numFmtId="176" fontId="10" fillId="0" borderId="0" xfId="0" applyNumberFormat="1" applyFont="1" applyFill="1" applyAlignment="1">
      <alignment horizontal="center" vertical="center"/>
    </xf>
    <xf numFmtId="0" fontId="11" fillId="0" borderId="0"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horizontal="left" vertical="center" wrapText="1"/>
    </xf>
    <xf numFmtId="176" fontId="11" fillId="0" borderId="0" xfId="0" applyNumberFormat="1" applyFont="1" applyFill="1" applyBorder="1" applyAlignment="1" applyProtection="1">
      <alignment horizontal="center" vertical="center" wrapText="1"/>
    </xf>
    <xf numFmtId="176" fontId="5" fillId="0" borderId="7" xfId="0" applyNumberFormat="1" applyFont="1" applyFill="1" applyBorder="1" applyAlignment="1" applyProtection="1">
      <alignment horizontal="center" vertical="center" wrapText="1"/>
    </xf>
    <xf numFmtId="177" fontId="12" fillId="0" borderId="7" xfId="65" applyNumberFormat="1" applyFont="1" applyFill="1" applyBorder="1" applyAlignment="1">
      <alignment horizontal="left" vertical="center" wrapText="1"/>
    </xf>
    <xf numFmtId="177" fontId="12" fillId="0" borderId="7" xfId="65" applyNumberFormat="1" applyFont="1" applyFill="1" applyBorder="1" applyAlignment="1">
      <alignment horizontal="center" vertical="center" wrapText="1"/>
    </xf>
    <xf numFmtId="0" fontId="12" fillId="0" borderId="7" xfId="66" applyFont="1" applyFill="1" applyBorder="1" applyAlignment="1">
      <alignment horizontal="left" vertical="center" wrapText="1"/>
    </xf>
    <xf numFmtId="176" fontId="5" fillId="2" borderId="7" xfId="0" applyNumberFormat="1" applyFont="1" applyFill="1" applyBorder="1" applyAlignment="1" applyProtection="1">
      <alignment horizontal="center" vertical="center" wrapText="1"/>
    </xf>
    <xf numFmtId="2" fontId="13" fillId="0" borderId="7" xfId="0" applyNumberFormat="1" applyFont="1" applyFill="1" applyBorder="1" applyAlignment="1">
      <alignment horizontal="center" vertical="center" shrinkToFit="1"/>
    </xf>
    <xf numFmtId="0" fontId="5" fillId="0" borderId="7" xfId="0" applyNumberFormat="1" applyFont="1" applyFill="1" applyBorder="1" applyAlignment="1" applyProtection="1">
      <alignment horizontal="left" vertical="center" wrapText="1"/>
    </xf>
    <xf numFmtId="0" fontId="5" fillId="0" borderId="7" xfId="0" applyFont="1" applyFill="1" applyBorder="1" applyAlignment="1">
      <alignment horizontal="center" vertical="center"/>
    </xf>
    <xf numFmtId="0" fontId="5" fillId="0" borderId="7" xfId="0" applyFont="1" applyFill="1" applyBorder="1" applyAlignment="1">
      <alignment vertical="center" wrapText="1"/>
    </xf>
    <xf numFmtId="176" fontId="6" fillId="0" borderId="7" xfId="0" applyNumberFormat="1" applyFont="1" applyFill="1" applyBorder="1" applyAlignment="1" applyProtection="1">
      <alignment horizontal="center" vertical="center"/>
    </xf>
    <xf numFmtId="176" fontId="13" fillId="0" borderId="7" xfId="0" applyNumberFormat="1" applyFont="1" applyFill="1" applyBorder="1" applyAlignment="1">
      <alignment horizontal="center" vertical="center" shrinkToFit="1"/>
    </xf>
    <xf numFmtId="0" fontId="0" fillId="2" borderId="0" xfId="0" applyFont="1" applyFill="1" applyAlignment="1">
      <alignment vertical="center"/>
    </xf>
    <xf numFmtId="0" fontId="0" fillId="0" borderId="7" xfId="0" applyFont="1" applyFill="1" applyBorder="1" applyAlignment="1">
      <alignment vertical="center"/>
    </xf>
    <xf numFmtId="9" fontId="5" fillId="0" borderId="7" xfId="0" applyNumberFormat="1" applyFont="1" applyFill="1" applyBorder="1" applyAlignment="1">
      <alignment horizontal="center" vertical="center" wrapText="1"/>
    </xf>
    <xf numFmtId="0" fontId="0" fillId="0" borderId="7" xfId="0" applyFill="1" applyBorder="1" applyAlignment="1">
      <alignment vertical="center"/>
    </xf>
    <xf numFmtId="0" fontId="14" fillId="0" borderId="7" xfId="0" applyFont="1" applyFill="1" applyBorder="1" applyAlignment="1">
      <alignment vertical="center" wrapText="1"/>
    </xf>
    <xf numFmtId="176" fontId="5" fillId="0" borderId="10" xfId="0" applyNumberFormat="1" applyFont="1" applyFill="1" applyBorder="1" applyAlignment="1">
      <alignment horizontal="center" vertical="center" wrapText="1"/>
    </xf>
    <xf numFmtId="2" fontId="13" fillId="0" borderId="7" xfId="0" applyNumberFormat="1" applyFont="1" applyFill="1" applyBorder="1" applyAlignment="1">
      <alignment horizontal="center" vertical="center" wrapText="1" shrinkToFit="1"/>
    </xf>
    <xf numFmtId="0" fontId="10" fillId="0" borderId="0" xfId="0" applyFont="1" applyFill="1" applyAlignment="1">
      <alignment horizontal="center" vertical="center" wrapText="1"/>
    </xf>
    <xf numFmtId="176" fontId="0" fillId="0" borderId="0" xfId="0" applyNumberFormat="1" applyFill="1">
      <alignment vertical="center"/>
    </xf>
    <xf numFmtId="0" fontId="11" fillId="0" borderId="7" xfId="0" applyNumberFormat="1" applyFont="1" applyFill="1" applyBorder="1" applyAlignment="1" applyProtection="1">
      <alignment horizontal="center" vertical="center" wrapText="1"/>
    </xf>
    <xf numFmtId="0" fontId="11" fillId="0" borderId="7" xfId="0" applyNumberFormat="1" applyFont="1" applyFill="1" applyBorder="1" applyAlignment="1" applyProtection="1">
      <alignment horizontal="left" vertical="center" wrapText="1"/>
    </xf>
    <xf numFmtId="176" fontId="11" fillId="0" borderId="7" xfId="0" applyNumberFormat="1" applyFont="1" applyFill="1" applyBorder="1" applyAlignment="1" applyProtection="1">
      <alignment horizontal="center" vertical="center" wrapText="1"/>
    </xf>
    <xf numFmtId="0" fontId="0" fillId="0" borderId="7" xfId="0" applyFill="1" applyBorder="1" applyAlignment="1">
      <alignment horizontal="center" vertical="center"/>
    </xf>
    <xf numFmtId="176" fontId="0" fillId="0" borderId="7" xfId="0" applyNumberFormat="1" applyFill="1" applyBorder="1" applyAlignment="1">
      <alignment horizontal="center" vertical="center"/>
    </xf>
    <xf numFmtId="0" fontId="0" fillId="0" borderId="2" xfId="0" applyFill="1" applyBorder="1" applyAlignment="1">
      <alignment horizontal="center" vertical="center"/>
    </xf>
    <xf numFmtId="176" fontId="10" fillId="0" borderId="7" xfId="0" applyNumberFormat="1" applyFont="1" applyFill="1" applyBorder="1" applyAlignment="1">
      <alignment horizontal="center" vertical="center" wrapText="1"/>
    </xf>
    <xf numFmtId="176" fontId="0" fillId="0" borderId="7" xfId="0" applyNumberFormat="1" applyFont="1" applyFill="1" applyBorder="1" applyAlignment="1">
      <alignment horizontal="right" vertical="center" wrapText="1"/>
    </xf>
    <xf numFmtId="0" fontId="0" fillId="0" borderId="7" xfId="0" applyFill="1" applyBorder="1">
      <alignment vertical="center"/>
    </xf>
    <xf numFmtId="0" fontId="0" fillId="0" borderId="6" xfId="0" applyFill="1" applyBorder="1" applyAlignment="1">
      <alignment horizontal="center" vertical="center"/>
    </xf>
    <xf numFmtId="176" fontId="0" fillId="0" borderId="7" xfId="0" applyNumberFormat="1" applyFont="1" applyFill="1" applyBorder="1" applyAlignment="1">
      <alignment horizontal="center" vertical="center"/>
    </xf>
    <xf numFmtId="176" fontId="0" fillId="0" borderId="7" xfId="0" applyNumberFormat="1" applyFont="1" applyFill="1" applyBorder="1">
      <alignment vertical="center"/>
    </xf>
    <xf numFmtId="0" fontId="0" fillId="0" borderId="9" xfId="0" applyFill="1" applyBorder="1" applyAlignment="1">
      <alignment horizontal="center" vertical="center"/>
    </xf>
    <xf numFmtId="0" fontId="0" fillId="0" borderId="3" xfId="0" applyFill="1" applyBorder="1">
      <alignment vertical="center"/>
    </xf>
    <xf numFmtId="176" fontId="0" fillId="0" borderId="7" xfId="0" applyNumberFormat="1" applyFill="1" applyBorder="1">
      <alignment vertical="center"/>
    </xf>
    <xf numFmtId="0" fontId="0" fillId="0" borderId="0" xfId="0" applyFont="1" applyFill="1" applyAlignment="1">
      <alignment horizontal="center" vertical="center"/>
    </xf>
    <xf numFmtId="10" fontId="0" fillId="0" borderId="0" xfId="0" applyNumberFormat="1" applyFont="1" applyFill="1" applyAlignment="1">
      <alignment horizontal="center" vertical="center"/>
    </xf>
    <xf numFmtId="176" fontId="0" fillId="0" borderId="0" xfId="3" applyNumberFormat="1" applyFont="1" applyAlignment="1">
      <alignment horizontal="center" vertical="center"/>
    </xf>
    <xf numFmtId="0" fontId="3" fillId="0" borderId="0" xfId="0" applyFont="1" applyFill="1" applyAlignment="1">
      <alignment horizontal="center" vertical="center" wrapText="1"/>
    </xf>
    <xf numFmtId="0" fontId="15" fillId="0" borderId="0" xfId="0" applyFont="1" applyFill="1" applyAlignment="1">
      <alignment horizontal="center" vertical="center"/>
    </xf>
    <xf numFmtId="10" fontId="15" fillId="0" borderId="0" xfId="0" applyNumberFormat="1" applyFont="1" applyFill="1" applyAlignment="1">
      <alignment horizontal="center" vertical="center"/>
    </xf>
    <xf numFmtId="0" fontId="16" fillId="3" borderId="7"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1" xfId="0" applyFont="1" applyFill="1" applyBorder="1" applyAlignment="1">
      <alignment horizontal="center" vertical="center" wrapText="1"/>
    </xf>
    <xf numFmtId="10" fontId="16" fillId="3" borderId="7" xfId="0" applyNumberFormat="1"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10" xfId="0" applyFont="1" applyFill="1" applyBorder="1" applyAlignment="1">
      <alignment horizontal="center" vertical="center" wrapText="1"/>
    </xf>
    <xf numFmtId="2" fontId="17" fillId="4" borderId="7" xfId="0" applyNumberFormat="1" applyFont="1" applyFill="1" applyBorder="1" applyAlignment="1">
      <alignment horizontal="center" vertical="center"/>
    </xf>
    <xf numFmtId="0" fontId="17" fillId="4" borderId="7" xfId="0" applyFont="1" applyFill="1" applyBorder="1" applyAlignment="1">
      <alignment horizontal="center" vertical="center" wrapText="1"/>
    </xf>
    <xf numFmtId="2" fontId="17" fillId="4" borderId="7" xfId="0" applyNumberFormat="1" applyFont="1" applyFill="1" applyBorder="1" applyAlignment="1">
      <alignment horizontal="center" vertical="center" wrapText="1"/>
    </xf>
    <xf numFmtId="176" fontId="17" fillId="4" borderId="7" xfId="0" applyNumberFormat="1" applyFont="1" applyFill="1" applyBorder="1" applyAlignment="1">
      <alignment horizontal="center" vertical="center" wrapText="1"/>
    </xf>
    <xf numFmtId="0" fontId="18" fillId="0" borderId="6" xfId="0" applyFont="1" applyFill="1" applyBorder="1" applyAlignment="1">
      <alignment horizontal="center" vertical="center"/>
    </xf>
    <xf numFmtId="0" fontId="18" fillId="0" borderId="7" xfId="0" applyFont="1" applyFill="1" applyBorder="1">
      <alignment vertical="center"/>
    </xf>
    <xf numFmtId="2" fontId="17" fillId="0" borderId="7" xfId="0" applyNumberFormat="1" applyFont="1" applyFill="1" applyBorder="1" applyAlignment="1">
      <alignment horizontal="center" vertical="center"/>
    </xf>
    <xf numFmtId="0" fontId="17" fillId="0" borderId="7" xfId="0" applyFont="1" applyFill="1" applyBorder="1" applyAlignment="1">
      <alignment horizontal="center" vertical="center" wrapText="1"/>
    </xf>
    <xf numFmtId="2" fontId="17" fillId="0" borderId="7" xfId="0" applyNumberFormat="1" applyFont="1" applyFill="1" applyBorder="1" applyAlignment="1">
      <alignment horizontal="center" vertical="center" wrapText="1"/>
    </xf>
    <xf numFmtId="176" fontId="17" fillId="0" borderId="7" xfId="0" applyNumberFormat="1" applyFont="1" applyFill="1" applyBorder="1" applyAlignment="1">
      <alignment horizontal="center" vertical="center" wrapText="1"/>
    </xf>
    <xf numFmtId="0" fontId="18" fillId="0" borderId="9" xfId="0" applyFont="1" applyFill="1" applyBorder="1" applyAlignment="1">
      <alignment horizontal="center" vertical="center"/>
    </xf>
    <xf numFmtId="0" fontId="18" fillId="0" borderId="3" xfId="0" applyFont="1" applyFill="1" applyBorder="1">
      <alignment vertical="center"/>
    </xf>
    <xf numFmtId="0" fontId="19" fillId="5" borderId="7" xfId="0" applyFont="1" applyFill="1" applyBorder="1" applyAlignment="1">
      <alignment horizontal="center" vertical="center"/>
    </xf>
    <xf numFmtId="0" fontId="20" fillId="5" borderId="7" xfId="0" applyFont="1" applyFill="1" applyBorder="1" applyAlignment="1">
      <alignment horizontal="center" vertical="center" wrapText="1"/>
    </xf>
    <xf numFmtId="10" fontId="18" fillId="5" borderId="7" xfId="3" applyNumberFormat="1" applyFont="1" applyFill="1" applyBorder="1" applyAlignment="1">
      <alignment horizontal="center" vertical="center"/>
    </xf>
    <xf numFmtId="176" fontId="18" fillId="5" borderId="7" xfId="0" applyNumberFormat="1" applyFont="1" applyFill="1" applyBorder="1" applyAlignment="1">
      <alignment horizontal="center" vertical="center"/>
    </xf>
    <xf numFmtId="0" fontId="19" fillId="0" borderId="7" xfId="0" applyFont="1" applyFill="1" applyBorder="1" applyAlignment="1">
      <alignment horizontal="center" vertical="center"/>
    </xf>
    <xf numFmtId="10" fontId="18" fillId="0" borderId="7" xfId="3" applyNumberFormat="1" applyFont="1" applyBorder="1" applyAlignment="1">
      <alignment horizontal="center" vertical="center"/>
    </xf>
    <xf numFmtId="0" fontId="18" fillId="0" borderId="7" xfId="0" applyFont="1" applyFill="1" applyBorder="1" applyAlignment="1">
      <alignment horizontal="center" vertical="center"/>
    </xf>
    <xf numFmtId="0" fontId="21" fillId="0" borderId="0" xfId="0" applyFont="1" applyFill="1" applyAlignment="1">
      <alignment horizontal="left" vertical="center" wrapText="1"/>
    </xf>
    <xf numFmtId="10" fontId="21" fillId="0" borderId="0" xfId="0" applyNumberFormat="1" applyFont="1" applyFill="1" applyAlignment="1">
      <alignment horizontal="left" vertical="center" wrapText="1"/>
    </xf>
    <xf numFmtId="0" fontId="21" fillId="0" borderId="0" xfId="0" applyFont="1" applyFill="1" applyAlignment="1">
      <alignment horizontal="left" vertical="center"/>
    </xf>
    <xf numFmtId="0" fontId="7" fillId="0" borderId="0" xfId="0" applyFont="1" applyFill="1" applyAlignment="1">
      <alignment vertical="center" wrapText="1"/>
    </xf>
    <xf numFmtId="0" fontId="7" fillId="0" borderId="0" xfId="0" applyFont="1" applyFill="1" applyAlignment="1">
      <alignment vertical="center"/>
    </xf>
    <xf numFmtId="10" fontId="7" fillId="0" borderId="0" xfId="0" applyNumberFormat="1" applyFont="1" applyFill="1" applyAlignment="1">
      <alignment vertical="center"/>
    </xf>
    <xf numFmtId="0" fontId="7" fillId="0" borderId="0" xfId="0" applyFont="1" applyFill="1" applyBorder="1" applyAlignment="1">
      <alignment horizontal="center" vertical="top" wrapText="1"/>
    </xf>
    <xf numFmtId="176" fontId="15" fillId="0" borderId="0" xfId="3" applyNumberFormat="1" applyFont="1" applyAlignment="1">
      <alignment horizontal="center" vertical="center"/>
    </xf>
    <xf numFmtId="176" fontId="16" fillId="3" borderId="7" xfId="3" applyNumberFormat="1" applyFont="1" applyFill="1" applyBorder="1" applyAlignment="1">
      <alignment horizontal="center" vertical="center" wrapText="1"/>
    </xf>
    <xf numFmtId="9" fontId="17" fillId="4" borderId="7" xfId="0" applyNumberFormat="1" applyFont="1" applyFill="1" applyBorder="1" applyAlignment="1">
      <alignment horizontal="center" vertical="center" wrapText="1"/>
    </xf>
    <xf numFmtId="176" fontId="17" fillId="4" borderId="7" xfId="3" applyNumberFormat="1" applyFont="1" applyFill="1" applyBorder="1" applyAlignment="1">
      <alignment horizontal="center" vertical="center" wrapText="1"/>
    </xf>
    <xf numFmtId="10" fontId="17" fillId="4" borderId="7" xfId="0" applyNumberFormat="1" applyFont="1" applyFill="1" applyBorder="1" applyAlignment="1">
      <alignment horizontal="center" vertical="center"/>
    </xf>
    <xf numFmtId="0" fontId="22" fillId="4" borderId="7" xfId="0" applyFont="1" applyFill="1" applyBorder="1" applyAlignment="1">
      <alignment horizontal="center" vertical="center" wrapText="1"/>
    </xf>
    <xf numFmtId="176" fontId="18" fillId="0" borderId="7" xfId="0" applyNumberFormat="1" applyFont="1" applyFill="1" applyBorder="1" applyAlignment="1">
      <alignment horizontal="center" vertical="center"/>
    </xf>
    <xf numFmtId="9" fontId="17" fillId="0" borderId="7" xfId="0" applyNumberFormat="1" applyFont="1" applyFill="1" applyBorder="1" applyAlignment="1">
      <alignment horizontal="center" vertical="center" wrapText="1"/>
    </xf>
    <xf numFmtId="176" fontId="17" fillId="0" borderId="7" xfId="3" applyNumberFormat="1" applyFont="1" applyFill="1" applyBorder="1" applyAlignment="1">
      <alignment horizontal="center" vertical="center" wrapText="1"/>
    </xf>
    <xf numFmtId="10" fontId="17" fillId="0" borderId="7" xfId="0" applyNumberFormat="1" applyFont="1" applyFill="1" applyBorder="1" applyAlignment="1">
      <alignment horizontal="center" vertical="center"/>
    </xf>
    <xf numFmtId="176" fontId="17" fillId="5" borderId="7" xfId="0" applyNumberFormat="1" applyFont="1" applyFill="1" applyBorder="1" applyAlignment="1">
      <alignment horizontal="center" vertical="center" wrapText="1"/>
    </xf>
    <xf numFmtId="9" fontId="21" fillId="5" borderId="7" xfId="0" applyNumberFormat="1" applyFont="1" applyFill="1" applyBorder="1" applyAlignment="1">
      <alignment horizontal="center" vertical="center" wrapText="1"/>
    </xf>
    <xf numFmtId="10" fontId="18" fillId="5" borderId="7" xfId="0" applyNumberFormat="1" applyFont="1" applyFill="1" applyBorder="1" applyAlignment="1">
      <alignment horizontal="center" vertical="center"/>
    </xf>
    <xf numFmtId="176" fontId="18" fillId="5" borderId="7" xfId="0" applyNumberFormat="1" applyFont="1" applyFill="1" applyBorder="1" applyAlignment="1">
      <alignment horizontal="center" vertical="center" wrapText="1"/>
    </xf>
    <xf numFmtId="0" fontId="18" fillId="5" borderId="7" xfId="0" applyFont="1" applyFill="1" applyBorder="1" applyAlignment="1">
      <alignment horizontal="center" vertical="center"/>
    </xf>
    <xf numFmtId="176" fontId="18" fillId="0" borderId="7" xfId="3" applyNumberFormat="1" applyFont="1" applyBorder="1" applyAlignment="1">
      <alignment horizontal="center" vertical="center"/>
    </xf>
    <xf numFmtId="10" fontId="18" fillId="0" borderId="7" xfId="0" applyNumberFormat="1" applyFont="1" applyFill="1" applyBorder="1" applyAlignment="1">
      <alignment horizontal="center" vertical="center"/>
    </xf>
    <xf numFmtId="0" fontId="18" fillId="0" borderId="7" xfId="0" applyFont="1" applyFill="1" applyBorder="1" applyAlignment="1">
      <alignment horizontal="center" vertical="center" wrapText="1"/>
    </xf>
    <xf numFmtId="176" fontId="21" fillId="0" borderId="0" xfId="3" applyNumberFormat="1" applyFont="1" applyAlignment="1">
      <alignment horizontal="left" vertical="center" wrapText="1"/>
    </xf>
    <xf numFmtId="0" fontId="7" fillId="0" borderId="0" xfId="0" applyFont="1" applyFill="1" applyAlignment="1">
      <alignment horizontal="center" vertical="top"/>
    </xf>
    <xf numFmtId="176" fontId="7" fillId="0" borderId="0" xfId="3" applyNumberFormat="1" applyFont="1" applyFill="1" applyAlignment="1">
      <alignment horizontal="center" vertical="top"/>
    </xf>
    <xf numFmtId="10" fontId="7" fillId="0" borderId="0" xfId="0" applyNumberFormat="1" applyFont="1" applyFill="1" applyAlignment="1">
      <alignment horizontal="center" vertical="top" wrapText="1"/>
    </xf>
    <xf numFmtId="0" fontId="7" fillId="0" borderId="0" xfId="0" applyFont="1" applyFill="1" applyAlignment="1">
      <alignment horizontal="center" vertical="top" wrapText="1"/>
    </xf>
    <xf numFmtId="176" fontId="7" fillId="0" borderId="0" xfId="3" applyNumberFormat="1" applyFont="1" applyFill="1" applyAlignment="1">
      <alignment vertical="center"/>
    </xf>
  </cellXfs>
  <cellStyles count="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5 2" xfId="50"/>
    <cellStyle name="常规 3 2 2" xfId="51"/>
    <cellStyle name="3232 2" xfId="52"/>
    <cellStyle name="常规 7 2" xfId="53"/>
    <cellStyle name="常规 53" xfId="54"/>
    <cellStyle name="常规 3 2" xfId="55"/>
    <cellStyle name="常规 3 3" xfId="56"/>
    <cellStyle name="常规 53 2" xfId="57"/>
    <cellStyle name="3232" xfId="58"/>
    <cellStyle name="常规 2" xfId="59"/>
    <cellStyle name="表体数字 3 2 6 5 3 2" xfId="60"/>
    <cellStyle name="常规 3" xfId="61"/>
    <cellStyle name="常规 4" xfId="62"/>
    <cellStyle name="常规 5" xfId="63"/>
    <cellStyle name="常规 7" xfId="64"/>
    <cellStyle name="常规_金域蓝湾二期B6交楼标准测算500标准（090401唐文调整版）" xfId="65"/>
    <cellStyle name="常规_金色B8西户型装修费用080616" xfId="66"/>
    <cellStyle name="表体数字 3 2 6 6" xfId="67"/>
    <cellStyle name="常规 144 4" xfId="68"/>
    <cellStyle name="常规 10" xfId="69"/>
    <cellStyle name="?餑_x005f_x005f_x005f_x000c_睨_x005f_x005f_x005f_x0017__x005f_x005f_x005f_x000d_帼U_x005f_x005f_x005f_x0001_0_x005f_x005f_x005f_x0005_j'_x005f_x005f_x005f_x0007__x005f_x005f_x005f_x0001__x005f_x005f_x005f_x0001_ 3" xfId="70"/>
    <cellStyle name="常规 11" xfId="71"/>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5947;&#21457;\16#\16#&#21806;&#27004;&#37096;&#38472;&#38745;&#38686;&#20132;&#25509;\2.&#30333;&#40557;&#22253;16&#21495;&#38498;&#39033;&#30446;&#21806;&#27004;&#37096;+&#26679;&#26495;&#38388;\1.&#21512;&#21516;&#21450;&#21512;&#21516;&#28165;&#21333;\1&#12289;&#23460;&#20869;&#30828;&#35013;\&#28207;&#21306;16&#21495;&#22320;&#22359;&#30333;&#40557;&#22253;&#26149;&#26195;&#21806;&#27004;&#37096;&#35013;&#39280;&#35013;&#20462;&#24037;&#31243;-&#25307;&#26631;&#28165;&#21333;2015-5-2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0封面"/>
      <sheetName val="1编制说明"/>
      <sheetName val="2工程造价汇总表"/>
      <sheetName val="3一层售楼部硬装"/>
      <sheetName val="4二层办公司硬装"/>
      <sheetName val="5主要材料清单"/>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0"/>
  <sheetViews>
    <sheetView tabSelected="1" workbookViewId="0">
      <selection activeCell="P19" sqref="P19:P20"/>
    </sheetView>
  </sheetViews>
  <sheetFormatPr defaultColWidth="9" defaultRowHeight="13.5"/>
  <cols>
    <col min="1" max="1" width="3.875" style="99" customWidth="1"/>
    <col min="2" max="2" width="7.125" style="99" hidden="1" customWidth="1"/>
    <col min="3" max="3" width="10.875" style="99" customWidth="1"/>
    <col min="4" max="4" width="13.625" style="99" customWidth="1"/>
    <col min="5" max="6" width="6.375" style="99" customWidth="1"/>
    <col min="7" max="7" width="8.5" style="100" customWidth="1"/>
    <col min="8" max="8" width="10.75" style="99" customWidth="1"/>
    <col min="9" max="9" width="11" style="99" customWidth="1"/>
    <col min="10" max="10" width="8.375" style="99" customWidth="1"/>
    <col min="11" max="11" width="13.5" style="99" customWidth="1"/>
    <col min="12" max="12" width="9.25" style="101" customWidth="1"/>
    <col min="13" max="13" width="7.5" style="100" customWidth="1"/>
    <col min="14" max="14" width="9.25" style="99" customWidth="1"/>
    <col min="15" max="15" width="9" style="99" customWidth="1"/>
    <col min="16" max="16" width="8.5" style="99" customWidth="1"/>
    <col min="17" max="17" width="12.625" style="99"/>
    <col min="18" max="18" width="9" style="99"/>
    <col min="19" max="20" width="12.625" style="99"/>
    <col min="21" max="16384" width="9" style="99"/>
  </cols>
  <sheetData>
    <row r="1" s="99" customFormat="1" ht="21" customHeight="1" spans="1:16">
      <c r="A1" s="102" t="s">
        <v>0</v>
      </c>
      <c r="B1" s="103"/>
      <c r="C1" s="103"/>
      <c r="D1" s="103"/>
      <c r="E1" s="103"/>
      <c r="F1" s="103"/>
      <c r="G1" s="104"/>
      <c r="H1" s="103"/>
      <c r="I1" s="103"/>
      <c r="J1" s="103"/>
      <c r="K1" s="103"/>
      <c r="L1" s="140"/>
      <c r="M1" s="104"/>
      <c r="N1" s="103"/>
      <c r="O1" s="103"/>
      <c r="P1" s="103"/>
    </row>
    <row r="2" s="99" customFormat="1" ht="15" customHeight="1" spans="1:16">
      <c r="A2" s="105" t="s">
        <v>1</v>
      </c>
      <c r="B2" s="106" t="s">
        <v>2</v>
      </c>
      <c r="C2" s="107"/>
      <c r="D2" s="105" t="s">
        <v>3</v>
      </c>
      <c r="E2" s="105" t="s">
        <v>4</v>
      </c>
      <c r="F2" s="105" t="s">
        <v>5</v>
      </c>
      <c r="G2" s="108" t="s">
        <v>6</v>
      </c>
      <c r="H2" s="105"/>
      <c r="I2" s="105" t="s">
        <v>7</v>
      </c>
      <c r="J2" s="105"/>
      <c r="K2" s="105"/>
      <c r="L2" s="141" t="s">
        <v>8</v>
      </c>
      <c r="M2" s="108"/>
      <c r="N2" s="105" t="s">
        <v>9</v>
      </c>
      <c r="O2" s="105" t="s">
        <v>10</v>
      </c>
      <c r="P2" s="105" t="s">
        <v>11</v>
      </c>
    </row>
    <row r="3" s="99" customFormat="1" ht="25" customHeight="1" spans="1:16">
      <c r="A3" s="105"/>
      <c r="B3" s="109"/>
      <c r="C3" s="110"/>
      <c r="D3" s="105"/>
      <c r="E3" s="105"/>
      <c r="F3" s="105"/>
      <c r="G3" s="108" t="s">
        <v>12</v>
      </c>
      <c r="H3" s="105" t="s">
        <v>13</v>
      </c>
      <c r="I3" s="105" t="s">
        <v>14</v>
      </c>
      <c r="J3" s="105" t="s">
        <v>15</v>
      </c>
      <c r="K3" s="105" t="s">
        <v>16</v>
      </c>
      <c r="L3" s="141" t="s">
        <v>17</v>
      </c>
      <c r="M3" s="108" t="s">
        <v>18</v>
      </c>
      <c r="N3" s="105"/>
      <c r="O3" s="105"/>
      <c r="P3" s="105"/>
    </row>
    <row r="4" s="99" customFormat="1" ht="30" customHeight="1" spans="1:16">
      <c r="A4" s="111"/>
      <c r="B4" s="112"/>
      <c r="C4" s="113"/>
      <c r="D4" s="114" t="s">
        <v>19</v>
      </c>
      <c r="E4" s="115" t="s">
        <v>20</v>
      </c>
      <c r="F4" s="115" t="s">
        <v>20</v>
      </c>
      <c r="G4" s="116" t="s">
        <v>21</v>
      </c>
      <c r="H4" s="117" t="s">
        <v>22</v>
      </c>
      <c r="I4" s="116" t="s">
        <v>23</v>
      </c>
      <c r="J4" s="142" t="s">
        <v>24</v>
      </c>
      <c r="K4" s="117" t="s">
        <v>25</v>
      </c>
      <c r="L4" s="143" t="s">
        <v>26</v>
      </c>
      <c r="M4" s="144" t="s">
        <v>27</v>
      </c>
      <c r="N4" s="117" t="s">
        <v>28</v>
      </c>
      <c r="O4" s="117" t="s">
        <v>29</v>
      </c>
      <c r="P4" s="145" t="s">
        <v>30</v>
      </c>
    </row>
    <row r="5" s="99" customFormat="1" ht="12" customHeight="1" spans="1:16">
      <c r="A5" s="118"/>
      <c r="B5" s="118"/>
      <c r="C5" s="119" t="s">
        <v>31</v>
      </c>
      <c r="D5" s="120">
        <v>108770.400765</v>
      </c>
      <c r="E5" s="121"/>
      <c r="F5" s="121"/>
      <c r="G5" s="122"/>
      <c r="H5" s="123">
        <v>3714.55365653462</v>
      </c>
      <c r="I5" s="146">
        <f>(汇总表!F4)*0.9984595</f>
        <v>23859.3024532398</v>
      </c>
      <c r="J5" s="147">
        <v>0.8</v>
      </c>
      <c r="K5" s="123">
        <f>I5*J5</f>
        <v>19087.4419625919</v>
      </c>
      <c r="L5" s="148"/>
      <c r="M5" s="149"/>
      <c r="N5" s="123"/>
      <c r="O5" s="123"/>
      <c r="P5" s="122"/>
    </row>
    <row r="6" s="99" customFormat="1" ht="12" customHeight="1" spans="1:16">
      <c r="A6" s="118"/>
      <c r="B6" s="118"/>
      <c r="C6" s="119" t="s">
        <v>32</v>
      </c>
      <c r="D6" s="120">
        <v>62647.505622</v>
      </c>
      <c r="E6" s="121"/>
      <c r="F6" s="121"/>
      <c r="G6" s="122"/>
      <c r="H6" s="123">
        <v>50040.7977116715</v>
      </c>
      <c r="I6" s="146">
        <f>(汇总表!F5)*0.9984595</f>
        <v>0</v>
      </c>
      <c r="J6" s="147">
        <v>0.8</v>
      </c>
      <c r="K6" s="123">
        <f t="shared" ref="K5:K16" si="0">I6*J6</f>
        <v>0</v>
      </c>
      <c r="L6" s="148"/>
      <c r="M6" s="149"/>
      <c r="N6" s="123"/>
      <c r="O6" s="123"/>
      <c r="P6" s="122"/>
    </row>
    <row r="7" s="99" customFormat="1" ht="12" customHeight="1" spans="1:16">
      <c r="A7" s="118"/>
      <c r="B7" s="118"/>
      <c r="C7" s="119" t="s">
        <v>33</v>
      </c>
      <c r="D7" s="120">
        <v>359464.8333393</v>
      </c>
      <c r="E7" s="121"/>
      <c r="F7" s="121"/>
      <c r="G7" s="122"/>
      <c r="H7" s="123">
        <v>0</v>
      </c>
      <c r="I7" s="146">
        <f>(汇总表!F6)*0.9984595</f>
        <v>95900.2790291082</v>
      </c>
      <c r="J7" s="147">
        <v>0.8</v>
      </c>
      <c r="K7" s="123">
        <f t="shared" si="0"/>
        <v>76720.2232232865</v>
      </c>
      <c r="L7" s="148"/>
      <c r="M7" s="149"/>
      <c r="N7" s="123"/>
      <c r="O7" s="123"/>
      <c r="P7" s="122"/>
    </row>
    <row r="8" s="99" customFormat="1" ht="12" customHeight="1" spans="1:16">
      <c r="A8" s="118"/>
      <c r="B8" s="118"/>
      <c r="C8" s="119" t="s">
        <v>34</v>
      </c>
      <c r="D8" s="120">
        <v>56796.909912</v>
      </c>
      <c r="E8" s="121"/>
      <c r="F8" s="121"/>
      <c r="G8" s="122"/>
      <c r="H8" s="123">
        <v>0</v>
      </c>
      <c r="I8" s="146">
        <f>(汇总表!F7)*0.998459501232081</f>
        <v>44441.513386887</v>
      </c>
      <c r="J8" s="147">
        <v>0.8</v>
      </c>
      <c r="K8" s="123">
        <f t="shared" si="0"/>
        <v>35553.2107095096</v>
      </c>
      <c r="L8" s="148"/>
      <c r="M8" s="149"/>
      <c r="N8" s="123"/>
      <c r="O8" s="123"/>
      <c r="P8" s="122"/>
    </row>
    <row r="9" s="99" customFormat="1" ht="12" customHeight="1" spans="1:16">
      <c r="A9" s="118"/>
      <c r="B9" s="118"/>
      <c r="C9" s="119" t="s">
        <v>35</v>
      </c>
      <c r="D9" s="120">
        <v>8671.769898</v>
      </c>
      <c r="E9" s="121"/>
      <c r="F9" s="121"/>
      <c r="G9" s="122"/>
      <c r="H9" s="123">
        <v>0</v>
      </c>
      <c r="I9" s="146">
        <f>汇总表!F8*0.998459501232081</f>
        <v>7636.08596754212</v>
      </c>
      <c r="J9" s="147">
        <v>0.8</v>
      </c>
      <c r="K9" s="123">
        <f t="shared" si="0"/>
        <v>6108.8687740337</v>
      </c>
      <c r="L9" s="148"/>
      <c r="M9" s="149"/>
      <c r="N9" s="123"/>
      <c r="O9" s="123"/>
      <c r="P9" s="122"/>
    </row>
    <row r="10" s="99" customFormat="1" ht="12" customHeight="1" spans="1:16">
      <c r="A10" s="124"/>
      <c r="B10" s="124"/>
      <c r="C10" s="119" t="s">
        <v>36</v>
      </c>
      <c r="D10" s="120">
        <v>254667.34741539</v>
      </c>
      <c r="E10" s="121"/>
      <c r="F10" s="121"/>
      <c r="G10" s="122"/>
      <c r="H10" s="123">
        <v>54301.7545620167</v>
      </c>
      <c r="I10" s="146">
        <f>(汇总表!F9)*0.998459501232081</f>
        <v>0</v>
      </c>
      <c r="J10" s="147">
        <v>0.8</v>
      </c>
      <c r="K10" s="123">
        <f t="shared" si="0"/>
        <v>0</v>
      </c>
      <c r="L10" s="148"/>
      <c r="M10" s="149"/>
      <c r="N10" s="123"/>
      <c r="O10" s="123"/>
      <c r="P10" s="122"/>
    </row>
    <row r="11" s="99" customFormat="1" ht="12" customHeight="1" spans="1:16">
      <c r="A11" s="118"/>
      <c r="B11" s="118"/>
      <c r="C11" s="119" t="s">
        <v>31</v>
      </c>
      <c r="D11" s="120">
        <v>71561.737845</v>
      </c>
      <c r="E11" s="121"/>
      <c r="F11" s="121"/>
      <c r="G11" s="122"/>
      <c r="H11" s="123">
        <v>2469.65947873435</v>
      </c>
      <c r="I11" s="146">
        <f>(汇总表!F11)*0.998459501232081</f>
        <v>18669.4208292744</v>
      </c>
      <c r="J11" s="147">
        <v>0.8</v>
      </c>
      <c r="K11" s="123">
        <f t="shared" si="0"/>
        <v>14935.5366634195</v>
      </c>
      <c r="L11" s="148"/>
      <c r="M11" s="149"/>
      <c r="N11" s="123"/>
      <c r="O11" s="123"/>
      <c r="P11" s="122"/>
    </row>
    <row r="12" s="99" customFormat="1" ht="12" customHeight="1" spans="1:16">
      <c r="A12" s="118"/>
      <c r="B12" s="118"/>
      <c r="C12" s="119" t="s">
        <v>32</v>
      </c>
      <c r="D12" s="120">
        <v>31764.186168</v>
      </c>
      <c r="E12" s="121"/>
      <c r="F12" s="121"/>
      <c r="G12" s="122"/>
      <c r="H12" s="123">
        <v>25372.2027826754</v>
      </c>
      <c r="I12" s="146">
        <f>(汇总表!F12)*0.998459501232081</f>
        <v>0</v>
      </c>
      <c r="J12" s="147">
        <v>0.8</v>
      </c>
      <c r="K12" s="123">
        <f t="shared" si="0"/>
        <v>0</v>
      </c>
      <c r="L12" s="148"/>
      <c r="M12" s="149"/>
      <c r="N12" s="123"/>
      <c r="O12" s="123"/>
      <c r="P12" s="122"/>
    </row>
    <row r="13" s="99" customFormat="1" ht="12" customHeight="1" spans="1:16">
      <c r="A13" s="118"/>
      <c r="B13" s="118"/>
      <c r="C13" s="119" t="s">
        <v>33</v>
      </c>
      <c r="D13" s="120">
        <v>305567.8007928</v>
      </c>
      <c r="E13" s="121"/>
      <c r="F13" s="121"/>
      <c r="G13" s="122"/>
      <c r="H13" s="123">
        <v>0</v>
      </c>
      <c r="I13" s="146">
        <f>(汇总表!F13)*0.998459501232081</f>
        <v>68277.2136837046</v>
      </c>
      <c r="J13" s="147">
        <v>0.8</v>
      </c>
      <c r="K13" s="123">
        <f t="shared" si="0"/>
        <v>54621.7709469637</v>
      </c>
      <c r="L13" s="148"/>
      <c r="M13" s="149"/>
      <c r="N13" s="123"/>
      <c r="O13" s="123"/>
      <c r="P13" s="122"/>
    </row>
    <row r="14" s="99" customFormat="1" ht="12" customHeight="1" spans="1:16">
      <c r="A14" s="118"/>
      <c r="B14" s="118"/>
      <c r="C14" s="119" t="s">
        <v>34</v>
      </c>
      <c r="D14" s="120">
        <v>32823.726336</v>
      </c>
      <c r="E14" s="121"/>
      <c r="F14" s="121"/>
      <c r="G14" s="122"/>
      <c r="H14" s="123">
        <v>0</v>
      </c>
      <c r="I14" s="146">
        <f>(汇总表!F14)*0.998459501232081</f>
        <v>22693.8301799204</v>
      </c>
      <c r="J14" s="147">
        <v>0.8</v>
      </c>
      <c r="K14" s="123">
        <f t="shared" si="0"/>
        <v>18155.0641439363</v>
      </c>
      <c r="L14" s="148"/>
      <c r="M14" s="149"/>
      <c r="N14" s="123"/>
      <c r="O14" s="123"/>
      <c r="P14" s="122"/>
    </row>
    <row r="15" s="99" customFormat="1" ht="12" customHeight="1" spans="1:16">
      <c r="A15" s="118"/>
      <c r="B15" s="118"/>
      <c r="C15" s="119" t="s">
        <v>35</v>
      </c>
      <c r="D15" s="120">
        <v>4735.79712</v>
      </c>
      <c r="E15" s="121"/>
      <c r="F15" s="121"/>
      <c r="G15" s="122"/>
      <c r="H15" s="123">
        <v>0</v>
      </c>
      <c r="I15" s="146">
        <f>(汇总表!F15)*0.998459501232081</f>
        <v>4728.50163037153</v>
      </c>
      <c r="J15" s="147">
        <v>0.8</v>
      </c>
      <c r="K15" s="123">
        <f t="shared" si="0"/>
        <v>3782.80130429722</v>
      </c>
      <c r="L15" s="148"/>
      <c r="M15" s="149"/>
      <c r="N15" s="123"/>
      <c r="O15" s="123"/>
      <c r="P15" s="122"/>
    </row>
    <row r="16" s="99" customFormat="1" ht="12" customHeight="1" spans="1:16">
      <c r="A16" s="124"/>
      <c r="B16" s="124"/>
      <c r="C16" s="119" t="s">
        <v>36</v>
      </c>
      <c r="D16" s="120">
        <v>232419.49567317</v>
      </c>
      <c r="E16" s="121"/>
      <c r="F16" s="121"/>
      <c r="G16" s="122"/>
      <c r="H16" s="123">
        <v>42305.6881579815</v>
      </c>
      <c r="I16" s="146">
        <f>(汇总表!F16)*0.998459501232081</f>
        <v>0</v>
      </c>
      <c r="J16" s="147">
        <v>0.8</v>
      </c>
      <c r="K16" s="123">
        <f t="shared" si="0"/>
        <v>0</v>
      </c>
      <c r="L16" s="148"/>
      <c r="M16" s="149"/>
      <c r="N16" s="123"/>
      <c r="O16" s="123"/>
      <c r="P16" s="122"/>
    </row>
    <row r="17" s="99" customFormat="1" ht="12" customHeight="1" spans="1:16">
      <c r="A17" s="118"/>
      <c r="B17" s="118"/>
      <c r="C17" s="119" t="s">
        <v>31</v>
      </c>
      <c r="D17" s="120">
        <v>143123.47569</v>
      </c>
      <c r="E17" s="121"/>
      <c r="F17" s="121"/>
      <c r="G17" s="122"/>
      <c r="H17" s="123">
        <v>4939.3189574687</v>
      </c>
      <c r="I17" s="146">
        <f>(汇总表!F18)*0.998459501232081</f>
        <v>37338.8416585487</v>
      </c>
      <c r="J17" s="147">
        <v>0.8</v>
      </c>
      <c r="K17" s="123">
        <f t="shared" ref="K17:K36" si="1">I17*J17</f>
        <v>29871.073326839</v>
      </c>
      <c r="L17" s="148"/>
      <c r="M17" s="149"/>
      <c r="N17" s="123"/>
      <c r="O17" s="123"/>
      <c r="P17" s="122"/>
    </row>
    <row r="18" s="99" customFormat="1" ht="12" customHeight="1" spans="1:16">
      <c r="A18" s="118"/>
      <c r="B18" s="118"/>
      <c r="C18" s="119" t="s">
        <v>32</v>
      </c>
      <c r="D18" s="120">
        <v>63528.372336</v>
      </c>
      <c r="E18" s="121"/>
      <c r="F18" s="121"/>
      <c r="G18" s="122"/>
      <c r="H18" s="123">
        <v>50744.4055653508</v>
      </c>
      <c r="I18" s="146">
        <f>(汇总表!F19)*0.998459501232081</f>
        <v>0</v>
      </c>
      <c r="J18" s="147">
        <v>0.8</v>
      </c>
      <c r="K18" s="123">
        <f t="shared" si="1"/>
        <v>0</v>
      </c>
      <c r="L18" s="148"/>
      <c r="M18" s="149"/>
      <c r="N18" s="123"/>
      <c r="O18" s="123"/>
      <c r="P18" s="122"/>
    </row>
    <row r="19" s="99" customFormat="1" ht="12" customHeight="1" spans="1:16">
      <c r="A19" s="118"/>
      <c r="B19" s="118"/>
      <c r="C19" s="119" t="s">
        <v>33</v>
      </c>
      <c r="D19" s="120">
        <v>596946.7498176</v>
      </c>
      <c r="E19" s="121"/>
      <c r="F19" s="121"/>
      <c r="G19" s="122"/>
      <c r="H19" s="123">
        <v>0</v>
      </c>
      <c r="I19" s="146">
        <f>(汇总表!F20)*0.998459501232081</f>
        <v>109350.624987</v>
      </c>
      <c r="J19" s="147">
        <v>0.8</v>
      </c>
      <c r="K19" s="123">
        <f t="shared" si="1"/>
        <v>87480.4999895997</v>
      </c>
      <c r="L19" s="148"/>
      <c r="M19" s="149"/>
      <c r="N19" s="123"/>
      <c r="O19" s="123"/>
      <c r="P19" s="122"/>
    </row>
    <row r="20" s="99" customFormat="1" ht="12" customHeight="1" spans="1:16">
      <c r="A20" s="118"/>
      <c r="B20" s="118"/>
      <c r="C20" s="119" t="s">
        <v>34</v>
      </c>
      <c r="D20" s="120">
        <v>65647.452672</v>
      </c>
      <c r="E20" s="121"/>
      <c r="F20" s="121"/>
      <c r="G20" s="122"/>
      <c r="H20" s="123">
        <v>0</v>
      </c>
      <c r="I20" s="146">
        <f>(汇总表!F21)*0.998459501232081</f>
        <v>45387.6603598408</v>
      </c>
      <c r="J20" s="147">
        <v>0.8</v>
      </c>
      <c r="K20" s="123">
        <f t="shared" si="1"/>
        <v>36310.1282878726</v>
      </c>
      <c r="L20" s="148"/>
      <c r="M20" s="149"/>
      <c r="N20" s="123"/>
      <c r="O20" s="123"/>
      <c r="P20" s="122"/>
    </row>
    <row r="21" s="99" customFormat="1" ht="12" customHeight="1" spans="1:16">
      <c r="A21" s="118"/>
      <c r="B21" s="118"/>
      <c r="C21" s="119" t="s">
        <v>35</v>
      </c>
      <c r="D21" s="120">
        <v>9471.59424</v>
      </c>
      <c r="E21" s="121"/>
      <c r="F21" s="121"/>
      <c r="G21" s="122"/>
      <c r="H21" s="123">
        <v>0</v>
      </c>
      <c r="I21" s="146">
        <f>(汇总表!F22)*0.998459501232081</f>
        <v>7777.1147197263</v>
      </c>
      <c r="J21" s="147">
        <v>0.8</v>
      </c>
      <c r="K21" s="123">
        <f t="shared" si="1"/>
        <v>6221.69177578104</v>
      </c>
      <c r="L21" s="148"/>
      <c r="M21" s="149"/>
      <c r="N21" s="123"/>
      <c r="O21" s="123"/>
      <c r="P21" s="122"/>
    </row>
    <row r="22" s="99" customFormat="1" ht="12" customHeight="1" spans="1:16">
      <c r="A22" s="124"/>
      <c r="B22" s="124"/>
      <c r="C22" s="125" t="s">
        <v>36</v>
      </c>
      <c r="D22" s="120">
        <v>464838.99134634</v>
      </c>
      <c r="E22" s="121"/>
      <c r="F22" s="121"/>
      <c r="G22" s="122"/>
      <c r="H22" s="123">
        <v>84611.3763159631</v>
      </c>
      <c r="I22" s="146">
        <f>(汇总表!F23)*0.998459501232081</f>
        <v>0</v>
      </c>
      <c r="J22" s="147">
        <v>0.8</v>
      </c>
      <c r="K22" s="123">
        <f t="shared" si="1"/>
        <v>0</v>
      </c>
      <c r="L22" s="148"/>
      <c r="M22" s="149"/>
      <c r="N22" s="123"/>
      <c r="O22" s="123"/>
      <c r="P22" s="122"/>
    </row>
    <row r="23" s="99" customFormat="1" ht="12" customHeight="1" spans="1:16">
      <c r="A23" s="118"/>
      <c r="B23" s="118"/>
      <c r="C23" s="125" t="s">
        <v>31</v>
      </c>
      <c r="D23" s="120">
        <v>71561.737845</v>
      </c>
      <c r="E23" s="121"/>
      <c r="F23" s="121"/>
      <c r="G23" s="122"/>
      <c r="H23" s="123">
        <v>2469.65947873435</v>
      </c>
      <c r="I23" s="146">
        <f>(汇总表!F25)*0.998459501232081</f>
        <v>18669.4208292744</v>
      </c>
      <c r="J23" s="147">
        <v>0.8</v>
      </c>
      <c r="K23" s="123">
        <f t="shared" si="1"/>
        <v>14935.5366634195</v>
      </c>
      <c r="L23" s="148"/>
      <c r="M23" s="149"/>
      <c r="N23" s="123"/>
      <c r="O23" s="123"/>
      <c r="P23" s="122"/>
    </row>
    <row r="24" s="99" customFormat="1" ht="12" customHeight="1" spans="1:16">
      <c r="A24" s="118"/>
      <c r="B24" s="118"/>
      <c r="C24" s="125" t="s">
        <v>32</v>
      </c>
      <c r="D24" s="120">
        <v>31764.186168</v>
      </c>
      <c r="E24" s="121"/>
      <c r="F24" s="121"/>
      <c r="G24" s="122"/>
      <c r="H24" s="123">
        <v>25372.2027826754</v>
      </c>
      <c r="I24" s="146">
        <f>(汇总表!F26)*0.998459501232081</f>
        <v>0</v>
      </c>
      <c r="J24" s="147">
        <v>0.8</v>
      </c>
      <c r="K24" s="123">
        <f t="shared" si="1"/>
        <v>0</v>
      </c>
      <c r="L24" s="148"/>
      <c r="M24" s="149"/>
      <c r="N24" s="123"/>
      <c r="O24" s="123"/>
      <c r="P24" s="122"/>
    </row>
    <row r="25" s="99" customFormat="1" ht="12" customHeight="1" spans="1:16">
      <c r="A25" s="118"/>
      <c r="B25" s="118"/>
      <c r="C25" s="125" t="s">
        <v>33</v>
      </c>
      <c r="D25" s="120">
        <v>298094.4067608</v>
      </c>
      <c r="E25" s="121"/>
      <c r="F25" s="121"/>
      <c r="G25" s="122"/>
      <c r="H25" s="123">
        <v>0</v>
      </c>
      <c r="I25" s="146">
        <f>(汇总表!F27)*0.998459501232081</f>
        <v>70191.3933267049</v>
      </c>
      <c r="J25" s="147">
        <v>0.8</v>
      </c>
      <c r="K25" s="123">
        <f t="shared" si="1"/>
        <v>56153.1146613639</v>
      </c>
      <c r="L25" s="148"/>
      <c r="M25" s="149"/>
      <c r="N25" s="123"/>
      <c r="O25" s="123"/>
      <c r="P25" s="122"/>
    </row>
    <row r="26" s="99" customFormat="1" ht="12" customHeight="1" spans="1:16">
      <c r="A26" s="118"/>
      <c r="B26" s="118"/>
      <c r="C26" s="125" t="s">
        <v>34</v>
      </c>
      <c r="D26" s="120">
        <v>32823.726336</v>
      </c>
      <c r="E26" s="121"/>
      <c r="F26" s="121"/>
      <c r="G26" s="122"/>
      <c r="H26" s="123">
        <v>0</v>
      </c>
      <c r="I26" s="146">
        <f>(汇总表!F28)*0.998459501232081</f>
        <v>22693.8301799204</v>
      </c>
      <c r="J26" s="147">
        <v>0.8</v>
      </c>
      <c r="K26" s="123">
        <f t="shared" si="1"/>
        <v>18155.0641439363</v>
      </c>
      <c r="L26" s="148"/>
      <c r="M26" s="149"/>
      <c r="N26" s="123"/>
      <c r="O26" s="123"/>
      <c r="P26" s="122"/>
    </row>
    <row r="27" s="99" customFormat="1" ht="12" customHeight="1" spans="1:16">
      <c r="A27" s="118"/>
      <c r="B27" s="118"/>
      <c r="C27" s="125" t="s">
        <v>35</v>
      </c>
      <c r="D27" s="120">
        <v>4735.79712</v>
      </c>
      <c r="E27" s="121"/>
      <c r="F27" s="121"/>
      <c r="G27" s="122"/>
      <c r="H27" s="123">
        <v>0</v>
      </c>
      <c r="I27" s="146">
        <f>(汇总表!F29)*0.998459501232081</f>
        <v>3888.55735986315</v>
      </c>
      <c r="J27" s="147">
        <v>0.8</v>
      </c>
      <c r="K27" s="123">
        <f t="shared" si="1"/>
        <v>3110.84588789052</v>
      </c>
      <c r="L27" s="148"/>
      <c r="M27" s="149"/>
      <c r="N27" s="123"/>
      <c r="O27" s="123"/>
      <c r="P27" s="122"/>
    </row>
    <row r="28" s="99" customFormat="1" ht="12" customHeight="1" spans="1:16">
      <c r="A28" s="124"/>
      <c r="B28" s="124"/>
      <c r="C28" s="125" t="s">
        <v>36</v>
      </c>
      <c r="D28" s="120">
        <v>232419.49567317</v>
      </c>
      <c r="E28" s="121"/>
      <c r="F28" s="121"/>
      <c r="G28" s="122"/>
      <c r="H28" s="123">
        <v>42305.6881579815</v>
      </c>
      <c r="I28" s="146">
        <f>(汇总表!F30)*0.998459501232081</f>
        <v>0</v>
      </c>
      <c r="J28" s="147">
        <v>0.8</v>
      </c>
      <c r="K28" s="123">
        <f t="shared" si="1"/>
        <v>0</v>
      </c>
      <c r="L28" s="148"/>
      <c r="M28" s="149"/>
      <c r="N28" s="123"/>
      <c r="O28" s="123"/>
      <c r="P28" s="122"/>
    </row>
    <row r="29" s="99" customFormat="1" ht="12" customHeight="1" spans="1:16">
      <c r="A29" s="118"/>
      <c r="B29" s="118"/>
      <c r="C29" s="125" t="s">
        <v>31</v>
      </c>
      <c r="D29" s="120">
        <v>99699.799758</v>
      </c>
      <c r="E29" s="121"/>
      <c r="F29" s="121"/>
      <c r="G29" s="122"/>
      <c r="H29" s="123">
        <v>4219.32418780633</v>
      </c>
      <c r="I29" s="146">
        <f>(汇总表!F32)*0.998459501232081</f>
        <v>16750.6847677609</v>
      </c>
      <c r="J29" s="147">
        <v>0.8</v>
      </c>
      <c r="K29" s="123">
        <f t="shared" si="1"/>
        <v>13400.5478142088</v>
      </c>
      <c r="L29" s="148"/>
      <c r="M29" s="149"/>
      <c r="N29" s="123"/>
      <c r="O29" s="123"/>
      <c r="P29" s="122"/>
    </row>
    <row r="30" s="99" customFormat="1" ht="12" customHeight="1" spans="1:16">
      <c r="A30" s="118"/>
      <c r="B30" s="118"/>
      <c r="C30" s="125" t="s">
        <v>32</v>
      </c>
      <c r="D30" s="120">
        <v>59912.182668</v>
      </c>
      <c r="E30" s="121"/>
      <c r="F30" s="121"/>
      <c r="G30" s="122"/>
      <c r="H30" s="123">
        <v>47855.9104195333</v>
      </c>
      <c r="I30" s="146">
        <f>(汇总表!F33)*0.998459501232081</f>
        <v>0</v>
      </c>
      <c r="J30" s="147">
        <v>0.8</v>
      </c>
      <c r="K30" s="123">
        <f t="shared" si="1"/>
        <v>0</v>
      </c>
      <c r="L30" s="148"/>
      <c r="M30" s="149"/>
      <c r="N30" s="123"/>
      <c r="O30" s="123"/>
      <c r="P30" s="122"/>
    </row>
    <row r="31" s="99" customFormat="1" ht="12" customHeight="1" spans="1:16">
      <c r="A31" s="118"/>
      <c r="B31" s="118"/>
      <c r="C31" s="125" t="s">
        <v>33</v>
      </c>
      <c r="D31" s="120">
        <v>338506.1743752</v>
      </c>
      <c r="E31" s="121"/>
      <c r="F31" s="121"/>
      <c r="G31" s="122"/>
      <c r="H31" s="123">
        <v>0</v>
      </c>
      <c r="I31" s="146">
        <f>(汇总表!F34)*0.998459501232081</f>
        <v>74415.8626384252</v>
      </c>
      <c r="J31" s="147">
        <v>0.8</v>
      </c>
      <c r="K31" s="123">
        <f t="shared" si="1"/>
        <v>59532.6901107402</v>
      </c>
      <c r="L31" s="148"/>
      <c r="M31" s="149"/>
      <c r="N31" s="123"/>
      <c r="O31" s="123"/>
      <c r="P31" s="122"/>
    </row>
    <row r="32" s="99" customFormat="1" ht="12" customHeight="1" spans="1:16">
      <c r="A32" s="118"/>
      <c r="B32" s="118"/>
      <c r="C32" s="125" t="s">
        <v>34</v>
      </c>
      <c r="D32" s="120">
        <v>56485.86228</v>
      </c>
      <c r="E32" s="121"/>
      <c r="F32" s="121"/>
      <c r="G32" s="122"/>
      <c r="H32" s="123">
        <v>0</v>
      </c>
      <c r="I32" s="146">
        <f>(汇总表!F35)*0.998459501232081</f>
        <v>43029.2159540877</v>
      </c>
      <c r="J32" s="147">
        <v>0.8</v>
      </c>
      <c r="K32" s="123">
        <f t="shared" si="1"/>
        <v>34423.3727632702</v>
      </c>
      <c r="L32" s="148"/>
      <c r="M32" s="149"/>
      <c r="N32" s="123"/>
      <c r="O32" s="123"/>
      <c r="P32" s="122"/>
    </row>
    <row r="33" s="99" customFormat="1" ht="12" customHeight="1" spans="1:16">
      <c r="A33" s="118"/>
      <c r="B33" s="118"/>
      <c r="C33" s="125" t="s">
        <v>35</v>
      </c>
      <c r="D33" s="120">
        <v>8669.098308</v>
      </c>
      <c r="E33" s="121"/>
      <c r="F33" s="121"/>
      <c r="G33" s="122"/>
      <c r="H33" s="123">
        <v>0</v>
      </c>
      <c r="I33" s="146">
        <f>(汇总表!F36)*0.998459501232081</f>
        <v>7541.60774568213</v>
      </c>
      <c r="J33" s="147">
        <v>0.8</v>
      </c>
      <c r="K33" s="123">
        <f t="shared" si="1"/>
        <v>6033.28619654571</v>
      </c>
      <c r="L33" s="148"/>
      <c r="M33" s="149"/>
      <c r="N33" s="123"/>
      <c r="O33" s="123"/>
      <c r="P33" s="122"/>
    </row>
    <row r="34" s="99" customFormat="1" ht="12" customHeight="1" spans="1:16">
      <c r="A34" s="124"/>
      <c r="B34" s="124"/>
      <c r="C34" s="125" t="s">
        <v>36</v>
      </c>
      <c r="D34" s="120">
        <v>248590.89443058</v>
      </c>
      <c r="E34" s="121"/>
      <c r="F34" s="121"/>
      <c r="G34" s="122"/>
      <c r="H34" s="123">
        <v>48564.6033358131</v>
      </c>
      <c r="I34" s="146">
        <f>(汇总表!F37)*0.998459501232081</f>
        <v>0</v>
      </c>
      <c r="J34" s="147">
        <v>0.8</v>
      </c>
      <c r="K34" s="123">
        <f t="shared" si="1"/>
        <v>0</v>
      </c>
      <c r="L34" s="148"/>
      <c r="M34" s="149"/>
      <c r="N34" s="123"/>
      <c r="O34" s="123"/>
      <c r="P34" s="122"/>
    </row>
    <row r="35" s="99" customFormat="1" ht="12" customHeight="1" spans="1:16">
      <c r="A35" s="126"/>
      <c r="B35" s="127" t="s">
        <v>37</v>
      </c>
      <c r="C35" s="127"/>
      <c r="D35" s="127">
        <v>4356711.50871135</v>
      </c>
      <c r="E35" s="127"/>
      <c r="F35" s="126"/>
      <c r="G35" s="128"/>
      <c r="H35" s="129">
        <v>489287.145550941</v>
      </c>
      <c r="I35" s="150">
        <f>SUM(I5:I34)</f>
        <v>743240.961686882</v>
      </c>
      <c r="J35" s="151"/>
      <c r="K35" s="150">
        <f>SUM(K5:K34)</f>
        <v>594592.769349506</v>
      </c>
      <c r="L35" s="129"/>
      <c r="M35" s="152"/>
      <c r="N35" s="153" t="s">
        <v>38</v>
      </c>
      <c r="O35" s="153" t="s">
        <v>39</v>
      </c>
      <c r="P35" s="154"/>
    </row>
    <row r="36" s="99" customFormat="1" ht="12" customHeight="1" spans="1:16">
      <c r="A36" s="130"/>
      <c r="B36" s="130" t="s">
        <v>40</v>
      </c>
      <c r="C36" s="130"/>
      <c r="D36" s="130"/>
      <c r="E36" s="130"/>
      <c r="F36" s="130"/>
      <c r="G36" s="131"/>
      <c r="H36" s="132">
        <v>480000</v>
      </c>
      <c r="I36" s="132"/>
      <c r="J36" s="132"/>
      <c r="K36" s="146">
        <v>590000</v>
      </c>
      <c r="L36" s="155"/>
      <c r="M36" s="156"/>
      <c r="N36" s="132"/>
      <c r="O36" s="132"/>
      <c r="P36" s="157" t="s">
        <v>41</v>
      </c>
    </row>
    <row r="37" s="99" customFormat="1" ht="12" customHeight="1" spans="1:16">
      <c r="A37" s="133" t="s">
        <v>42</v>
      </c>
      <c r="B37" s="133"/>
      <c r="C37" s="133"/>
      <c r="D37" s="133"/>
      <c r="E37" s="133"/>
      <c r="F37" s="133"/>
      <c r="G37" s="134"/>
      <c r="H37" s="133"/>
      <c r="I37" s="133"/>
      <c r="J37" s="133"/>
      <c r="K37" s="133"/>
      <c r="L37" s="158"/>
      <c r="M37" s="134"/>
      <c r="N37" s="133"/>
      <c r="O37" s="133"/>
      <c r="P37" s="133"/>
    </row>
    <row r="38" s="99" customFormat="1" ht="12" customHeight="1" spans="1:16">
      <c r="A38" s="135" t="s">
        <v>43</v>
      </c>
      <c r="B38" s="135"/>
      <c r="C38" s="135"/>
      <c r="D38" s="135"/>
      <c r="E38" s="135"/>
      <c r="F38" s="135"/>
      <c r="G38" s="135"/>
      <c r="H38" s="135"/>
      <c r="I38" s="135"/>
      <c r="J38" s="135"/>
      <c r="K38" s="135"/>
      <c r="L38" s="135"/>
      <c r="M38" s="135"/>
      <c r="N38" s="135"/>
      <c r="O38" s="135"/>
      <c r="P38" s="135"/>
    </row>
    <row r="39" s="99" customFormat="1" ht="30" customHeight="1" spans="1:16">
      <c r="A39" s="136"/>
      <c r="B39" s="137"/>
      <c r="C39" s="137"/>
      <c r="D39" s="137"/>
      <c r="E39" s="137"/>
      <c r="F39" s="137"/>
      <c r="G39" s="138"/>
      <c r="H39" s="139" t="s">
        <v>44</v>
      </c>
      <c r="I39" s="139"/>
      <c r="J39" s="139"/>
      <c r="K39" s="159"/>
      <c r="L39" s="160"/>
      <c r="M39" s="161" t="s">
        <v>45</v>
      </c>
      <c r="N39" s="162"/>
      <c r="O39" s="137"/>
      <c r="P39" s="137"/>
    </row>
    <row r="40" s="99" customFormat="1" ht="28.5" customHeight="1" spans="1:16">
      <c r="A40" s="136"/>
      <c r="B40" s="137"/>
      <c r="C40" s="137"/>
      <c r="D40" s="137"/>
      <c r="E40" s="137"/>
      <c r="F40" s="137"/>
      <c r="G40" s="138"/>
      <c r="K40" s="137"/>
      <c r="L40" s="163"/>
      <c r="M40" s="138"/>
      <c r="N40" s="137"/>
      <c r="O40" s="137"/>
      <c r="P40" s="137"/>
    </row>
  </sheetData>
  <mergeCells count="29">
    <mergeCell ref="A1:P1"/>
    <mergeCell ref="G2:H2"/>
    <mergeCell ref="I2:K2"/>
    <mergeCell ref="L2:M2"/>
    <mergeCell ref="B4:C4"/>
    <mergeCell ref="B36:F36"/>
    <mergeCell ref="A37:P37"/>
    <mergeCell ref="A38:P38"/>
    <mergeCell ref="H39:J39"/>
    <mergeCell ref="K39:L39"/>
    <mergeCell ref="M39:N39"/>
    <mergeCell ref="A2:A3"/>
    <mergeCell ref="A5:A10"/>
    <mergeCell ref="A11:A16"/>
    <mergeCell ref="A17:A22"/>
    <mergeCell ref="A23:A28"/>
    <mergeCell ref="A29:A34"/>
    <mergeCell ref="B5:B10"/>
    <mergeCell ref="B11:B16"/>
    <mergeCell ref="B17:B22"/>
    <mergeCell ref="B23:B28"/>
    <mergeCell ref="B29:B34"/>
    <mergeCell ref="D2:D3"/>
    <mergeCell ref="E2:E3"/>
    <mergeCell ref="F2:F3"/>
    <mergeCell ref="N2:N3"/>
    <mergeCell ref="O2:O3"/>
    <mergeCell ref="P2:P3"/>
    <mergeCell ref="B2:C3"/>
  </mergeCells>
  <pageMargins left="0.357638888888889" right="0.357638888888889" top="0.409027777777778" bottom="0.409027777777778"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8"/>
  <sheetViews>
    <sheetView view="pageBreakPreview" zoomScaleNormal="100" topLeftCell="A24" workbookViewId="0">
      <selection activeCell="E45" sqref="E45"/>
    </sheetView>
  </sheetViews>
  <sheetFormatPr defaultColWidth="9" defaultRowHeight="13.5" outlineLevelCol="6"/>
  <cols>
    <col min="1" max="1" width="9" style="57"/>
    <col min="2" max="2" width="18.875" style="57" customWidth="1"/>
    <col min="3" max="3" width="19.375" style="57" customWidth="1"/>
    <col min="4" max="4" width="19.125" style="83" customWidth="1"/>
    <col min="5" max="5" width="19.875" style="57" customWidth="1"/>
    <col min="6" max="6" width="21.375" style="83" customWidth="1"/>
    <col min="7" max="7" width="18.125" style="57" customWidth="1"/>
    <col min="8" max="16384" width="9" style="57"/>
  </cols>
  <sheetData>
    <row r="1" ht="50" customHeight="1" spans="1:7">
      <c r="A1" s="84" t="s">
        <v>46</v>
      </c>
      <c r="B1" s="85"/>
      <c r="C1" s="84"/>
      <c r="D1" s="86"/>
      <c r="E1" s="86"/>
      <c r="F1" s="86"/>
      <c r="G1" s="86"/>
    </row>
    <row r="2" ht="42" customHeight="1" spans="1:7">
      <c r="A2" s="87" t="s">
        <v>1</v>
      </c>
      <c r="B2" s="87" t="s">
        <v>47</v>
      </c>
      <c r="C2" s="87" t="s">
        <v>48</v>
      </c>
      <c r="D2" s="88" t="s">
        <v>49</v>
      </c>
      <c r="E2" s="87" t="s">
        <v>50</v>
      </c>
      <c r="F2" s="88" t="s">
        <v>51</v>
      </c>
      <c r="G2" s="87" t="s">
        <v>52</v>
      </c>
    </row>
    <row r="3" ht="21" customHeight="1" spans="1:7">
      <c r="A3" s="89">
        <v>1</v>
      </c>
      <c r="B3" s="89" t="s">
        <v>53</v>
      </c>
      <c r="C3" s="57" t="s">
        <v>54</v>
      </c>
      <c r="D3" s="90">
        <f>SUM(D4:D9)</f>
        <v>20583.5298288</v>
      </c>
      <c r="E3" s="87"/>
      <c r="F3" s="91">
        <f>F4+F5+F6+F7+F8+F9</f>
        <v>172102.3043724</v>
      </c>
      <c r="G3" s="92"/>
    </row>
    <row r="4" ht="21" customHeight="1" spans="1:7">
      <c r="A4" s="93"/>
      <c r="B4" s="93"/>
      <c r="C4" s="92" t="str">
        <f>户内精装修!B6</f>
        <v>地面</v>
      </c>
      <c r="D4" s="94">
        <f>户内精装修!P6</f>
        <v>1838.1626475</v>
      </c>
      <c r="E4" s="87">
        <f>1*13</f>
        <v>13</v>
      </c>
      <c r="F4" s="95">
        <f>D4*E4</f>
        <v>23896.1144175</v>
      </c>
      <c r="G4" s="92"/>
    </row>
    <row r="5" ht="21" customHeight="1" spans="1:7">
      <c r="A5" s="93"/>
      <c r="B5" s="93"/>
      <c r="C5" s="92" t="str">
        <f>户内精装修!B18</f>
        <v>地暖</v>
      </c>
      <c r="D5" s="94">
        <f>户内精装修!P19</f>
        <v>0</v>
      </c>
      <c r="E5" s="87">
        <f>1*13</f>
        <v>13</v>
      </c>
      <c r="F5" s="95">
        <f t="shared" ref="F5:F37" si="0">D5*E5</f>
        <v>0</v>
      </c>
      <c r="G5" s="92"/>
    </row>
    <row r="6" ht="21" customHeight="1" spans="1:7">
      <c r="A6" s="93"/>
      <c r="B6" s="93"/>
      <c r="C6" s="92" t="str">
        <f>户内精装修!B20</f>
        <v>墙面</v>
      </c>
      <c r="D6" s="94">
        <f>户内精装修!P20</f>
        <v>7388.3262573</v>
      </c>
      <c r="E6" s="87">
        <f>1*13</f>
        <v>13</v>
      </c>
      <c r="F6" s="95">
        <f t="shared" si="0"/>
        <v>96048.2413449</v>
      </c>
      <c r="G6" s="92"/>
    </row>
    <row r="7" ht="21" customHeight="1" spans="1:7">
      <c r="A7" s="93"/>
      <c r="B7" s="93"/>
      <c r="C7" s="92" t="str">
        <f>户内精装修!B38</f>
        <v>标准层天花</v>
      </c>
      <c r="D7" s="94">
        <f>户内精装修!P38</f>
        <v>3709.173426</v>
      </c>
      <c r="E7" s="87">
        <f>1*12</f>
        <v>12</v>
      </c>
      <c r="F7" s="95">
        <f t="shared" si="0"/>
        <v>44510.081112</v>
      </c>
      <c r="G7" s="92"/>
    </row>
    <row r="8" ht="21" customHeight="1" spans="1:7">
      <c r="A8" s="93"/>
      <c r="B8" s="93"/>
      <c r="C8" s="92" t="str">
        <f>户内精装修!B45</f>
        <v>顶层天花</v>
      </c>
      <c r="D8" s="94">
        <f>户内精装修!P45</f>
        <v>7647.867498</v>
      </c>
      <c r="E8" s="87">
        <f>1*1</f>
        <v>1</v>
      </c>
      <c r="F8" s="95">
        <f t="shared" si="0"/>
        <v>7647.867498</v>
      </c>
      <c r="G8" s="92"/>
    </row>
    <row r="9" ht="21" customHeight="1" spans="1:7">
      <c r="A9" s="96"/>
      <c r="B9" s="96"/>
      <c r="C9" s="92" t="s">
        <v>36</v>
      </c>
      <c r="D9" s="94"/>
      <c r="E9" s="87">
        <v>13</v>
      </c>
      <c r="F9" s="95">
        <f t="shared" si="0"/>
        <v>0</v>
      </c>
      <c r="G9" s="92"/>
    </row>
    <row r="10" ht="21" customHeight="1" spans="1:7">
      <c r="A10" s="89">
        <v>2</v>
      </c>
      <c r="B10" s="89" t="s">
        <v>55</v>
      </c>
      <c r="C10" s="57" t="s">
        <v>54</v>
      </c>
      <c r="D10" s="90">
        <f>SUM(D11:D16)</f>
        <v>13328.3891673</v>
      </c>
      <c r="E10" s="92"/>
      <c r="F10" s="95">
        <f>F11+F12+F13+F14+F15+F16</f>
        <v>114545.4234069</v>
      </c>
      <c r="G10" s="92"/>
    </row>
    <row r="11" ht="21" customHeight="1" spans="1:7">
      <c r="A11" s="93"/>
      <c r="B11" s="93"/>
      <c r="C11" s="92" t="str">
        <f>户内精装修!B52</f>
        <v>地面</v>
      </c>
      <c r="D11" s="94">
        <f>户内精装修!P52</f>
        <v>1438.3250325</v>
      </c>
      <c r="E11" s="87">
        <f t="shared" ref="E11:E13" si="1">1*13</f>
        <v>13</v>
      </c>
      <c r="F11" s="95">
        <f t="shared" si="0"/>
        <v>18698.2254225</v>
      </c>
      <c r="G11" s="92"/>
    </row>
    <row r="12" ht="21" customHeight="1" spans="1:7">
      <c r="A12" s="93"/>
      <c r="B12" s="93"/>
      <c r="C12" s="92" t="str">
        <f>户内精装修!B64</f>
        <v>地暖</v>
      </c>
      <c r="D12" s="94">
        <f>户内精装修!P64</f>
        <v>0</v>
      </c>
      <c r="E12" s="87">
        <f t="shared" si="1"/>
        <v>13</v>
      </c>
      <c r="F12" s="95">
        <f t="shared" si="0"/>
        <v>0</v>
      </c>
      <c r="G12" s="92"/>
    </row>
    <row r="13" ht="21" customHeight="1" spans="1:7">
      <c r="A13" s="93"/>
      <c r="B13" s="93"/>
      <c r="C13" s="92" t="str">
        <f>户内精装修!B66</f>
        <v>墙面</v>
      </c>
      <c r="D13" s="94">
        <f>户内精装修!P66</f>
        <v>5260.1966868</v>
      </c>
      <c r="E13" s="87">
        <f t="shared" si="1"/>
        <v>13</v>
      </c>
      <c r="F13" s="95">
        <f t="shared" si="0"/>
        <v>68382.5569284</v>
      </c>
      <c r="G13" s="92"/>
    </row>
    <row r="14" ht="21" customHeight="1" spans="1:7">
      <c r="A14" s="93"/>
      <c r="B14" s="93"/>
      <c r="C14" s="92" t="str">
        <f>户内精装修!B85</f>
        <v>标准层天花</v>
      </c>
      <c r="D14" s="94">
        <f>户内精装修!P85</f>
        <v>1894.070328</v>
      </c>
      <c r="E14" s="87">
        <f>1*12</f>
        <v>12</v>
      </c>
      <c r="F14" s="95">
        <f t="shared" si="0"/>
        <v>22728.843936</v>
      </c>
      <c r="G14" s="92"/>
    </row>
    <row r="15" ht="21" customHeight="1" spans="1:7">
      <c r="A15" s="93"/>
      <c r="B15" s="93"/>
      <c r="C15" s="92" t="str">
        <f>户内精装修!B92</f>
        <v>顶层天花</v>
      </c>
      <c r="D15" s="94">
        <f>户内精装修!P92</f>
        <v>4735.79712</v>
      </c>
      <c r="E15" s="87">
        <f>1*1</f>
        <v>1</v>
      </c>
      <c r="F15" s="95">
        <f t="shared" si="0"/>
        <v>4735.79712</v>
      </c>
      <c r="G15" s="92"/>
    </row>
    <row r="16" ht="21" customHeight="1" spans="1:7">
      <c r="A16" s="96"/>
      <c r="B16" s="96"/>
      <c r="C16" s="92" t="s">
        <v>36</v>
      </c>
      <c r="D16" s="94"/>
      <c r="E16" s="87">
        <v>13</v>
      </c>
      <c r="F16" s="95">
        <f t="shared" si="0"/>
        <v>0</v>
      </c>
      <c r="G16" s="92"/>
    </row>
    <row r="17" ht="21" customHeight="1" spans="1:7">
      <c r="A17" s="89">
        <v>3</v>
      </c>
      <c r="B17" s="89" t="s">
        <v>56</v>
      </c>
      <c r="C17" s="57" t="s">
        <v>54</v>
      </c>
      <c r="D17" s="90">
        <f>SUM(D18:D23)</f>
        <v>11439.2345649</v>
      </c>
      <c r="E17" s="92"/>
      <c r="F17" s="95">
        <f>F18+F19+F20+F21+F22+F23</f>
        <v>200162.5919514</v>
      </c>
      <c r="G17" s="92"/>
    </row>
    <row r="18" ht="21" customHeight="1" spans="1:7">
      <c r="A18" s="93"/>
      <c r="B18" s="93"/>
      <c r="C18" s="92" t="str">
        <f>户内精装修!B99</f>
        <v>地面</v>
      </c>
      <c r="D18" s="94">
        <f>户内精装修!P99</f>
        <v>1438.3250325</v>
      </c>
      <c r="E18" s="87">
        <f>2*13</f>
        <v>26</v>
      </c>
      <c r="F18" s="95">
        <f t="shared" si="0"/>
        <v>37396.450845</v>
      </c>
      <c r="G18" s="92"/>
    </row>
    <row r="19" ht="21" customHeight="1" spans="1:7">
      <c r="A19" s="93"/>
      <c r="B19" s="93"/>
      <c r="C19" s="92" t="str">
        <f>户内精装修!B111</f>
        <v>地暖</v>
      </c>
      <c r="D19" s="94">
        <f>户内精装修!P111</f>
        <v>0</v>
      </c>
      <c r="E19" s="87">
        <f>2*13</f>
        <v>26</v>
      </c>
      <c r="F19" s="95">
        <f t="shared" si="0"/>
        <v>0</v>
      </c>
      <c r="G19" s="92"/>
    </row>
    <row r="20" ht="21" customHeight="1" spans="1:7">
      <c r="A20" s="93"/>
      <c r="B20" s="93"/>
      <c r="C20" s="92" t="str">
        <f>户内精装修!B113</f>
        <v>墙面</v>
      </c>
      <c r="D20" s="94">
        <f>户内精装修!P113</f>
        <v>4212.2822844</v>
      </c>
      <c r="E20" s="87">
        <f>2*13</f>
        <v>26</v>
      </c>
      <c r="F20" s="95">
        <f t="shared" si="0"/>
        <v>109519.3393944</v>
      </c>
      <c r="G20" s="92"/>
    </row>
    <row r="21" ht="21" customHeight="1" spans="1:7">
      <c r="A21" s="93"/>
      <c r="B21" s="93"/>
      <c r="C21" s="92" t="str">
        <f>户内精装修!B131</f>
        <v>标准层天花</v>
      </c>
      <c r="D21" s="94">
        <f>户内精装修!P131</f>
        <v>1894.070328</v>
      </c>
      <c r="E21" s="87">
        <f>2*12</f>
        <v>24</v>
      </c>
      <c r="F21" s="95">
        <f t="shared" si="0"/>
        <v>45457.687872</v>
      </c>
      <c r="G21" s="92"/>
    </row>
    <row r="22" ht="21" customHeight="1" spans="1:7">
      <c r="A22" s="93"/>
      <c r="B22" s="93"/>
      <c r="C22" s="92" t="str">
        <f>户内精装修!B138</f>
        <v>顶层天花</v>
      </c>
      <c r="D22" s="94">
        <f>户内精装修!P138</f>
        <v>3894.55692</v>
      </c>
      <c r="E22" s="87">
        <f>2*1</f>
        <v>2</v>
      </c>
      <c r="F22" s="95">
        <f t="shared" si="0"/>
        <v>7789.11384</v>
      </c>
      <c r="G22" s="92"/>
    </row>
    <row r="23" ht="21" customHeight="1" spans="1:7">
      <c r="A23" s="96"/>
      <c r="B23" s="96"/>
      <c r="C23" s="97" t="s">
        <v>36</v>
      </c>
      <c r="D23" s="94"/>
      <c r="E23" s="87">
        <v>26</v>
      </c>
      <c r="F23" s="95">
        <f t="shared" si="0"/>
        <v>0</v>
      </c>
      <c r="G23" s="92"/>
    </row>
    <row r="24" ht="21" customHeight="1" spans="1:7">
      <c r="A24" s="89">
        <v>4</v>
      </c>
      <c r="B24" s="89" t="s">
        <v>57</v>
      </c>
      <c r="C24" s="57" t="s">
        <v>54</v>
      </c>
      <c r="D24" s="90">
        <f>SUM(D25:D30)</f>
        <v>12634.6207353</v>
      </c>
      <c r="E24" s="92"/>
      <c r="F24" s="95">
        <f>F25+F26+F27+F28+F29+F30</f>
        <v>115621.3161909</v>
      </c>
      <c r="G24" s="92"/>
    </row>
    <row r="25" ht="21" customHeight="1" spans="1:7">
      <c r="A25" s="93"/>
      <c r="B25" s="93"/>
      <c r="C25" s="97" t="str">
        <f>户内精装修!B145</f>
        <v>地面</v>
      </c>
      <c r="D25" s="94">
        <f>户内精装修!P145</f>
        <v>1438.3250325</v>
      </c>
      <c r="E25" s="87">
        <f t="shared" ref="E25:E27" si="2">1*13</f>
        <v>13</v>
      </c>
      <c r="F25" s="95">
        <f t="shared" si="0"/>
        <v>18698.2254225</v>
      </c>
      <c r="G25" s="92"/>
    </row>
    <row r="26" ht="21" customHeight="1" spans="1:7">
      <c r="A26" s="93"/>
      <c r="B26" s="93"/>
      <c r="C26" s="97" t="str">
        <f>户内精装修!B157</f>
        <v>地暖</v>
      </c>
      <c r="D26" s="94">
        <f>户内精装修!P157</f>
        <v>0</v>
      </c>
      <c r="E26" s="87">
        <f t="shared" si="2"/>
        <v>13</v>
      </c>
      <c r="F26" s="95">
        <f t="shared" si="0"/>
        <v>0</v>
      </c>
      <c r="G26" s="92"/>
    </row>
    <row r="27" ht="21" customHeight="1" spans="1:7">
      <c r="A27" s="93"/>
      <c r="B27" s="93"/>
      <c r="C27" s="97" t="str">
        <f>户内精装修!B159</f>
        <v>墙面</v>
      </c>
      <c r="D27" s="94">
        <f>户内精装修!P159</f>
        <v>5407.6684548</v>
      </c>
      <c r="E27" s="87">
        <f t="shared" si="2"/>
        <v>13</v>
      </c>
      <c r="F27" s="95">
        <f t="shared" si="0"/>
        <v>70299.6899124</v>
      </c>
      <c r="G27" s="92"/>
    </row>
    <row r="28" ht="21" customHeight="1" spans="1:7">
      <c r="A28" s="93"/>
      <c r="B28" s="93"/>
      <c r="C28" s="97" t="str">
        <f>户内精装修!B177</f>
        <v>标准层天花</v>
      </c>
      <c r="D28" s="94">
        <f>户内精装修!P177</f>
        <v>1894.070328</v>
      </c>
      <c r="E28" s="87">
        <f>1*12</f>
        <v>12</v>
      </c>
      <c r="F28" s="95">
        <f t="shared" si="0"/>
        <v>22728.843936</v>
      </c>
      <c r="G28" s="92"/>
    </row>
    <row r="29" ht="21" customHeight="1" spans="1:7">
      <c r="A29" s="93"/>
      <c r="B29" s="93"/>
      <c r="C29" s="97" t="str">
        <f>户内精装修!B184</f>
        <v>顶层天花</v>
      </c>
      <c r="D29" s="94">
        <f>户内精装修!P184</f>
        <v>3894.55692</v>
      </c>
      <c r="E29" s="87">
        <f>1*1</f>
        <v>1</v>
      </c>
      <c r="F29" s="95">
        <f t="shared" si="0"/>
        <v>3894.55692</v>
      </c>
      <c r="G29" s="92"/>
    </row>
    <row r="30" ht="21" customHeight="1" spans="1:7">
      <c r="A30" s="96"/>
      <c r="B30" s="96"/>
      <c r="C30" s="97" t="s">
        <v>36</v>
      </c>
      <c r="D30" s="94"/>
      <c r="E30" s="87">
        <v>13</v>
      </c>
      <c r="F30" s="95">
        <f t="shared" si="0"/>
        <v>0</v>
      </c>
      <c r="G30" s="92"/>
    </row>
    <row r="31" ht="21" customHeight="1" spans="1:7">
      <c r="A31" s="89">
        <v>5</v>
      </c>
      <c r="B31" s="89" t="s">
        <v>58</v>
      </c>
      <c r="C31" s="57" t="s">
        <v>54</v>
      </c>
      <c r="D31" s="90">
        <f>SUM(D32:D37)</f>
        <v>18168.1751322</v>
      </c>
      <c r="E31" s="92"/>
      <c r="F31" s="95">
        <f>F32+F33+F34+F35+F36+F37</f>
        <v>141956.0542326</v>
      </c>
      <c r="G31" s="92"/>
    </row>
    <row r="32" ht="21" customHeight="1" spans="1:7">
      <c r="A32" s="93"/>
      <c r="B32" s="93"/>
      <c r="C32" s="97" t="str">
        <f>户内精装修!B191</f>
        <v>地面</v>
      </c>
      <c r="D32" s="94">
        <f>户内精装修!P191</f>
        <v>1290.50223</v>
      </c>
      <c r="E32" s="87">
        <f t="shared" ref="E32:E34" si="3">1*13</f>
        <v>13</v>
      </c>
      <c r="F32" s="95">
        <f t="shared" si="0"/>
        <v>16776.52899</v>
      </c>
      <c r="G32" s="92"/>
    </row>
    <row r="33" ht="21" customHeight="1" spans="1:7">
      <c r="A33" s="93"/>
      <c r="B33" s="93"/>
      <c r="C33" s="97" t="str">
        <f>户内精装修!B203</f>
        <v>地暖</v>
      </c>
      <c r="D33" s="94">
        <f>户内精装修!P203</f>
        <v>0</v>
      </c>
      <c r="E33" s="87">
        <f t="shared" si="3"/>
        <v>13</v>
      </c>
      <c r="F33" s="95">
        <f t="shared" si="0"/>
        <v>0</v>
      </c>
      <c r="G33" s="92"/>
    </row>
    <row r="34" ht="21" customHeight="1" spans="1:7">
      <c r="A34" s="93"/>
      <c r="B34" s="93"/>
      <c r="C34" s="97" t="str">
        <f>户内精装修!B205</f>
        <v>墙面</v>
      </c>
      <c r="D34" s="94">
        <f>户内精装修!P205</f>
        <v>5733.1290042</v>
      </c>
      <c r="E34" s="87">
        <f t="shared" si="3"/>
        <v>13</v>
      </c>
      <c r="F34" s="95">
        <f t="shared" si="0"/>
        <v>74530.6770546</v>
      </c>
      <c r="G34" s="92"/>
    </row>
    <row r="35" ht="21" customHeight="1" spans="1:7">
      <c r="A35" s="93"/>
      <c r="B35" s="93"/>
      <c r="C35" s="97" t="str">
        <f>户内精装修!B222</f>
        <v>标准层天花</v>
      </c>
      <c r="D35" s="94">
        <f>户内精装修!P222</f>
        <v>3591.30039</v>
      </c>
      <c r="E35" s="87">
        <f>1*12</f>
        <v>12</v>
      </c>
      <c r="F35" s="95">
        <f t="shared" si="0"/>
        <v>43095.60468</v>
      </c>
      <c r="G35" s="92"/>
    </row>
    <row r="36" ht="21" customHeight="1" spans="1:7">
      <c r="A36" s="93"/>
      <c r="B36" s="93"/>
      <c r="C36" s="97" t="str">
        <f>户内精装修!B228</f>
        <v>顶层天花</v>
      </c>
      <c r="D36" s="94">
        <f>户内精装修!P228</f>
        <v>7553.243508</v>
      </c>
      <c r="E36" s="87">
        <f>1*1</f>
        <v>1</v>
      </c>
      <c r="F36" s="95">
        <f t="shared" si="0"/>
        <v>7553.243508</v>
      </c>
      <c r="G36" s="92"/>
    </row>
    <row r="37" ht="21" customHeight="1" spans="1:7">
      <c r="A37" s="96"/>
      <c r="B37" s="96"/>
      <c r="C37" s="97" t="s">
        <v>36</v>
      </c>
      <c r="D37" s="94"/>
      <c r="E37" s="87">
        <v>13</v>
      </c>
      <c r="F37" s="95">
        <f t="shared" si="0"/>
        <v>0</v>
      </c>
      <c r="G37" s="92"/>
    </row>
    <row r="38" ht="21" customHeight="1" spans="1:7">
      <c r="A38" s="87">
        <v>6</v>
      </c>
      <c r="B38" s="92" t="s">
        <v>37</v>
      </c>
      <c r="C38" s="92"/>
      <c r="D38" s="94">
        <f>D3+D10+D17+D24+D31</f>
        <v>76153.9494285</v>
      </c>
      <c r="E38" s="92"/>
      <c r="F38" s="95">
        <f>F31+F24+F17+F10+F3</f>
        <v>744387.6901542</v>
      </c>
      <c r="G38" s="98"/>
    </row>
  </sheetData>
  <mergeCells count="11">
    <mergeCell ref="A1:G1"/>
    <mergeCell ref="A3:A9"/>
    <mergeCell ref="A10:A16"/>
    <mergeCell ref="A17:A23"/>
    <mergeCell ref="A24:A30"/>
    <mergeCell ref="A31:A37"/>
    <mergeCell ref="B3:B9"/>
    <mergeCell ref="B10:B16"/>
    <mergeCell ref="B17:B23"/>
    <mergeCell ref="B24:B30"/>
    <mergeCell ref="B31:B37"/>
  </mergeCells>
  <pageMargins left="0.75" right="0.75" top="1" bottom="1" header="0.5" footer="0.5"/>
  <pageSetup paperSize="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32"/>
  <sheetViews>
    <sheetView view="pageBreakPreview" zoomScaleNormal="100" topLeftCell="A186" workbookViewId="0">
      <selection activeCell="G114" sqref="G114"/>
    </sheetView>
  </sheetViews>
  <sheetFormatPr defaultColWidth="9" defaultRowHeight="13.5"/>
  <cols>
    <col min="1" max="1" width="7.125" style="59" customWidth="1"/>
    <col min="2" max="2" width="15.875" style="56" customWidth="1"/>
    <col min="3" max="3" width="38.125" style="56" customWidth="1"/>
    <col min="4" max="4" width="6.375" style="59" customWidth="1"/>
    <col min="5" max="5" width="9" style="60"/>
    <col min="6" max="7" width="14.125" style="60" customWidth="1"/>
    <col min="8" max="8" width="6.5" style="60" customWidth="1"/>
    <col min="9" max="9" width="7.375" style="60" customWidth="1"/>
    <col min="10" max="10" width="10.75" style="60" customWidth="1"/>
    <col min="11" max="11" width="11" style="60" customWidth="1"/>
    <col min="12" max="13" width="9" style="60" customWidth="1"/>
    <col min="14" max="16" width="12.125" style="60" customWidth="1"/>
    <col min="17" max="17" width="15.625" style="59" customWidth="1"/>
    <col min="18" max="18" width="21.5" style="56" customWidth="1"/>
    <col min="19" max="19" width="13" style="59" customWidth="1"/>
    <col min="20" max="23" width="12.625" style="56"/>
    <col min="24" max="16384" width="9" style="56"/>
  </cols>
  <sheetData>
    <row r="1" s="56" customFormat="1" ht="35.1" customHeight="1" spans="1:19">
      <c r="A1" s="61" t="s">
        <v>46</v>
      </c>
      <c r="B1" s="62"/>
      <c r="C1" s="61"/>
      <c r="D1" s="61"/>
      <c r="E1" s="63"/>
      <c r="F1" s="63"/>
      <c r="G1" s="63"/>
      <c r="H1" s="63"/>
      <c r="I1" s="63"/>
      <c r="J1" s="63"/>
      <c r="K1" s="63"/>
      <c r="L1" s="63"/>
      <c r="M1" s="63"/>
      <c r="N1" s="63"/>
      <c r="O1" s="63"/>
      <c r="P1" s="63"/>
      <c r="Q1" s="61"/>
      <c r="S1" s="59"/>
    </row>
    <row r="2" s="2" customFormat="1" ht="33.95" customHeight="1" spans="1:17">
      <c r="A2" s="25" t="s">
        <v>1</v>
      </c>
      <c r="B2" s="25" t="s">
        <v>59</v>
      </c>
      <c r="C2" s="25" t="s">
        <v>60</v>
      </c>
      <c r="D2" s="25" t="s">
        <v>61</v>
      </c>
      <c r="E2" s="64" t="s">
        <v>62</v>
      </c>
      <c r="F2" s="12" t="s">
        <v>63</v>
      </c>
      <c r="G2" s="12" t="s">
        <v>64</v>
      </c>
      <c r="H2" s="53" t="s">
        <v>65</v>
      </c>
      <c r="I2" s="53"/>
      <c r="J2" s="53"/>
      <c r="K2" s="53"/>
      <c r="L2" s="53"/>
      <c r="M2" s="53" t="s">
        <v>66</v>
      </c>
      <c r="N2" s="53" t="s">
        <v>67</v>
      </c>
      <c r="O2" s="12" t="s">
        <v>68</v>
      </c>
      <c r="P2" s="12" t="s">
        <v>69</v>
      </c>
      <c r="Q2" s="53" t="s">
        <v>52</v>
      </c>
    </row>
    <row r="3" s="2" customFormat="1" ht="33.95" customHeight="1" spans="1:17">
      <c r="A3" s="25"/>
      <c r="B3" s="25"/>
      <c r="C3" s="25"/>
      <c r="D3" s="25"/>
      <c r="E3" s="64"/>
      <c r="F3" s="18"/>
      <c r="G3" s="18"/>
      <c r="H3" s="53" t="s">
        <v>70</v>
      </c>
      <c r="I3" s="53" t="s">
        <v>71</v>
      </c>
      <c r="J3" s="53" t="s">
        <v>72</v>
      </c>
      <c r="K3" s="53" t="s">
        <v>73</v>
      </c>
      <c r="L3" s="53" t="s">
        <v>74</v>
      </c>
      <c r="M3" s="53"/>
      <c r="N3" s="53"/>
      <c r="O3" s="18"/>
      <c r="P3" s="18"/>
      <c r="Q3" s="53"/>
    </row>
    <row r="4" s="2" customFormat="1" ht="21.95" customHeight="1" spans="1:17">
      <c r="A4" s="25"/>
      <c r="B4" s="25"/>
      <c r="C4" s="25"/>
      <c r="D4" s="25"/>
      <c r="E4" s="64"/>
      <c r="F4" s="23"/>
      <c r="G4" s="23"/>
      <c r="H4" s="53"/>
      <c r="I4" s="53"/>
      <c r="J4" s="53"/>
      <c r="K4" s="77">
        <v>0.14</v>
      </c>
      <c r="L4" s="77">
        <v>0.09</v>
      </c>
      <c r="M4" s="53"/>
      <c r="N4" s="53"/>
      <c r="O4" s="23"/>
      <c r="P4" s="23"/>
      <c r="Q4" s="53"/>
    </row>
    <row r="5" s="2" customFormat="1" ht="24" customHeight="1" spans="1:17">
      <c r="A5" s="25" t="s">
        <v>75</v>
      </c>
      <c r="B5" s="25" t="s">
        <v>76</v>
      </c>
      <c r="C5" s="25" t="s">
        <v>77</v>
      </c>
      <c r="D5" s="25"/>
      <c r="E5" s="64"/>
      <c r="F5" s="64"/>
      <c r="G5" s="64"/>
      <c r="H5" s="53"/>
      <c r="I5" s="53"/>
      <c r="J5" s="53"/>
      <c r="K5" s="53"/>
      <c r="L5" s="53"/>
      <c r="M5" s="53"/>
      <c r="N5" s="53"/>
      <c r="O5" s="53"/>
      <c r="P5" s="53"/>
      <c r="Q5" s="53"/>
    </row>
    <row r="6" s="1" customFormat="1" ht="21" customHeight="1" spans="1:23">
      <c r="A6" s="25">
        <v>1</v>
      </c>
      <c r="B6" s="25" t="s">
        <v>31</v>
      </c>
      <c r="C6" s="25"/>
      <c r="D6" s="25"/>
      <c r="E6" s="64"/>
      <c r="F6" s="64"/>
      <c r="G6" s="64"/>
      <c r="H6" s="53"/>
      <c r="I6" s="53"/>
      <c r="J6" s="53"/>
      <c r="K6" s="53"/>
      <c r="L6" s="53"/>
      <c r="M6" s="53"/>
      <c r="N6" s="53">
        <f>SUM(N7:N17)</f>
        <v>8366.953905</v>
      </c>
      <c r="O6" s="53">
        <f>SUM(O7:O17)</f>
        <v>357.719688</v>
      </c>
      <c r="P6" s="53">
        <f>SUM(P7:P17)</f>
        <v>1838.1626475</v>
      </c>
      <c r="Q6" s="53"/>
      <c r="S6" s="59"/>
      <c r="T6" s="56"/>
      <c r="U6" s="56"/>
      <c r="V6" s="56"/>
      <c r="W6" s="56"/>
    </row>
    <row r="7" s="1" customFormat="1" ht="95" customHeight="1" outlineLevel="1" spans="1:23">
      <c r="A7" s="25">
        <v>1.1</v>
      </c>
      <c r="B7" s="25" t="s">
        <v>78</v>
      </c>
      <c r="C7" s="65" t="s">
        <v>79</v>
      </c>
      <c r="D7" s="66" t="s">
        <v>80</v>
      </c>
      <c r="E7" s="64">
        <v>37.27</v>
      </c>
      <c r="F7" s="64"/>
      <c r="H7" s="53">
        <v>12</v>
      </c>
      <c r="I7" s="53">
        <v>60</v>
      </c>
      <c r="J7" s="53">
        <v>10</v>
      </c>
      <c r="K7" s="69">
        <f>(H7+I7+J7)*$K$4</f>
        <v>11.48</v>
      </c>
      <c r="L7" s="53">
        <f>(H7+I7+J7+K7)*$L$4</f>
        <v>8.4132</v>
      </c>
      <c r="M7" s="53">
        <f>SUBTOTAL(9,H7:L7)</f>
        <v>101.8932</v>
      </c>
      <c r="N7" s="53">
        <f>E7*M7</f>
        <v>3797.559564</v>
      </c>
      <c r="O7" s="53">
        <f>F7*M7</f>
        <v>0</v>
      </c>
      <c r="P7" s="53">
        <f>G7*M7</f>
        <v>0</v>
      </c>
      <c r="Q7" s="78" t="s">
        <v>81</v>
      </c>
      <c r="S7" s="59"/>
      <c r="T7" s="56"/>
      <c r="U7" s="56"/>
      <c r="V7" s="56"/>
      <c r="W7" s="56"/>
    </row>
    <row r="8" s="1" customFormat="1" ht="37" customHeight="1" outlineLevel="1" spans="1:23">
      <c r="A8" s="25">
        <v>1.2</v>
      </c>
      <c r="B8" s="65" t="s">
        <v>82</v>
      </c>
      <c r="C8" s="65" t="s">
        <v>83</v>
      </c>
      <c r="D8" s="66" t="s">
        <v>84</v>
      </c>
      <c r="E8" s="64">
        <f>40.9-1.09-0.2*2*2-1.19-0.9</f>
        <v>36.92</v>
      </c>
      <c r="F8" s="64"/>
      <c r="G8" s="64"/>
      <c r="H8" s="53">
        <v>4</v>
      </c>
      <c r="I8" s="53">
        <v>4</v>
      </c>
      <c r="J8" s="53">
        <v>1</v>
      </c>
      <c r="K8" s="69">
        <f t="shared" ref="K8:K71" si="0">(H8+I8+J8)*$K$4</f>
        <v>1.26</v>
      </c>
      <c r="L8" s="53">
        <f t="shared" ref="L8:L71" si="1">(H8+I8+J8+K8)*$L$4</f>
        <v>0.9234</v>
      </c>
      <c r="M8" s="53">
        <f t="shared" ref="M8:M71" si="2">SUBTOTAL(9,H8:L8)</f>
        <v>11.1834</v>
      </c>
      <c r="N8" s="53">
        <f t="shared" ref="N8:N71" si="3">E8*M8</f>
        <v>412.891128</v>
      </c>
      <c r="O8" s="53">
        <f t="shared" ref="O8:O71" si="4">F8*M8</f>
        <v>0</v>
      </c>
      <c r="P8" s="53">
        <f>G8*M8</f>
        <v>0</v>
      </c>
      <c r="Q8" s="53"/>
      <c r="S8" s="59"/>
      <c r="T8" s="56"/>
      <c r="U8" s="56"/>
      <c r="V8" s="56"/>
      <c r="W8" s="56"/>
    </row>
    <row r="9" s="1" customFormat="1" ht="71.25" outlineLevel="1" spans="1:23">
      <c r="A9" s="25">
        <v>1.3</v>
      </c>
      <c r="B9" s="66" t="s">
        <v>85</v>
      </c>
      <c r="C9" s="67" t="s">
        <v>86</v>
      </c>
      <c r="D9" s="66" t="s">
        <v>80</v>
      </c>
      <c r="E9" s="68">
        <f>3.52</f>
        <v>3.52</v>
      </c>
      <c r="F9" s="64"/>
      <c r="G9" s="64">
        <v>3.52</v>
      </c>
      <c r="H9" s="69">
        <v>20</v>
      </c>
      <c r="I9" s="69">
        <v>25</v>
      </c>
      <c r="J9" s="69">
        <v>15</v>
      </c>
      <c r="K9" s="69">
        <f t="shared" si="0"/>
        <v>8.4</v>
      </c>
      <c r="L9" s="53">
        <f t="shared" si="1"/>
        <v>6.156</v>
      </c>
      <c r="M9" s="53">
        <f t="shared" si="2"/>
        <v>74.556</v>
      </c>
      <c r="N9" s="53">
        <f t="shared" si="3"/>
        <v>262.43712</v>
      </c>
      <c r="O9" s="53">
        <f t="shared" si="4"/>
        <v>0</v>
      </c>
      <c r="P9" s="53">
        <f>G9*M9</f>
        <v>262.43712</v>
      </c>
      <c r="Q9" s="53"/>
      <c r="S9" s="59"/>
      <c r="T9" s="56"/>
      <c r="U9" s="56"/>
      <c r="V9" s="56"/>
      <c r="W9" s="56"/>
    </row>
    <row r="10" s="1" customFormat="1" ht="71.25" outlineLevel="1" spans="1:23">
      <c r="A10" s="25">
        <v>1.4</v>
      </c>
      <c r="B10" s="66" t="s">
        <v>85</v>
      </c>
      <c r="C10" s="67" t="s">
        <v>87</v>
      </c>
      <c r="D10" s="66" t="s">
        <v>80</v>
      </c>
      <c r="E10" s="68">
        <f>2.96+0.108+1.28+0.9*0.5</f>
        <v>4.798</v>
      </c>
      <c r="F10" s="64">
        <f>E10</f>
        <v>4.798</v>
      </c>
      <c r="G10" s="64"/>
      <c r="H10" s="69">
        <v>20</v>
      </c>
      <c r="I10" s="69">
        <v>25</v>
      </c>
      <c r="J10" s="69">
        <v>15</v>
      </c>
      <c r="K10" s="69">
        <f t="shared" si="0"/>
        <v>8.4</v>
      </c>
      <c r="L10" s="53">
        <f t="shared" si="1"/>
        <v>6.156</v>
      </c>
      <c r="M10" s="53">
        <f t="shared" si="2"/>
        <v>74.556</v>
      </c>
      <c r="N10" s="53">
        <f t="shared" si="3"/>
        <v>357.719688</v>
      </c>
      <c r="O10" s="53">
        <f t="shared" si="4"/>
        <v>357.719688</v>
      </c>
      <c r="P10" s="53">
        <f>G10*M10</f>
        <v>0</v>
      </c>
      <c r="Q10" s="53"/>
      <c r="S10" s="59"/>
      <c r="T10" s="56"/>
      <c r="U10" s="56"/>
      <c r="V10" s="56"/>
      <c r="W10" s="56"/>
    </row>
    <row r="11" s="1" customFormat="1" ht="71.25" outlineLevel="1" spans="1:23">
      <c r="A11" s="25">
        <v>1.5</v>
      </c>
      <c r="B11" s="66" t="s">
        <v>85</v>
      </c>
      <c r="C11" s="67" t="s">
        <v>88</v>
      </c>
      <c r="D11" s="66" t="s">
        <v>80</v>
      </c>
      <c r="E11" s="68">
        <v>2.95</v>
      </c>
      <c r="F11" s="64"/>
      <c r="G11" s="64">
        <v>2.95</v>
      </c>
      <c r="H11" s="69">
        <v>20</v>
      </c>
      <c r="I11" s="69">
        <v>25</v>
      </c>
      <c r="J11" s="69">
        <v>15</v>
      </c>
      <c r="K11" s="69">
        <f t="shared" si="0"/>
        <v>8.4</v>
      </c>
      <c r="L11" s="53">
        <f t="shared" si="1"/>
        <v>6.156</v>
      </c>
      <c r="M11" s="53">
        <f t="shared" si="2"/>
        <v>74.556</v>
      </c>
      <c r="N11" s="53">
        <f t="shared" si="3"/>
        <v>219.9402</v>
      </c>
      <c r="O11" s="53">
        <f t="shared" si="4"/>
        <v>0</v>
      </c>
      <c r="P11" s="53">
        <f>G11*M11</f>
        <v>219.9402</v>
      </c>
      <c r="Q11" s="53"/>
      <c r="S11" s="59"/>
      <c r="T11" s="56"/>
      <c r="U11" s="56"/>
      <c r="V11" s="56"/>
      <c r="W11" s="56"/>
    </row>
    <row r="12" s="1" customFormat="1" ht="90" customHeight="1" outlineLevel="1" spans="1:23">
      <c r="A12" s="25">
        <v>1.6</v>
      </c>
      <c r="B12" s="25" t="s">
        <v>89</v>
      </c>
      <c r="C12" s="70" t="s">
        <v>90</v>
      </c>
      <c r="D12" s="25" t="s">
        <v>80</v>
      </c>
      <c r="E12" s="64">
        <v>2.96</v>
      </c>
      <c r="F12" s="64"/>
      <c r="G12" s="64">
        <f>E12*0.5</f>
        <v>1.48</v>
      </c>
      <c r="H12" s="69">
        <v>55</v>
      </c>
      <c r="I12" s="69">
        <v>72</v>
      </c>
      <c r="J12" s="53">
        <v>23</v>
      </c>
      <c r="K12" s="69">
        <f t="shared" si="0"/>
        <v>21</v>
      </c>
      <c r="L12" s="53">
        <f t="shared" si="1"/>
        <v>15.39</v>
      </c>
      <c r="M12" s="53">
        <f t="shared" si="2"/>
        <v>186.39</v>
      </c>
      <c r="N12" s="53">
        <f t="shared" si="3"/>
        <v>551.7144</v>
      </c>
      <c r="O12" s="53">
        <f t="shared" si="4"/>
        <v>0</v>
      </c>
      <c r="P12" s="53">
        <f t="shared" ref="P8:P71" si="5">G12*M12</f>
        <v>275.8572</v>
      </c>
      <c r="Q12" s="79" t="s">
        <v>91</v>
      </c>
      <c r="S12" s="59"/>
      <c r="T12" s="56"/>
      <c r="U12" s="56"/>
      <c r="V12" s="56"/>
      <c r="W12" s="56"/>
    </row>
    <row r="13" s="1" customFormat="1" ht="102" customHeight="1" outlineLevel="1" spans="1:23">
      <c r="A13" s="25">
        <v>1.7</v>
      </c>
      <c r="B13" s="25" t="s">
        <v>89</v>
      </c>
      <c r="C13" s="70" t="s">
        <v>92</v>
      </c>
      <c r="D13" s="25" t="s">
        <v>80</v>
      </c>
      <c r="E13" s="64">
        <f>1.28+3.77</f>
        <v>5.05</v>
      </c>
      <c r="F13" s="64"/>
      <c r="G13" s="64">
        <f>E13*0.5</f>
        <v>2.525</v>
      </c>
      <c r="H13" s="69">
        <v>55</v>
      </c>
      <c r="I13" s="69">
        <v>72</v>
      </c>
      <c r="J13" s="53">
        <v>23</v>
      </c>
      <c r="K13" s="69">
        <f t="shared" si="0"/>
        <v>21</v>
      </c>
      <c r="L13" s="53">
        <f t="shared" si="1"/>
        <v>15.39</v>
      </c>
      <c r="M13" s="53">
        <f t="shared" si="2"/>
        <v>186.39</v>
      </c>
      <c r="N13" s="53">
        <f t="shared" si="3"/>
        <v>941.2695</v>
      </c>
      <c r="O13" s="53">
        <f t="shared" si="4"/>
        <v>0</v>
      </c>
      <c r="P13" s="53">
        <f t="shared" si="5"/>
        <v>470.63475</v>
      </c>
      <c r="Q13" s="79" t="s">
        <v>91</v>
      </c>
      <c r="S13" s="59"/>
      <c r="T13" s="56"/>
      <c r="U13" s="56"/>
      <c r="V13" s="56"/>
      <c r="W13" s="56"/>
    </row>
    <row r="14" s="1" customFormat="1" ht="69" customHeight="1" outlineLevel="1" spans="1:23">
      <c r="A14" s="25">
        <v>1.8</v>
      </c>
      <c r="B14" s="25" t="s">
        <v>93</v>
      </c>
      <c r="C14" s="70" t="s">
        <v>94</v>
      </c>
      <c r="D14" s="25" t="s">
        <v>80</v>
      </c>
      <c r="E14" s="64">
        <v>1.52</v>
      </c>
      <c r="F14" s="64"/>
      <c r="G14" s="64">
        <f>E14*0.5</f>
        <v>0.76</v>
      </c>
      <c r="H14" s="53">
        <v>20</v>
      </c>
      <c r="I14" s="53">
        <v>15</v>
      </c>
      <c r="J14" s="53">
        <v>5</v>
      </c>
      <c r="K14" s="69">
        <f t="shared" si="0"/>
        <v>5.6</v>
      </c>
      <c r="L14" s="53">
        <f t="shared" si="1"/>
        <v>4.104</v>
      </c>
      <c r="M14" s="53">
        <f t="shared" si="2"/>
        <v>49.704</v>
      </c>
      <c r="N14" s="53">
        <f t="shared" si="3"/>
        <v>75.55008</v>
      </c>
      <c r="O14" s="53">
        <f t="shared" si="4"/>
        <v>0</v>
      </c>
      <c r="P14" s="53">
        <f t="shared" si="5"/>
        <v>37.77504</v>
      </c>
      <c r="Q14" s="79"/>
      <c r="S14" s="59"/>
      <c r="T14" s="56"/>
      <c r="U14" s="56"/>
      <c r="V14" s="56"/>
      <c r="W14" s="56"/>
    </row>
    <row r="15" s="1" customFormat="1" ht="85" customHeight="1" outlineLevel="1" spans="1:23">
      <c r="A15" s="25">
        <v>1.9</v>
      </c>
      <c r="B15" s="25" t="s">
        <v>89</v>
      </c>
      <c r="C15" s="70" t="s">
        <v>95</v>
      </c>
      <c r="D15" s="25" t="s">
        <v>80</v>
      </c>
      <c r="E15" s="64">
        <v>3.52</v>
      </c>
      <c r="F15" s="64"/>
      <c r="G15" s="64">
        <f>E15*0.5</f>
        <v>1.76</v>
      </c>
      <c r="H15" s="69">
        <v>55</v>
      </c>
      <c r="I15" s="69">
        <v>72</v>
      </c>
      <c r="J15" s="53">
        <v>23</v>
      </c>
      <c r="K15" s="69">
        <f t="shared" si="0"/>
        <v>21</v>
      </c>
      <c r="L15" s="53">
        <f t="shared" si="1"/>
        <v>15.39</v>
      </c>
      <c r="M15" s="53">
        <f t="shared" si="2"/>
        <v>186.39</v>
      </c>
      <c r="N15" s="53">
        <f t="shared" si="3"/>
        <v>656.0928</v>
      </c>
      <c r="O15" s="53">
        <f t="shared" si="4"/>
        <v>0</v>
      </c>
      <c r="P15" s="53">
        <f t="shared" si="5"/>
        <v>328.0464</v>
      </c>
      <c r="Q15" s="79" t="s">
        <v>91</v>
      </c>
      <c r="S15" s="59"/>
      <c r="T15" s="56"/>
      <c r="U15" s="56"/>
      <c r="V15" s="56"/>
      <c r="W15" s="56"/>
    </row>
    <row r="16" s="1" customFormat="1" ht="98" customHeight="1" outlineLevel="1" spans="1:23">
      <c r="A16" s="64">
        <v>1.1</v>
      </c>
      <c r="B16" s="25" t="s">
        <v>96</v>
      </c>
      <c r="C16" s="70" t="s">
        <v>97</v>
      </c>
      <c r="D16" s="25" t="s">
        <v>80</v>
      </c>
      <c r="E16" s="64">
        <f>0.22+0.112+0.105+0.108+0.28</f>
        <v>0.825</v>
      </c>
      <c r="F16" s="64"/>
      <c r="G16" s="64">
        <f>E16*0.5</f>
        <v>0.4125</v>
      </c>
      <c r="H16" s="53">
        <v>100</v>
      </c>
      <c r="I16" s="53">
        <v>350</v>
      </c>
      <c r="J16" s="53">
        <v>25</v>
      </c>
      <c r="K16" s="69">
        <f t="shared" si="0"/>
        <v>66.5</v>
      </c>
      <c r="L16" s="53">
        <f t="shared" si="1"/>
        <v>48.735</v>
      </c>
      <c r="M16" s="53">
        <f t="shared" si="2"/>
        <v>590.235</v>
      </c>
      <c r="N16" s="53">
        <f t="shared" si="3"/>
        <v>486.943875</v>
      </c>
      <c r="O16" s="53">
        <f t="shared" si="4"/>
        <v>0</v>
      </c>
      <c r="P16" s="53">
        <f t="shared" si="5"/>
        <v>243.4719375</v>
      </c>
      <c r="Q16" s="79"/>
      <c r="S16" s="59"/>
      <c r="T16" s="56"/>
      <c r="U16" s="56"/>
      <c r="V16" s="56"/>
      <c r="W16" s="56"/>
    </row>
    <row r="17" s="1" customFormat="1" ht="129" customHeight="1" outlineLevel="1" spans="1:23">
      <c r="A17" s="25">
        <v>1.11</v>
      </c>
      <c r="B17" s="65" t="s">
        <v>98</v>
      </c>
      <c r="C17" s="67" t="s">
        <v>99</v>
      </c>
      <c r="D17" s="66" t="s">
        <v>80</v>
      </c>
      <c r="E17" s="64">
        <v>1.77</v>
      </c>
      <c r="F17" s="64"/>
      <c r="G17" s="64"/>
      <c r="H17" s="53">
        <v>80</v>
      </c>
      <c r="I17" s="53">
        <v>150</v>
      </c>
      <c r="J17" s="53">
        <v>45</v>
      </c>
      <c r="K17" s="69">
        <f t="shared" si="0"/>
        <v>38.5</v>
      </c>
      <c r="L17" s="53">
        <f t="shared" si="1"/>
        <v>28.215</v>
      </c>
      <c r="M17" s="53">
        <f t="shared" si="2"/>
        <v>341.715</v>
      </c>
      <c r="N17" s="53">
        <f t="shared" si="3"/>
        <v>604.83555</v>
      </c>
      <c r="O17" s="53">
        <f t="shared" si="4"/>
        <v>0</v>
      </c>
      <c r="P17" s="53">
        <f t="shared" si="5"/>
        <v>0</v>
      </c>
      <c r="Q17" s="79"/>
      <c r="S17" s="59"/>
      <c r="T17" s="56"/>
      <c r="U17" s="56"/>
      <c r="V17" s="56"/>
      <c r="W17" s="56"/>
    </row>
    <row r="18" s="1" customFormat="1" ht="27" customHeight="1" spans="1:23">
      <c r="A18" s="25">
        <v>2</v>
      </c>
      <c r="B18" s="66" t="s">
        <v>32</v>
      </c>
      <c r="C18" s="67"/>
      <c r="D18" s="66"/>
      <c r="E18" s="64"/>
      <c r="F18" s="64"/>
      <c r="G18" s="64"/>
      <c r="H18" s="53"/>
      <c r="I18" s="53"/>
      <c r="J18" s="53"/>
      <c r="K18" s="69"/>
      <c r="L18" s="53"/>
      <c r="M18" s="53"/>
      <c r="N18" s="53">
        <f>N19</f>
        <v>4819.038894</v>
      </c>
      <c r="O18" s="53">
        <f>O19</f>
        <v>4819.038894</v>
      </c>
      <c r="P18" s="53">
        <f>P19</f>
        <v>0</v>
      </c>
      <c r="Q18" s="79"/>
      <c r="S18" s="59"/>
      <c r="T18" s="56"/>
      <c r="U18" s="56"/>
      <c r="V18" s="56"/>
      <c r="W18" s="56"/>
    </row>
    <row r="19" s="1" customFormat="1" ht="149" customHeight="1" outlineLevel="1" spans="1:23">
      <c r="A19" s="25">
        <v>2.1</v>
      </c>
      <c r="B19" s="65" t="s">
        <v>32</v>
      </c>
      <c r="C19" s="67" t="s">
        <v>100</v>
      </c>
      <c r="D19" s="66" t="s">
        <v>80</v>
      </c>
      <c r="E19" s="68">
        <f>3.5+37.27+2.955+1.27+0.1+1.08+1.12</f>
        <v>47.295</v>
      </c>
      <c r="F19" s="64">
        <f>E19</f>
        <v>47.295</v>
      </c>
      <c r="G19" s="64"/>
      <c r="H19" s="53">
        <v>30</v>
      </c>
      <c r="I19" s="53">
        <v>40</v>
      </c>
      <c r="J19" s="53">
        <v>12</v>
      </c>
      <c r="K19" s="69">
        <f t="shared" si="0"/>
        <v>11.48</v>
      </c>
      <c r="L19" s="53">
        <f t="shared" si="1"/>
        <v>8.4132</v>
      </c>
      <c r="M19" s="53">
        <f t="shared" si="2"/>
        <v>101.8932</v>
      </c>
      <c r="N19" s="53">
        <f t="shared" si="3"/>
        <v>4819.038894</v>
      </c>
      <c r="O19" s="53">
        <f t="shared" si="4"/>
        <v>4819.038894</v>
      </c>
      <c r="P19" s="53">
        <f t="shared" si="5"/>
        <v>0</v>
      </c>
      <c r="Q19" s="79" t="s">
        <v>101</v>
      </c>
      <c r="S19" s="59"/>
      <c r="T19" s="56"/>
      <c r="U19" s="56"/>
      <c r="V19" s="56"/>
      <c r="W19" s="56"/>
    </row>
    <row r="20" s="1" customFormat="1" ht="26.1" customHeight="1" spans="1:23">
      <c r="A20" s="25">
        <v>3</v>
      </c>
      <c r="B20" s="25" t="s">
        <v>33</v>
      </c>
      <c r="C20" s="25"/>
      <c r="D20" s="25"/>
      <c r="E20" s="64"/>
      <c r="F20" s="64"/>
      <c r="G20" s="64"/>
      <c r="H20" s="53"/>
      <c r="I20" s="53"/>
      <c r="J20" s="53"/>
      <c r="K20" s="69"/>
      <c r="L20" s="53"/>
      <c r="M20" s="53"/>
      <c r="N20" s="53">
        <f>SUM(N21:N37)</f>
        <v>27651.1410261</v>
      </c>
      <c r="O20" s="53">
        <f>SUM(O21:O37)</f>
        <v>0</v>
      </c>
      <c r="P20" s="53">
        <f>SUM(P21:P37)</f>
        <v>7388.3262573</v>
      </c>
      <c r="Q20" s="53"/>
      <c r="S20" s="59"/>
      <c r="T20" s="56"/>
      <c r="U20" s="56"/>
      <c r="V20" s="56"/>
      <c r="W20" s="56"/>
    </row>
    <row r="21" s="56" customFormat="1" ht="90" customHeight="1" outlineLevel="1" spans="1:19">
      <c r="A21" s="25">
        <v>3.1</v>
      </c>
      <c r="B21" s="71" t="s">
        <v>102</v>
      </c>
      <c r="C21" s="72" t="s">
        <v>103</v>
      </c>
      <c r="D21" s="25" t="s">
        <v>80</v>
      </c>
      <c r="E21" s="64">
        <f>12.48-1.18-2.06-1.76+0.177+15.07-2.06-0.31+9.6+6.32-1.999+7.34+4.34+7.34+5.44+8.55+7.42-3.53+0.22+8.55+2.485-1.85+1.66+0.46+0.94+0.2*3+3*0.8</f>
        <v>86.643</v>
      </c>
      <c r="F21" s="64"/>
      <c r="G21" s="64">
        <f>E21/2</f>
        <v>43.3215</v>
      </c>
      <c r="H21" s="69">
        <v>15</v>
      </c>
      <c r="I21" s="69">
        <v>20</v>
      </c>
      <c r="J21" s="64">
        <v>5</v>
      </c>
      <c r="K21" s="69">
        <f t="shared" si="0"/>
        <v>5.6</v>
      </c>
      <c r="L21" s="53">
        <f t="shared" si="1"/>
        <v>4.104</v>
      </c>
      <c r="M21" s="53">
        <f t="shared" si="2"/>
        <v>49.704</v>
      </c>
      <c r="N21" s="53">
        <f t="shared" si="3"/>
        <v>4306.503672</v>
      </c>
      <c r="O21" s="53">
        <f t="shared" si="4"/>
        <v>0</v>
      </c>
      <c r="P21" s="53">
        <f t="shared" si="5"/>
        <v>2153.251836</v>
      </c>
      <c r="Q21" s="25" t="s">
        <v>104</v>
      </c>
      <c r="S21" s="59"/>
    </row>
    <row r="22" s="56" customFormat="1" ht="180" customHeight="1" outlineLevel="1" spans="1:19">
      <c r="A22" s="25">
        <v>3.2</v>
      </c>
      <c r="B22" s="71" t="s">
        <v>105</v>
      </c>
      <c r="C22" s="67" t="s">
        <v>106</v>
      </c>
      <c r="D22" s="25" t="s">
        <v>84</v>
      </c>
      <c r="E22" s="64">
        <f>0.93+1.53+1.825</f>
        <v>4.285</v>
      </c>
      <c r="F22" s="64"/>
      <c r="G22" s="64"/>
      <c r="H22" s="69">
        <v>50</v>
      </c>
      <c r="I22" s="69">
        <v>60</v>
      </c>
      <c r="J22" s="64">
        <v>10</v>
      </c>
      <c r="K22" s="69">
        <f t="shared" si="0"/>
        <v>16.8</v>
      </c>
      <c r="L22" s="53">
        <f t="shared" si="1"/>
        <v>12.312</v>
      </c>
      <c r="M22" s="53">
        <f t="shared" si="2"/>
        <v>149.112</v>
      </c>
      <c r="N22" s="53">
        <f t="shared" si="3"/>
        <v>638.94492</v>
      </c>
      <c r="O22" s="53">
        <f t="shared" si="4"/>
        <v>0</v>
      </c>
      <c r="P22" s="53">
        <f t="shared" si="5"/>
        <v>0</v>
      </c>
      <c r="Q22" s="25"/>
      <c r="S22" s="59"/>
    </row>
    <row r="23" s="56" customFormat="1" ht="83" customHeight="1" outlineLevel="1" spans="1:19">
      <c r="A23" s="25">
        <v>3.3</v>
      </c>
      <c r="B23" s="71" t="s">
        <v>107</v>
      </c>
      <c r="C23" s="72" t="s">
        <v>108</v>
      </c>
      <c r="D23" s="25" t="s">
        <v>109</v>
      </c>
      <c r="E23" s="64">
        <v>2</v>
      </c>
      <c r="F23" s="64"/>
      <c r="G23" s="64"/>
      <c r="H23" s="64">
        <v>100</v>
      </c>
      <c r="I23" s="64">
        <v>600</v>
      </c>
      <c r="J23" s="64">
        <v>50</v>
      </c>
      <c r="K23" s="69">
        <f t="shared" si="0"/>
        <v>105</v>
      </c>
      <c r="L23" s="53">
        <f t="shared" si="1"/>
        <v>76.95</v>
      </c>
      <c r="M23" s="53">
        <f t="shared" si="2"/>
        <v>931.95</v>
      </c>
      <c r="N23" s="53">
        <f t="shared" si="3"/>
        <v>1863.9</v>
      </c>
      <c r="O23" s="53">
        <f t="shared" si="4"/>
        <v>0</v>
      </c>
      <c r="P23" s="53">
        <f t="shared" si="5"/>
        <v>0</v>
      </c>
      <c r="Q23" s="25"/>
      <c r="S23" s="59"/>
    </row>
    <row r="24" s="56" customFormat="1" ht="72.95" customHeight="1" outlineLevel="1" spans="1:19">
      <c r="A24" s="25">
        <v>3.4</v>
      </c>
      <c r="B24" s="71" t="s">
        <v>110</v>
      </c>
      <c r="C24" s="72" t="s">
        <v>111</v>
      </c>
      <c r="D24" s="25" t="s">
        <v>80</v>
      </c>
      <c r="E24" s="64">
        <f>2.28*0.8</f>
        <v>1.824</v>
      </c>
      <c r="F24" s="64"/>
      <c r="G24" s="64"/>
      <c r="H24" s="53">
        <v>150</v>
      </c>
      <c r="I24" s="53">
        <v>380</v>
      </c>
      <c r="J24" s="53">
        <v>50</v>
      </c>
      <c r="K24" s="69">
        <f t="shared" si="0"/>
        <v>81.2</v>
      </c>
      <c r="L24" s="53">
        <f t="shared" si="1"/>
        <v>59.508</v>
      </c>
      <c r="M24" s="53">
        <f t="shared" si="2"/>
        <v>720.708</v>
      </c>
      <c r="N24" s="53">
        <f t="shared" si="3"/>
        <v>1314.571392</v>
      </c>
      <c r="O24" s="53">
        <f t="shared" si="4"/>
        <v>0</v>
      </c>
      <c r="P24" s="53">
        <f t="shared" si="5"/>
        <v>0</v>
      </c>
      <c r="Q24" s="25"/>
      <c r="S24" s="59"/>
    </row>
    <row r="25" s="56" customFormat="1" ht="72.95" customHeight="1" outlineLevel="1" spans="1:19">
      <c r="A25" s="25">
        <v>3.5</v>
      </c>
      <c r="B25" s="71" t="s">
        <v>112</v>
      </c>
      <c r="C25" s="72" t="s">
        <v>113</v>
      </c>
      <c r="D25" s="25" t="s">
        <v>80</v>
      </c>
      <c r="E25" s="64">
        <v>6.7</v>
      </c>
      <c r="F25" s="64"/>
      <c r="G25" s="64"/>
      <c r="H25" s="64">
        <v>200</v>
      </c>
      <c r="I25" s="64">
        <v>165</v>
      </c>
      <c r="J25" s="64">
        <v>45</v>
      </c>
      <c r="K25" s="69">
        <f t="shared" si="0"/>
        <v>57.4</v>
      </c>
      <c r="L25" s="53">
        <f t="shared" si="1"/>
        <v>42.066</v>
      </c>
      <c r="M25" s="53">
        <f t="shared" si="2"/>
        <v>509.466</v>
      </c>
      <c r="N25" s="53">
        <f t="shared" si="3"/>
        <v>3413.4222</v>
      </c>
      <c r="O25" s="53">
        <f t="shared" si="4"/>
        <v>0</v>
      </c>
      <c r="P25" s="53">
        <f t="shared" si="5"/>
        <v>0</v>
      </c>
      <c r="Q25" s="25"/>
      <c r="S25" s="59"/>
    </row>
    <row r="26" s="1" customFormat="1" ht="59" customHeight="1" outlineLevel="1" spans="1:23">
      <c r="A26" s="25">
        <v>3.6</v>
      </c>
      <c r="B26" s="25" t="s">
        <v>114</v>
      </c>
      <c r="C26" s="70" t="s">
        <v>115</v>
      </c>
      <c r="D26" s="25" t="s">
        <v>84</v>
      </c>
      <c r="E26" s="64">
        <v>2.4</v>
      </c>
      <c r="F26" s="64"/>
      <c r="G26" s="64"/>
      <c r="H26" s="53">
        <v>10</v>
      </c>
      <c r="I26" s="53">
        <v>10</v>
      </c>
      <c r="J26" s="53">
        <v>1</v>
      </c>
      <c r="K26" s="69">
        <f t="shared" si="0"/>
        <v>2.94</v>
      </c>
      <c r="L26" s="53">
        <f t="shared" si="1"/>
        <v>2.1546</v>
      </c>
      <c r="M26" s="53">
        <f t="shared" si="2"/>
        <v>26.0946</v>
      </c>
      <c r="N26" s="53">
        <f t="shared" si="3"/>
        <v>62.62704</v>
      </c>
      <c r="O26" s="53">
        <f t="shared" si="4"/>
        <v>0</v>
      </c>
      <c r="P26" s="53">
        <f t="shared" si="5"/>
        <v>0</v>
      </c>
      <c r="Q26" s="53"/>
      <c r="S26" s="59"/>
      <c r="T26" s="56"/>
      <c r="U26" s="56"/>
      <c r="V26" s="56"/>
      <c r="W26" s="56"/>
    </row>
    <row r="27" s="1" customFormat="1" ht="79" customHeight="1" outlineLevel="1" spans="1:23">
      <c r="A27" s="25">
        <v>3.7</v>
      </c>
      <c r="B27" s="25" t="s">
        <v>116</v>
      </c>
      <c r="C27" s="70" t="s">
        <v>117</v>
      </c>
      <c r="D27" s="25" t="s">
        <v>80</v>
      </c>
      <c r="E27" s="64">
        <f>1.254+1.254+0.776+1.33+3.94-1.085+4.3*0.08+4.42+3.94-1.81+4.42+4.54-1.085+4.3*0.08-0.278+7.056-0.96-1.12+4.54+7.056-1.84</f>
        <v>37.036</v>
      </c>
      <c r="F27" s="64"/>
      <c r="G27" s="64">
        <f>E27*0.5</f>
        <v>18.518</v>
      </c>
      <c r="H27" s="69">
        <v>55</v>
      </c>
      <c r="I27" s="69">
        <v>60</v>
      </c>
      <c r="J27" s="53">
        <v>23</v>
      </c>
      <c r="K27" s="69">
        <f t="shared" si="0"/>
        <v>19.32</v>
      </c>
      <c r="L27" s="53">
        <f t="shared" si="1"/>
        <v>14.1588</v>
      </c>
      <c r="M27" s="53">
        <f t="shared" si="2"/>
        <v>171.4788</v>
      </c>
      <c r="N27" s="53">
        <f t="shared" si="3"/>
        <v>6350.8888368</v>
      </c>
      <c r="O27" s="53">
        <f t="shared" si="4"/>
        <v>0</v>
      </c>
      <c r="P27" s="53">
        <f t="shared" si="5"/>
        <v>3175.4444184</v>
      </c>
      <c r="Q27" s="53" t="s">
        <v>118</v>
      </c>
      <c r="S27" s="59"/>
      <c r="T27" s="56"/>
      <c r="U27" s="56"/>
      <c r="V27" s="56"/>
      <c r="W27" s="56"/>
    </row>
    <row r="28" s="1" customFormat="1" ht="73" customHeight="1" outlineLevel="1" spans="1:23">
      <c r="A28" s="25">
        <v>3.8</v>
      </c>
      <c r="B28" s="25" t="s">
        <v>119</v>
      </c>
      <c r="C28" s="70" t="s">
        <v>120</v>
      </c>
      <c r="D28" s="25" t="s">
        <v>80</v>
      </c>
      <c r="E28" s="68">
        <f>6.1+2.45*0.3+3.54</f>
        <v>10.375</v>
      </c>
      <c r="F28" s="64"/>
      <c r="G28" s="64">
        <f>E28</f>
        <v>10.375</v>
      </c>
      <c r="H28" s="69">
        <v>20</v>
      </c>
      <c r="I28" s="69">
        <v>25</v>
      </c>
      <c r="J28" s="69">
        <v>4.5</v>
      </c>
      <c r="K28" s="69">
        <f t="shared" si="0"/>
        <v>6.93</v>
      </c>
      <c r="L28" s="53">
        <f t="shared" si="1"/>
        <v>5.0787</v>
      </c>
      <c r="M28" s="53">
        <f t="shared" si="2"/>
        <v>61.5087</v>
      </c>
      <c r="N28" s="53">
        <f t="shared" si="3"/>
        <v>638.1527625</v>
      </c>
      <c r="O28" s="53">
        <f t="shared" si="4"/>
        <v>0</v>
      </c>
      <c r="P28" s="53">
        <f t="shared" si="5"/>
        <v>638.1527625</v>
      </c>
      <c r="Q28" s="53"/>
      <c r="S28" s="59"/>
      <c r="T28" s="56"/>
      <c r="U28" s="56"/>
      <c r="V28" s="56"/>
      <c r="W28" s="56"/>
    </row>
    <row r="29" s="1" customFormat="1" ht="51" customHeight="1" outlineLevel="1" spans="1:23">
      <c r="A29" s="25">
        <v>3.9</v>
      </c>
      <c r="B29" s="25" t="s">
        <v>114</v>
      </c>
      <c r="C29" s="70" t="s">
        <v>121</v>
      </c>
      <c r="D29" s="25" t="s">
        <v>84</v>
      </c>
      <c r="E29" s="64">
        <f>2.28+2.28</f>
        <v>4.56</v>
      </c>
      <c r="F29" s="64"/>
      <c r="G29" s="64"/>
      <c r="H29" s="53">
        <v>10</v>
      </c>
      <c r="I29" s="53">
        <v>10</v>
      </c>
      <c r="J29" s="53">
        <v>1</v>
      </c>
      <c r="K29" s="69">
        <f t="shared" si="0"/>
        <v>2.94</v>
      </c>
      <c r="L29" s="53">
        <f t="shared" si="1"/>
        <v>2.1546</v>
      </c>
      <c r="M29" s="53">
        <f t="shared" si="2"/>
        <v>26.0946</v>
      </c>
      <c r="N29" s="53">
        <f t="shared" si="3"/>
        <v>118.991376</v>
      </c>
      <c r="O29" s="53">
        <f t="shared" si="4"/>
        <v>0</v>
      </c>
      <c r="P29" s="53">
        <f t="shared" si="5"/>
        <v>0</v>
      </c>
      <c r="Q29" s="53"/>
      <c r="S29" s="59"/>
      <c r="T29" s="56"/>
      <c r="U29" s="56"/>
      <c r="V29" s="56"/>
      <c r="W29" s="56"/>
    </row>
    <row r="30" s="1" customFormat="1" ht="51" customHeight="1" outlineLevel="1" spans="1:23">
      <c r="A30" s="64">
        <v>3.1</v>
      </c>
      <c r="B30" s="25" t="s">
        <v>122</v>
      </c>
      <c r="C30" s="72" t="s">
        <v>123</v>
      </c>
      <c r="D30" s="25" t="s">
        <v>109</v>
      </c>
      <c r="E30" s="64">
        <v>1</v>
      </c>
      <c r="F30" s="64"/>
      <c r="G30" s="64"/>
      <c r="H30" s="64">
        <v>100</v>
      </c>
      <c r="I30" s="64">
        <v>650</v>
      </c>
      <c r="J30" s="53">
        <v>50</v>
      </c>
      <c r="K30" s="69">
        <f t="shared" si="0"/>
        <v>112</v>
      </c>
      <c r="L30" s="53">
        <f t="shared" si="1"/>
        <v>82.08</v>
      </c>
      <c r="M30" s="53">
        <f t="shared" si="2"/>
        <v>994.08</v>
      </c>
      <c r="N30" s="53">
        <f t="shared" si="3"/>
        <v>994.08</v>
      </c>
      <c r="O30" s="53">
        <f t="shared" si="4"/>
        <v>0</v>
      </c>
      <c r="P30" s="53">
        <f t="shared" si="5"/>
        <v>0</v>
      </c>
      <c r="Q30" s="53"/>
      <c r="S30" s="59"/>
      <c r="T30" s="56"/>
      <c r="U30" s="56"/>
      <c r="V30" s="56"/>
      <c r="W30" s="56"/>
    </row>
    <row r="31" s="1" customFormat="1" ht="51" customHeight="1" outlineLevel="1" spans="1:23">
      <c r="A31" s="25">
        <v>3.11</v>
      </c>
      <c r="B31" s="25" t="s">
        <v>124</v>
      </c>
      <c r="C31" s="72" t="s">
        <v>125</v>
      </c>
      <c r="D31" s="25" t="s">
        <v>109</v>
      </c>
      <c r="E31" s="64">
        <v>1</v>
      </c>
      <c r="F31" s="64"/>
      <c r="G31" s="64"/>
      <c r="H31" s="64">
        <v>100</v>
      </c>
      <c r="I31" s="64">
        <v>580</v>
      </c>
      <c r="J31" s="64">
        <v>50</v>
      </c>
      <c r="K31" s="69">
        <f t="shared" si="0"/>
        <v>102.2</v>
      </c>
      <c r="L31" s="53">
        <f t="shared" si="1"/>
        <v>74.898</v>
      </c>
      <c r="M31" s="53">
        <f t="shared" si="2"/>
        <v>907.098</v>
      </c>
      <c r="N31" s="53">
        <f t="shared" si="3"/>
        <v>907.098</v>
      </c>
      <c r="O31" s="53">
        <f t="shared" si="4"/>
        <v>0</v>
      </c>
      <c r="P31" s="53">
        <f t="shared" si="5"/>
        <v>0</v>
      </c>
      <c r="Q31" s="53"/>
      <c r="S31" s="59"/>
      <c r="T31" s="56"/>
      <c r="U31" s="56"/>
      <c r="V31" s="56"/>
      <c r="W31" s="56"/>
    </row>
    <row r="32" s="1" customFormat="1" ht="81" customHeight="1" outlineLevel="1" spans="1:23">
      <c r="A32" s="25">
        <v>3.12</v>
      </c>
      <c r="B32" s="25" t="s">
        <v>126</v>
      </c>
      <c r="C32" s="70" t="s">
        <v>127</v>
      </c>
      <c r="D32" s="25" t="s">
        <v>80</v>
      </c>
      <c r="E32" s="64">
        <f>0.46+6.67+0.606+6.75+0.52</f>
        <v>15.006</v>
      </c>
      <c r="F32" s="64"/>
      <c r="G32" s="64">
        <f>0.5*E32</f>
        <v>7.503</v>
      </c>
      <c r="H32" s="69">
        <v>55</v>
      </c>
      <c r="I32" s="69">
        <v>60</v>
      </c>
      <c r="J32" s="53">
        <v>23</v>
      </c>
      <c r="K32" s="69">
        <f t="shared" si="0"/>
        <v>19.32</v>
      </c>
      <c r="L32" s="53">
        <f t="shared" si="1"/>
        <v>14.1588</v>
      </c>
      <c r="M32" s="53">
        <f t="shared" si="2"/>
        <v>171.4788</v>
      </c>
      <c r="N32" s="53">
        <f t="shared" si="3"/>
        <v>2573.2108728</v>
      </c>
      <c r="O32" s="53">
        <f t="shared" si="4"/>
        <v>0</v>
      </c>
      <c r="P32" s="53">
        <f t="shared" si="5"/>
        <v>1286.6054364</v>
      </c>
      <c r="Q32" s="53"/>
      <c r="S32" s="59"/>
      <c r="T32" s="56"/>
      <c r="U32" s="56"/>
      <c r="V32" s="56"/>
      <c r="W32" s="56"/>
    </row>
    <row r="33" s="1" customFormat="1" ht="93" customHeight="1" outlineLevel="1" spans="1:23">
      <c r="A33" s="25">
        <v>3.13</v>
      </c>
      <c r="B33" s="25" t="s">
        <v>128</v>
      </c>
      <c r="C33" s="70" t="s">
        <v>129</v>
      </c>
      <c r="D33" s="25" t="s">
        <v>80</v>
      </c>
      <c r="E33" s="68">
        <f>0.559*2+1.25*2</f>
        <v>3.618</v>
      </c>
      <c r="F33" s="64"/>
      <c r="G33" s="64">
        <f>E33</f>
        <v>3.618</v>
      </c>
      <c r="H33" s="69">
        <v>22</v>
      </c>
      <c r="I33" s="69">
        <v>5</v>
      </c>
      <c r="J33" s="53">
        <v>3</v>
      </c>
      <c r="K33" s="69">
        <f t="shared" si="0"/>
        <v>4.2</v>
      </c>
      <c r="L33" s="53">
        <f t="shared" si="1"/>
        <v>3.078</v>
      </c>
      <c r="M33" s="53">
        <f t="shared" si="2"/>
        <v>37.278</v>
      </c>
      <c r="N33" s="53">
        <f t="shared" si="3"/>
        <v>134.871804</v>
      </c>
      <c r="O33" s="53">
        <f t="shared" si="4"/>
        <v>0</v>
      </c>
      <c r="P33" s="53">
        <f t="shared" si="5"/>
        <v>134.871804</v>
      </c>
      <c r="Q33" s="53"/>
      <c r="S33" s="59"/>
      <c r="T33" s="56"/>
      <c r="U33" s="56"/>
      <c r="V33" s="56"/>
      <c r="W33" s="56"/>
    </row>
    <row r="34" s="1" customFormat="1" ht="78" customHeight="1" outlineLevel="1" spans="1:23">
      <c r="A34" s="25">
        <v>3.14</v>
      </c>
      <c r="B34" s="25" t="s">
        <v>130</v>
      </c>
      <c r="C34" s="70" t="s">
        <v>131</v>
      </c>
      <c r="D34" s="25" t="s">
        <v>84</v>
      </c>
      <c r="E34" s="64">
        <f>1.75+0.54+1.29</f>
        <v>3.58</v>
      </c>
      <c r="F34" s="64"/>
      <c r="G34" s="64"/>
      <c r="H34" s="73">
        <v>150</v>
      </c>
      <c r="I34" s="73">
        <v>500</v>
      </c>
      <c r="J34" s="53">
        <v>25</v>
      </c>
      <c r="K34" s="69">
        <f t="shared" si="0"/>
        <v>94.5</v>
      </c>
      <c r="L34" s="53">
        <f t="shared" si="1"/>
        <v>69.255</v>
      </c>
      <c r="M34" s="53">
        <f t="shared" si="2"/>
        <v>838.755</v>
      </c>
      <c r="N34" s="53">
        <f t="shared" si="3"/>
        <v>3002.7429</v>
      </c>
      <c r="O34" s="53">
        <f t="shared" si="4"/>
        <v>0</v>
      </c>
      <c r="P34" s="53">
        <f t="shared" si="5"/>
        <v>0</v>
      </c>
      <c r="Q34" s="53"/>
      <c r="S34" s="59"/>
      <c r="T34" s="56"/>
      <c r="U34" s="56"/>
      <c r="V34" s="56"/>
      <c r="W34" s="56"/>
    </row>
    <row r="35" s="1" customFormat="1" ht="78" customHeight="1" outlineLevel="1" spans="1:23">
      <c r="A35" s="25">
        <v>3.15</v>
      </c>
      <c r="B35" s="25" t="s">
        <v>132</v>
      </c>
      <c r="C35" s="70" t="s">
        <v>133</v>
      </c>
      <c r="D35" s="25" t="s">
        <v>84</v>
      </c>
      <c r="E35" s="64">
        <v>1.75</v>
      </c>
      <c r="F35" s="64"/>
      <c r="G35" s="64"/>
      <c r="H35" s="53">
        <v>150</v>
      </c>
      <c r="I35" s="53">
        <v>300</v>
      </c>
      <c r="J35" s="53">
        <v>25</v>
      </c>
      <c r="K35" s="69">
        <f t="shared" si="0"/>
        <v>66.5</v>
      </c>
      <c r="L35" s="53">
        <f t="shared" si="1"/>
        <v>48.735</v>
      </c>
      <c r="M35" s="53">
        <f t="shared" si="2"/>
        <v>590.235</v>
      </c>
      <c r="N35" s="53">
        <f t="shared" si="3"/>
        <v>1032.91125</v>
      </c>
      <c r="O35" s="53">
        <f t="shared" si="4"/>
        <v>0</v>
      </c>
      <c r="P35" s="53">
        <f t="shared" si="5"/>
        <v>0</v>
      </c>
      <c r="Q35" s="53"/>
      <c r="S35" s="59"/>
      <c r="T35" s="56"/>
      <c r="U35" s="56"/>
      <c r="V35" s="56"/>
      <c r="W35" s="56"/>
    </row>
    <row r="36" s="1" customFormat="1" ht="78" customHeight="1" outlineLevel="1" spans="1:23">
      <c r="A36" s="25">
        <v>3.16</v>
      </c>
      <c r="B36" s="25" t="s">
        <v>134</v>
      </c>
      <c r="C36" s="70" t="s">
        <v>135</v>
      </c>
      <c r="D36" s="25" t="s">
        <v>136</v>
      </c>
      <c r="E36" s="64">
        <v>1</v>
      </c>
      <c r="F36" s="64"/>
      <c r="G36" s="64"/>
      <c r="H36" s="53">
        <v>20</v>
      </c>
      <c r="I36" s="53">
        <v>40</v>
      </c>
      <c r="J36" s="53">
        <v>15</v>
      </c>
      <c r="K36" s="69">
        <f t="shared" si="0"/>
        <v>10.5</v>
      </c>
      <c r="L36" s="53">
        <f t="shared" si="1"/>
        <v>7.695</v>
      </c>
      <c r="M36" s="53">
        <f t="shared" si="2"/>
        <v>93.195</v>
      </c>
      <c r="N36" s="53">
        <f t="shared" si="3"/>
        <v>93.195</v>
      </c>
      <c r="O36" s="53">
        <f t="shared" si="4"/>
        <v>0</v>
      </c>
      <c r="P36" s="53">
        <f t="shared" si="5"/>
        <v>0</v>
      </c>
      <c r="Q36" s="53" t="s">
        <v>137</v>
      </c>
      <c r="S36" s="59"/>
      <c r="T36" s="56"/>
      <c r="U36" s="56"/>
      <c r="V36" s="56"/>
      <c r="W36" s="56"/>
    </row>
    <row r="37" s="1" customFormat="1" ht="78" customHeight="1" outlineLevel="1" spans="1:23">
      <c r="A37" s="25">
        <v>3.17</v>
      </c>
      <c r="B37" s="25" t="s">
        <v>138</v>
      </c>
      <c r="C37" s="70" t="s">
        <v>135</v>
      </c>
      <c r="D37" s="25" t="s">
        <v>136</v>
      </c>
      <c r="E37" s="64">
        <v>1</v>
      </c>
      <c r="F37" s="64"/>
      <c r="G37" s="64"/>
      <c r="H37" s="53">
        <v>30</v>
      </c>
      <c r="I37" s="53">
        <v>120</v>
      </c>
      <c r="J37" s="53">
        <v>15</v>
      </c>
      <c r="K37" s="69">
        <f t="shared" si="0"/>
        <v>23.1</v>
      </c>
      <c r="L37" s="53">
        <f t="shared" si="1"/>
        <v>16.929</v>
      </c>
      <c r="M37" s="53">
        <f t="shared" si="2"/>
        <v>205.029</v>
      </c>
      <c r="N37" s="53">
        <f t="shared" si="3"/>
        <v>205.029</v>
      </c>
      <c r="O37" s="53">
        <f t="shared" si="4"/>
        <v>0</v>
      </c>
      <c r="P37" s="53">
        <f t="shared" si="5"/>
        <v>0</v>
      </c>
      <c r="Q37" s="53" t="s">
        <v>137</v>
      </c>
      <c r="S37" s="59"/>
      <c r="T37" s="56"/>
      <c r="U37" s="56"/>
      <c r="V37" s="56"/>
      <c r="W37" s="56"/>
    </row>
    <row r="38" s="1" customFormat="1" ht="30" customHeight="1" spans="1:23">
      <c r="A38" s="25">
        <v>4</v>
      </c>
      <c r="B38" s="25" t="s">
        <v>34</v>
      </c>
      <c r="C38" s="25" t="s">
        <v>34</v>
      </c>
      <c r="D38" s="25"/>
      <c r="E38" s="64"/>
      <c r="F38" s="64"/>
      <c r="G38" s="64"/>
      <c r="H38" s="53"/>
      <c r="I38" s="53"/>
      <c r="J38" s="53"/>
      <c r="K38" s="69"/>
      <c r="L38" s="53"/>
      <c r="M38" s="53"/>
      <c r="N38" s="53">
        <f>SUM(N39:N44)</f>
        <v>4733.075826</v>
      </c>
      <c r="O38" s="53">
        <f>SUM(O39:O44)</f>
        <v>0</v>
      </c>
      <c r="P38" s="53">
        <f>SUM(P39:P44)</f>
        <v>3709.173426</v>
      </c>
      <c r="Q38" s="53"/>
      <c r="S38" s="59"/>
      <c r="T38" s="56"/>
      <c r="U38" s="56"/>
      <c r="V38" s="56"/>
      <c r="W38" s="56"/>
    </row>
    <row r="39" s="1" customFormat="1" ht="124" customHeight="1" outlineLevel="1" spans="1:23">
      <c r="A39" s="25">
        <v>4.1</v>
      </c>
      <c r="B39" s="25" t="s">
        <v>139</v>
      </c>
      <c r="C39" s="70" t="s">
        <v>140</v>
      </c>
      <c r="D39" s="25" t="s">
        <v>141</v>
      </c>
      <c r="E39" s="64">
        <f>2.96+5.28</f>
        <v>8.24</v>
      </c>
      <c r="F39" s="64"/>
      <c r="G39" s="64"/>
      <c r="H39" s="69">
        <v>45</v>
      </c>
      <c r="I39" s="69">
        <v>30</v>
      </c>
      <c r="J39" s="53">
        <v>25</v>
      </c>
      <c r="K39" s="69">
        <f t="shared" si="0"/>
        <v>14</v>
      </c>
      <c r="L39" s="53">
        <f t="shared" si="1"/>
        <v>10.26</v>
      </c>
      <c r="M39" s="53">
        <f t="shared" si="2"/>
        <v>124.26</v>
      </c>
      <c r="N39" s="53">
        <f t="shared" si="3"/>
        <v>1023.9024</v>
      </c>
      <c r="O39" s="53">
        <f t="shared" si="4"/>
        <v>0</v>
      </c>
      <c r="P39" s="53">
        <f t="shared" si="5"/>
        <v>0</v>
      </c>
      <c r="Q39" s="53"/>
      <c r="S39" s="59"/>
      <c r="T39" s="56"/>
      <c r="U39" s="56"/>
      <c r="V39" s="56"/>
      <c r="W39" s="56"/>
    </row>
    <row r="40" s="1" customFormat="1" ht="195" customHeight="1" outlineLevel="1" spans="1:23">
      <c r="A40" s="25">
        <v>4.2</v>
      </c>
      <c r="B40" s="25" t="s">
        <v>142</v>
      </c>
      <c r="C40" s="70" t="s">
        <v>143</v>
      </c>
      <c r="D40" s="25" t="s">
        <v>141</v>
      </c>
      <c r="E40" s="68">
        <f>1.88+19.68-13.81</f>
        <v>7.75</v>
      </c>
      <c r="F40" s="64"/>
      <c r="G40" s="64">
        <f>E40</f>
        <v>7.75</v>
      </c>
      <c r="H40" s="74">
        <v>70</v>
      </c>
      <c r="I40" s="74">
        <v>40</v>
      </c>
      <c r="J40" s="53">
        <v>28</v>
      </c>
      <c r="K40" s="69">
        <f t="shared" si="0"/>
        <v>19.32</v>
      </c>
      <c r="L40" s="53">
        <f t="shared" si="1"/>
        <v>14.1588</v>
      </c>
      <c r="M40" s="53">
        <f t="shared" si="2"/>
        <v>171.4788</v>
      </c>
      <c r="N40" s="53">
        <f t="shared" si="3"/>
        <v>1328.9607</v>
      </c>
      <c r="O40" s="53">
        <f t="shared" si="4"/>
        <v>0</v>
      </c>
      <c r="P40" s="53">
        <f t="shared" si="5"/>
        <v>1328.9607</v>
      </c>
      <c r="Q40" s="53"/>
      <c r="S40" s="59"/>
      <c r="T40" s="56"/>
      <c r="U40" s="56"/>
      <c r="V40" s="56"/>
      <c r="W40" s="56"/>
    </row>
    <row r="41" s="1" customFormat="1" ht="91" customHeight="1" outlineLevel="1" spans="1:23">
      <c r="A41" s="25">
        <v>4.3</v>
      </c>
      <c r="B41" s="25" t="s">
        <v>144</v>
      </c>
      <c r="C41" s="70" t="s">
        <v>145</v>
      </c>
      <c r="D41" s="25" t="s">
        <v>80</v>
      </c>
      <c r="E41" s="68">
        <v>3.52</v>
      </c>
      <c r="F41" s="64"/>
      <c r="G41" s="64">
        <f>E41</f>
        <v>3.52</v>
      </c>
      <c r="H41" s="69">
        <v>22</v>
      </c>
      <c r="I41" s="69">
        <v>5</v>
      </c>
      <c r="J41" s="53">
        <v>3</v>
      </c>
      <c r="K41" s="69">
        <f t="shared" si="0"/>
        <v>4.2</v>
      </c>
      <c r="L41" s="53">
        <f t="shared" si="1"/>
        <v>3.078</v>
      </c>
      <c r="M41" s="53">
        <f t="shared" si="2"/>
        <v>37.278</v>
      </c>
      <c r="N41" s="53">
        <f t="shared" si="3"/>
        <v>131.21856</v>
      </c>
      <c r="O41" s="53">
        <f t="shared" si="4"/>
        <v>0</v>
      </c>
      <c r="P41" s="53">
        <f t="shared" si="5"/>
        <v>131.21856</v>
      </c>
      <c r="Q41" s="53"/>
      <c r="S41" s="59"/>
      <c r="T41" s="56"/>
      <c r="U41" s="56"/>
      <c r="V41" s="56"/>
      <c r="W41" s="56"/>
    </row>
    <row r="42" s="1" customFormat="1" ht="90" customHeight="1" outlineLevel="1" spans="1:23">
      <c r="A42" s="25">
        <v>4.4</v>
      </c>
      <c r="B42" s="25" t="s">
        <v>146</v>
      </c>
      <c r="C42" s="70" t="s">
        <v>147</v>
      </c>
      <c r="D42" s="25" t="s">
        <v>80</v>
      </c>
      <c r="E42" s="75">
        <f>6.9+13.8+7.78+0.6</f>
        <v>29.08</v>
      </c>
      <c r="F42" s="76"/>
      <c r="G42" s="64">
        <f>E42</f>
        <v>29.08</v>
      </c>
      <c r="H42" s="69">
        <v>22</v>
      </c>
      <c r="I42" s="69">
        <v>4</v>
      </c>
      <c r="J42" s="53">
        <v>3</v>
      </c>
      <c r="K42" s="69">
        <f t="shared" si="0"/>
        <v>4.06</v>
      </c>
      <c r="L42" s="53">
        <f t="shared" si="1"/>
        <v>2.9754</v>
      </c>
      <c r="M42" s="53">
        <f t="shared" si="2"/>
        <v>36.0354</v>
      </c>
      <c r="N42" s="53">
        <f t="shared" si="3"/>
        <v>1047.909432</v>
      </c>
      <c r="O42" s="53">
        <f t="shared" si="4"/>
        <v>0</v>
      </c>
      <c r="P42" s="53">
        <f t="shared" si="5"/>
        <v>1047.909432</v>
      </c>
      <c r="Q42" s="53"/>
      <c r="S42" s="59"/>
      <c r="T42" s="56"/>
      <c r="U42" s="56"/>
      <c r="V42" s="56"/>
      <c r="W42" s="56"/>
    </row>
    <row r="43" s="1" customFormat="1" ht="68.1" customHeight="1" outlineLevel="1" spans="1:23">
      <c r="A43" s="25">
        <v>4.5</v>
      </c>
      <c r="B43" s="25" t="s">
        <v>148</v>
      </c>
      <c r="C43" s="70" t="s">
        <v>149</v>
      </c>
      <c r="D43" s="25" t="s">
        <v>84</v>
      </c>
      <c r="E43" s="68">
        <f>10.52+11.17</f>
        <v>21.69</v>
      </c>
      <c r="F43" s="64"/>
      <c r="G43" s="64">
        <f>E43</f>
        <v>21.69</v>
      </c>
      <c r="H43" s="53">
        <v>5</v>
      </c>
      <c r="I43" s="53">
        <v>5</v>
      </c>
      <c r="J43" s="53">
        <v>1</v>
      </c>
      <c r="K43" s="69">
        <f t="shared" si="0"/>
        <v>1.54</v>
      </c>
      <c r="L43" s="53">
        <f t="shared" si="1"/>
        <v>1.1286</v>
      </c>
      <c r="M43" s="53">
        <f t="shared" si="2"/>
        <v>13.6686</v>
      </c>
      <c r="N43" s="53">
        <f t="shared" si="3"/>
        <v>296.471934</v>
      </c>
      <c r="O43" s="53">
        <f t="shared" si="4"/>
        <v>0</v>
      </c>
      <c r="P43" s="53">
        <f t="shared" si="5"/>
        <v>296.471934</v>
      </c>
      <c r="Q43" s="80"/>
      <c r="S43" s="59"/>
      <c r="T43" s="56"/>
      <c r="U43" s="56"/>
      <c r="V43" s="56"/>
      <c r="W43" s="56"/>
    </row>
    <row r="44" s="1" customFormat="1" ht="83" customHeight="1" outlineLevel="1" spans="1:23">
      <c r="A44" s="25">
        <v>4.6</v>
      </c>
      <c r="B44" s="25" t="s">
        <v>150</v>
      </c>
      <c r="C44" s="70" t="s">
        <v>151</v>
      </c>
      <c r="D44" s="25" t="s">
        <v>84</v>
      </c>
      <c r="E44" s="68">
        <f>3+1.49+0.21+2.58</f>
        <v>7.28</v>
      </c>
      <c r="F44" s="64"/>
      <c r="G44" s="64">
        <f>E44</f>
        <v>7.28</v>
      </c>
      <c r="H44" s="69">
        <v>70</v>
      </c>
      <c r="I44" s="69">
        <v>20</v>
      </c>
      <c r="J44" s="53">
        <v>10</v>
      </c>
      <c r="K44" s="69">
        <f t="shared" si="0"/>
        <v>14</v>
      </c>
      <c r="L44" s="53">
        <f t="shared" si="1"/>
        <v>10.26</v>
      </c>
      <c r="M44" s="53">
        <f t="shared" si="2"/>
        <v>124.26</v>
      </c>
      <c r="N44" s="53">
        <f t="shared" si="3"/>
        <v>904.6128</v>
      </c>
      <c r="O44" s="53">
        <f t="shared" si="4"/>
        <v>0</v>
      </c>
      <c r="P44" s="53">
        <f t="shared" si="5"/>
        <v>904.6128</v>
      </c>
      <c r="Q44" s="80"/>
      <c r="S44" s="59"/>
      <c r="T44" s="56"/>
      <c r="U44" s="56"/>
      <c r="V44" s="56"/>
      <c r="W44" s="56"/>
    </row>
    <row r="45" ht="36" customHeight="1" spans="1:17">
      <c r="A45" s="25">
        <v>5</v>
      </c>
      <c r="B45" s="25" t="s">
        <v>35</v>
      </c>
      <c r="C45" s="25" t="s">
        <v>35</v>
      </c>
      <c r="D45" s="25"/>
      <c r="E45" s="64"/>
      <c r="F45" s="64"/>
      <c r="G45" s="64"/>
      <c r="H45" s="69"/>
      <c r="I45" s="69"/>
      <c r="J45" s="53"/>
      <c r="K45" s="69"/>
      <c r="L45" s="53"/>
      <c r="M45" s="53"/>
      <c r="N45" s="53">
        <f>SUM(N46:N50)</f>
        <v>8671.769898</v>
      </c>
      <c r="O45" s="53">
        <f>SUM(O46:O50)</f>
        <v>0</v>
      </c>
      <c r="P45" s="53">
        <f>SUM(P46:P50)</f>
        <v>7647.867498</v>
      </c>
      <c r="Q45" s="53"/>
    </row>
    <row r="46" ht="126" customHeight="1" outlineLevel="1" spans="1:17">
      <c r="A46" s="25">
        <v>5.1</v>
      </c>
      <c r="B46" s="25" t="s">
        <v>139</v>
      </c>
      <c r="C46" s="70" t="s">
        <v>140</v>
      </c>
      <c r="D46" s="25" t="s">
        <v>141</v>
      </c>
      <c r="E46" s="64">
        <f>2.96+5.28</f>
        <v>8.24</v>
      </c>
      <c r="F46" s="64"/>
      <c r="G46" s="64"/>
      <c r="H46" s="69">
        <v>45</v>
      </c>
      <c r="I46" s="69">
        <v>30</v>
      </c>
      <c r="J46" s="53">
        <v>25</v>
      </c>
      <c r="K46" s="69">
        <f t="shared" si="0"/>
        <v>14</v>
      </c>
      <c r="L46" s="53">
        <f t="shared" si="1"/>
        <v>10.26</v>
      </c>
      <c r="M46" s="53">
        <f t="shared" si="2"/>
        <v>124.26</v>
      </c>
      <c r="N46" s="53">
        <f t="shared" si="3"/>
        <v>1023.9024</v>
      </c>
      <c r="O46" s="53">
        <f t="shared" si="4"/>
        <v>0</v>
      </c>
      <c r="P46" s="53">
        <f t="shared" si="5"/>
        <v>0</v>
      </c>
      <c r="Q46" s="53"/>
    </row>
    <row r="47" ht="200" customHeight="1" outlineLevel="1" spans="1:17">
      <c r="A47" s="25">
        <v>5.2</v>
      </c>
      <c r="B47" s="25" t="s">
        <v>142</v>
      </c>
      <c r="C47" s="70" t="s">
        <v>143</v>
      </c>
      <c r="D47" s="25" t="s">
        <v>141</v>
      </c>
      <c r="E47" s="68">
        <f>1.88+19.68-13.81+6.9+13.8+7.78+0.6</f>
        <v>36.83</v>
      </c>
      <c r="F47" s="64"/>
      <c r="G47" s="64">
        <f>E47</f>
        <v>36.83</v>
      </c>
      <c r="H47" s="74">
        <v>70</v>
      </c>
      <c r="I47" s="74">
        <v>40</v>
      </c>
      <c r="J47" s="53">
        <v>28</v>
      </c>
      <c r="K47" s="69">
        <f t="shared" si="0"/>
        <v>19.32</v>
      </c>
      <c r="L47" s="53">
        <f t="shared" si="1"/>
        <v>14.1588</v>
      </c>
      <c r="M47" s="53">
        <f t="shared" si="2"/>
        <v>171.4788</v>
      </c>
      <c r="N47" s="53">
        <f t="shared" si="3"/>
        <v>6315.564204</v>
      </c>
      <c r="O47" s="53">
        <f t="shared" si="4"/>
        <v>0</v>
      </c>
      <c r="P47" s="53">
        <f t="shared" si="5"/>
        <v>6315.564204</v>
      </c>
      <c r="Q47" s="53"/>
    </row>
    <row r="48" ht="90" outlineLevel="1" spans="1:17">
      <c r="A48" s="25">
        <v>5.3</v>
      </c>
      <c r="B48" s="25" t="s">
        <v>144</v>
      </c>
      <c r="C48" s="70" t="s">
        <v>145</v>
      </c>
      <c r="D48" s="25" t="s">
        <v>80</v>
      </c>
      <c r="E48" s="68">
        <v>3.52</v>
      </c>
      <c r="F48" s="64"/>
      <c r="G48" s="64">
        <f>E48</f>
        <v>3.52</v>
      </c>
      <c r="H48" s="69">
        <v>22</v>
      </c>
      <c r="I48" s="69">
        <v>5</v>
      </c>
      <c r="J48" s="53">
        <v>3</v>
      </c>
      <c r="K48" s="69">
        <f t="shared" si="0"/>
        <v>4.2</v>
      </c>
      <c r="L48" s="53">
        <f t="shared" si="1"/>
        <v>3.078</v>
      </c>
      <c r="M48" s="53">
        <f t="shared" si="2"/>
        <v>37.278</v>
      </c>
      <c r="N48" s="53">
        <f t="shared" si="3"/>
        <v>131.21856</v>
      </c>
      <c r="O48" s="53">
        <f t="shared" si="4"/>
        <v>0</v>
      </c>
      <c r="P48" s="53">
        <f t="shared" si="5"/>
        <v>131.21856</v>
      </c>
      <c r="Q48" s="53"/>
    </row>
    <row r="49" ht="72" customHeight="1" outlineLevel="1" spans="1:17">
      <c r="A49" s="25">
        <v>5.4</v>
      </c>
      <c r="B49" s="25" t="s">
        <v>148</v>
      </c>
      <c r="C49" s="70" t="s">
        <v>149</v>
      </c>
      <c r="D49" s="25" t="s">
        <v>84</v>
      </c>
      <c r="E49" s="68">
        <f>10.52+11.17</f>
        <v>21.69</v>
      </c>
      <c r="F49" s="64"/>
      <c r="G49" s="64">
        <f>E49</f>
        <v>21.69</v>
      </c>
      <c r="H49" s="53">
        <v>5</v>
      </c>
      <c r="I49" s="53">
        <v>5</v>
      </c>
      <c r="J49" s="53">
        <v>1</v>
      </c>
      <c r="K49" s="69">
        <f t="shared" si="0"/>
        <v>1.54</v>
      </c>
      <c r="L49" s="53">
        <f t="shared" si="1"/>
        <v>1.1286</v>
      </c>
      <c r="M49" s="53">
        <f t="shared" si="2"/>
        <v>13.6686</v>
      </c>
      <c r="N49" s="53">
        <f t="shared" si="3"/>
        <v>296.471934</v>
      </c>
      <c r="O49" s="53">
        <f t="shared" si="4"/>
        <v>0</v>
      </c>
      <c r="P49" s="53">
        <f t="shared" si="5"/>
        <v>296.471934</v>
      </c>
      <c r="Q49" s="80"/>
    </row>
    <row r="50" ht="96" customHeight="1" outlineLevel="1" spans="1:17">
      <c r="A50" s="25">
        <v>5.5</v>
      </c>
      <c r="B50" s="25" t="s">
        <v>150</v>
      </c>
      <c r="C50" s="70" t="s">
        <v>151</v>
      </c>
      <c r="D50" s="25" t="s">
        <v>84</v>
      </c>
      <c r="E50" s="68">
        <f>3+1.49+0.21+2.58</f>
        <v>7.28</v>
      </c>
      <c r="F50" s="64"/>
      <c r="G50" s="64">
        <f>E50</f>
        <v>7.28</v>
      </c>
      <c r="H50" s="69">
        <v>70</v>
      </c>
      <c r="I50" s="69">
        <v>20</v>
      </c>
      <c r="J50" s="53">
        <v>10</v>
      </c>
      <c r="K50" s="69">
        <f t="shared" si="0"/>
        <v>14</v>
      </c>
      <c r="L50" s="53">
        <f t="shared" si="1"/>
        <v>10.26</v>
      </c>
      <c r="M50" s="53">
        <f t="shared" si="2"/>
        <v>124.26</v>
      </c>
      <c r="N50" s="53">
        <f t="shared" si="3"/>
        <v>904.6128</v>
      </c>
      <c r="O50" s="53">
        <f t="shared" si="4"/>
        <v>0</v>
      </c>
      <c r="P50" s="53">
        <f t="shared" si="5"/>
        <v>904.6128</v>
      </c>
      <c r="Q50" s="80"/>
    </row>
    <row r="51" s="56" customFormat="1" spans="1:19">
      <c r="A51" s="25" t="s">
        <v>152</v>
      </c>
      <c r="B51" s="25" t="s">
        <v>153</v>
      </c>
      <c r="C51" s="25" t="s">
        <v>77</v>
      </c>
      <c r="D51" s="25"/>
      <c r="E51" s="64"/>
      <c r="F51" s="64"/>
      <c r="G51" s="64"/>
      <c r="H51" s="53"/>
      <c r="I51" s="53"/>
      <c r="J51" s="53"/>
      <c r="K51" s="53"/>
      <c r="L51" s="53"/>
      <c r="M51" s="53"/>
      <c r="N51" s="53"/>
      <c r="O51" s="53"/>
      <c r="P51" s="53">
        <f t="shared" si="5"/>
        <v>0</v>
      </c>
      <c r="Q51" s="53"/>
      <c r="S51" s="59"/>
    </row>
    <row r="52" s="1" customFormat="1" ht="24" customHeight="1" spans="1:23">
      <c r="A52" s="25">
        <v>1</v>
      </c>
      <c r="B52" s="25" t="s">
        <v>31</v>
      </c>
      <c r="C52" s="25"/>
      <c r="D52" s="25"/>
      <c r="E52" s="64"/>
      <c r="F52" s="64"/>
      <c r="G52" s="64"/>
      <c r="H52" s="53"/>
      <c r="I52" s="53"/>
      <c r="J52" s="53"/>
      <c r="K52" s="69"/>
      <c r="L52" s="53"/>
      <c r="M52" s="53"/>
      <c r="N52" s="53">
        <f>SUM(N53:N63)</f>
        <v>5504.749065</v>
      </c>
      <c r="O52" s="53">
        <f>SUM(O53:O63)</f>
        <v>237.83364</v>
      </c>
      <c r="P52" s="53">
        <f>SUM(P53:P63)</f>
        <v>1438.3250325</v>
      </c>
      <c r="Q52" s="53"/>
      <c r="R52" s="56"/>
      <c r="S52" s="59"/>
      <c r="T52" s="56"/>
      <c r="U52" s="56"/>
      <c r="V52" s="56"/>
      <c r="W52" s="56"/>
    </row>
    <row r="53" s="1" customFormat="1" ht="85.5" outlineLevel="1" spans="1:23">
      <c r="A53" s="25">
        <v>1.1</v>
      </c>
      <c r="B53" s="25" t="s">
        <v>78</v>
      </c>
      <c r="C53" s="65" t="s">
        <v>79</v>
      </c>
      <c r="D53" s="66" t="s">
        <v>80</v>
      </c>
      <c r="E53" s="64">
        <v>18.8</v>
      </c>
      <c r="F53" s="64"/>
      <c r="G53" s="64"/>
      <c r="H53" s="53">
        <v>12</v>
      </c>
      <c r="I53" s="53">
        <v>60</v>
      </c>
      <c r="J53" s="53">
        <v>10</v>
      </c>
      <c r="K53" s="69">
        <f t="shared" si="0"/>
        <v>11.48</v>
      </c>
      <c r="L53" s="53">
        <f t="shared" si="1"/>
        <v>8.4132</v>
      </c>
      <c r="M53" s="53">
        <f t="shared" si="2"/>
        <v>101.8932</v>
      </c>
      <c r="N53" s="53">
        <f t="shared" si="3"/>
        <v>1915.59216</v>
      </c>
      <c r="O53" s="53">
        <f t="shared" si="4"/>
        <v>0</v>
      </c>
      <c r="P53" s="53">
        <f>G53*M53</f>
        <v>0</v>
      </c>
      <c r="Q53" s="78" t="s">
        <v>81</v>
      </c>
      <c r="R53" s="56"/>
      <c r="S53" s="59"/>
      <c r="T53" s="56"/>
      <c r="U53" s="56"/>
      <c r="V53" s="56"/>
      <c r="W53" s="56"/>
    </row>
    <row r="54" s="1" customFormat="1" ht="34" customHeight="1" outlineLevel="1" spans="1:23">
      <c r="A54" s="25">
        <v>1.2</v>
      </c>
      <c r="B54" s="65" t="s">
        <v>82</v>
      </c>
      <c r="C54" s="65" t="s">
        <v>83</v>
      </c>
      <c r="D54" s="66" t="s">
        <v>84</v>
      </c>
      <c r="E54" s="64">
        <f>23.3-4.5</f>
        <v>18.8</v>
      </c>
      <c r="F54" s="64"/>
      <c r="G54" s="64"/>
      <c r="H54" s="53">
        <v>4</v>
      </c>
      <c r="I54" s="53">
        <v>4</v>
      </c>
      <c r="J54" s="53">
        <v>1</v>
      </c>
      <c r="K54" s="69">
        <f t="shared" si="0"/>
        <v>1.26</v>
      </c>
      <c r="L54" s="53">
        <f t="shared" si="1"/>
        <v>0.9234</v>
      </c>
      <c r="M54" s="53">
        <f t="shared" si="2"/>
        <v>11.1834</v>
      </c>
      <c r="N54" s="53">
        <f t="shared" si="3"/>
        <v>210.24792</v>
      </c>
      <c r="O54" s="53">
        <f t="shared" si="4"/>
        <v>0</v>
      </c>
      <c r="P54" s="53">
        <f t="shared" si="5"/>
        <v>0</v>
      </c>
      <c r="Q54" s="53"/>
      <c r="R54" s="56"/>
      <c r="S54" s="59"/>
      <c r="T54" s="56"/>
      <c r="U54" s="56"/>
      <c r="V54" s="56"/>
      <c r="W54" s="56"/>
    </row>
    <row r="55" s="1" customFormat="1" ht="78" customHeight="1" outlineLevel="1" spans="1:23">
      <c r="A55" s="25">
        <v>1.3</v>
      </c>
      <c r="B55" s="66" t="s">
        <v>85</v>
      </c>
      <c r="C55" s="67" t="s">
        <v>154</v>
      </c>
      <c r="D55" s="66" t="s">
        <v>80</v>
      </c>
      <c r="E55" s="68">
        <v>3.03</v>
      </c>
      <c r="F55" s="64"/>
      <c r="G55" s="64">
        <f>E55</f>
        <v>3.03</v>
      </c>
      <c r="H55" s="69">
        <v>20</v>
      </c>
      <c r="I55" s="69">
        <v>25</v>
      </c>
      <c r="J55" s="69">
        <v>15</v>
      </c>
      <c r="K55" s="69">
        <f t="shared" si="0"/>
        <v>8.4</v>
      </c>
      <c r="L55" s="53">
        <f t="shared" si="1"/>
        <v>6.156</v>
      </c>
      <c r="M55" s="53">
        <f t="shared" si="2"/>
        <v>74.556</v>
      </c>
      <c r="N55" s="53">
        <f t="shared" si="3"/>
        <v>225.90468</v>
      </c>
      <c r="O55" s="53">
        <f t="shared" si="4"/>
        <v>0</v>
      </c>
      <c r="P55" s="53">
        <f t="shared" si="5"/>
        <v>225.90468</v>
      </c>
      <c r="Q55" s="53"/>
      <c r="R55" s="56"/>
      <c r="S55" s="59"/>
      <c r="T55" s="56"/>
      <c r="U55" s="56"/>
      <c r="V55" s="56"/>
      <c r="W55" s="56"/>
    </row>
    <row r="56" s="1" customFormat="1" ht="65" customHeight="1" outlineLevel="1" spans="1:23">
      <c r="A56" s="25">
        <v>1.4</v>
      </c>
      <c r="B56" s="66" t="s">
        <v>85</v>
      </c>
      <c r="C56" s="67" t="s">
        <v>155</v>
      </c>
      <c r="D56" s="66" t="s">
        <v>80</v>
      </c>
      <c r="E56" s="68">
        <f>2.59+0.6</f>
        <v>3.19</v>
      </c>
      <c r="F56" s="64">
        <f>E56</f>
        <v>3.19</v>
      </c>
      <c r="G56" s="64"/>
      <c r="H56" s="69">
        <v>20</v>
      </c>
      <c r="I56" s="69">
        <v>25</v>
      </c>
      <c r="J56" s="69">
        <v>15</v>
      </c>
      <c r="K56" s="69">
        <f t="shared" si="0"/>
        <v>8.4</v>
      </c>
      <c r="L56" s="53">
        <f t="shared" si="1"/>
        <v>6.156</v>
      </c>
      <c r="M56" s="53">
        <f t="shared" si="2"/>
        <v>74.556</v>
      </c>
      <c r="N56" s="53">
        <f t="shared" si="3"/>
        <v>237.83364</v>
      </c>
      <c r="O56" s="53">
        <f t="shared" si="4"/>
        <v>237.83364</v>
      </c>
      <c r="P56" s="53">
        <f t="shared" si="5"/>
        <v>0</v>
      </c>
      <c r="Q56" s="53"/>
      <c r="R56" s="56"/>
      <c r="S56" s="59"/>
      <c r="T56" s="56"/>
      <c r="U56" s="56"/>
      <c r="V56" s="56"/>
      <c r="W56" s="56"/>
    </row>
    <row r="57" s="1" customFormat="1" ht="78" customHeight="1" outlineLevel="1" spans="1:23">
      <c r="A57" s="25">
        <v>1.5</v>
      </c>
      <c r="B57" s="66" t="s">
        <v>85</v>
      </c>
      <c r="C57" s="67" t="s">
        <v>156</v>
      </c>
      <c r="D57" s="66" t="s">
        <v>80</v>
      </c>
      <c r="E57" s="68">
        <v>2.59</v>
      </c>
      <c r="F57" s="64"/>
      <c r="G57" s="64">
        <f>E57</f>
        <v>2.59</v>
      </c>
      <c r="H57" s="69">
        <v>20</v>
      </c>
      <c r="I57" s="69">
        <v>25</v>
      </c>
      <c r="J57" s="69">
        <v>15</v>
      </c>
      <c r="K57" s="69">
        <f t="shared" si="0"/>
        <v>8.4</v>
      </c>
      <c r="L57" s="53">
        <f t="shared" si="1"/>
        <v>6.156</v>
      </c>
      <c r="M57" s="53">
        <f t="shared" si="2"/>
        <v>74.556</v>
      </c>
      <c r="N57" s="53">
        <f t="shared" si="3"/>
        <v>193.10004</v>
      </c>
      <c r="O57" s="53">
        <f t="shared" si="4"/>
        <v>0</v>
      </c>
      <c r="P57" s="53">
        <f t="shared" si="5"/>
        <v>193.10004</v>
      </c>
      <c r="Q57" s="53"/>
      <c r="R57" s="56"/>
      <c r="S57" s="59"/>
      <c r="T57" s="56"/>
      <c r="U57" s="56"/>
      <c r="V57" s="56"/>
      <c r="W57" s="56"/>
    </row>
    <row r="58" s="1" customFormat="1" ht="91" customHeight="1" outlineLevel="1" spans="1:23">
      <c r="A58" s="25">
        <v>1.6</v>
      </c>
      <c r="B58" s="25" t="s">
        <v>89</v>
      </c>
      <c r="C58" s="70" t="s">
        <v>90</v>
      </c>
      <c r="D58" s="25" t="s">
        <v>80</v>
      </c>
      <c r="E58" s="64">
        <v>2.59</v>
      </c>
      <c r="F58" s="64"/>
      <c r="G58" s="64">
        <f>E58*0.5</f>
        <v>1.295</v>
      </c>
      <c r="H58" s="69">
        <v>55</v>
      </c>
      <c r="I58" s="69">
        <v>72</v>
      </c>
      <c r="J58" s="53">
        <v>23</v>
      </c>
      <c r="K58" s="69">
        <f t="shared" si="0"/>
        <v>21</v>
      </c>
      <c r="L58" s="53">
        <f t="shared" si="1"/>
        <v>15.39</v>
      </c>
      <c r="M58" s="53">
        <f t="shared" si="2"/>
        <v>186.39</v>
      </c>
      <c r="N58" s="53">
        <f t="shared" si="3"/>
        <v>482.7501</v>
      </c>
      <c r="O58" s="53">
        <f t="shared" si="4"/>
        <v>0</v>
      </c>
      <c r="P58" s="53">
        <f t="shared" si="5"/>
        <v>241.37505</v>
      </c>
      <c r="Q58" s="79" t="s">
        <v>91</v>
      </c>
      <c r="R58" s="56"/>
      <c r="S58" s="59"/>
      <c r="T58" s="56"/>
      <c r="U58" s="56"/>
      <c r="V58" s="56"/>
      <c r="W58" s="56"/>
    </row>
    <row r="59" s="1" customFormat="1" ht="68" customHeight="1" outlineLevel="1" spans="1:23">
      <c r="A59" s="25">
        <v>1.7</v>
      </c>
      <c r="B59" s="25" t="s">
        <v>89</v>
      </c>
      <c r="C59" s="70" t="s">
        <v>157</v>
      </c>
      <c r="D59" s="25" t="s">
        <v>80</v>
      </c>
      <c r="E59" s="64">
        <v>2.59</v>
      </c>
      <c r="F59" s="64"/>
      <c r="G59" s="64">
        <f>E59*0.5</f>
        <v>1.295</v>
      </c>
      <c r="H59" s="69">
        <v>55</v>
      </c>
      <c r="I59" s="69">
        <v>72</v>
      </c>
      <c r="J59" s="53">
        <v>23</v>
      </c>
      <c r="K59" s="69">
        <f t="shared" si="0"/>
        <v>21</v>
      </c>
      <c r="L59" s="53">
        <f t="shared" si="1"/>
        <v>15.39</v>
      </c>
      <c r="M59" s="53">
        <f t="shared" si="2"/>
        <v>186.39</v>
      </c>
      <c r="N59" s="53">
        <f t="shared" si="3"/>
        <v>482.7501</v>
      </c>
      <c r="O59" s="53">
        <f t="shared" si="4"/>
        <v>0</v>
      </c>
      <c r="P59" s="53">
        <f t="shared" si="5"/>
        <v>241.37505</v>
      </c>
      <c r="Q59" s="79" t="s">
        <v>91</v>
      </c>
      <c r="R59" s="56"/>
      <c r="S59" s="59"/>
      <c r="T59" s="56"/>
      <c r="U59" s="56"/>
      <c r="V59" s="56"/>
      <c r="W59" s="56"/>
    </row>
    <row r="60" s="1" customFormat="1" ht="51" customHeight="1" outlineLevel="1" spans="1:23">
      <c r="A60" s="25">
        <v>1.8</v>
      </c>
      <c r="B60" s="25" t="s">
        <v>93</v>
      </c>
      <c r="C60" s="70" t="s">
        <v>158</v>
      </c>
      <c r="D60" s="25" t="s">
        <v>80</v>
      </c>
      <c r="E60" s="64">
        <v>1.59</v>
      </c>
      <c r="F60" s="64"/>
      <c r="G60" s="64">
        <f>E60*0.5</f>
        <v>0.795</v>
      </c>
      <c r="H60" s="53">
        <v>40</v>
      </c>
      <c r="I60" s="53">
        <v>25</v>
      </c>
      <c r="J60" s="53">
        <v>5</v>
      </c>
      <c r="K60" s="69">
        <f t="shared" si="0"/>
        <v>9.8</v>
      </c>
      <c r="L60" s="53">
        <f t="shared" si="1"/>
        <v>7.182</v>
      </c>
      <c r="M60" s="53">
        <f t="shared" si="2"/>
        <v>86.982</v>
      </c>
      <c r="N60" s="53">
        <f t="shared" si="3"/>
        <v>138.30138</v>
      </c>
      <c r="O60" s="53">
        <f t="shared" si="4"/>
        <v>0</v>
      </c>
      <c r="P60" s="53">
        <f t="shared" si="5"/>
        <v>69.15069</v>
      </c>
      <c r="Q60" s="79"/>
      <c r="R60" s="56"/>
      <c r="S60" s="59"/>
      <c r="T60" s="56"/>
      <c r="U60" s="56"/>
      <c r="V60" s="56"/>
      <c r="W60" s="56"/>
    </row>
    <row r="61" s="1" customFormat="1" ht="93" customHeight="1" outlineLevel="1" spans="1:23">
      <c r="A61" s="25">
        <v>1.9</v>
      </c>
      <c r="B61" s="25" t="s">
        <v>89</v>
      </c>
      <c r="C61" s="70" t="s">
        <v>95</v>
      </c>
      <c r="D61" s="25" t="s">
        <v>80</v>
      </c>
      <c r="E61" s="64">
        <v>3.03</v>
      </c>
      <c r="F61" s="64"/>
      <c r="G61" s="64">
        <f>E61*0.5</f>
        <v>1.515</v>
      </c>
      <c r="H61" s="69">
        <v>55</v>
      </c>
      <c r="I61" s="69">
        <v>72</v>
      </c>
      <c r="J61" s="53">
        <v>23</v>
      </c>
      <c r="K61" s="69">
        <f t="shared" si="0"/>
        <v>21</v>
      </c>
      <c r="L61" s="53">
        <f t="shared" si="1"/>
        <v>15.39</v>
      </c>
      <c r="M61" s="53">
        <f t="shared" si="2"/>
        <v>186.39</v>
      </c>
      <c r="N61" s="53">
        <f t="shared" si="3"/>
        <v>564.7617</v>
      </c>
      <c r="O61" s="53">
        <f t="shared" si="4"/>
        <v>0</v>
      </c>
      <c r="P61" s="53">
        <f t="shared" si="5"/>
        <v>282.38085</v>
      </c>
      <c r="Q61" s="79" t="s">
        <v>91</v>
      </c>
      <c r="R61" s="56"/>
      <c r="S61" s="59"/>
      <c r="T61" s="56"/>
      <c r="U61" s="56"/>
      <c r="V61" s="56"/>
      <c r="W61" s="56"/>
    </row>
    <row r="62" s="1" customFormat="1" ht="97" customHeight="1" outlineLevel="1" spans="1:23">
      <c r="A62" s="64">
        <v>1.1</v>
      </c>
      <c r="B62" s="25" t="s">
        <v>96</v>
      </c>
      <c r="C62" s="70" t="s">
        <v>159</v>
      </c>
      <c r="D62" s="25" t="s">
        <v>80</v>
      </c>
      <c r="E62" s="64">
        <f>0.22+0.108*2+0.191</f>
        <v>0.627</v>
      </c>
      <c r="F62" s="64"/>
      <c r="G62" s="64">
        <f>E62*0.5</f>
        <v>0.3135</v>
      </c>
      <c r="H62" s="53">
        <v>100</v>
      </c>
      <c r="I62" s="53">
        <v>350</v>
      </c>
      <c r="J62" s="53">
        <v>25</v>
      </c>
      <c r="K62" s="69">
        <f t="shared" si="0"/>
        <v>66.5</v>
      </c>
      <c r="L62" s="53">
        <f t="shared" si="1"/>
        <v>48.735</v>
      </c>
      <c r="M62" s="53">
        <f t="shared" si="2"/>
        <v>590.235</v>
      </c>
      <c r="N62" s="53">
        <f t="shared" si="3"/>
        <v>370.077345</v>
      </c>
      <c r="O62" s="53">
        <f t="shared" si="4"/>
        <v>0</v>
      </c>
      <c r="P62" s="53">
        <f t="shared" si="5"/>
        <v>185.0386725</v>
      </c>
      <c r="Q62" s="79"/>
      <c r="R62" s="56"/>
      <c r="S62" s="59"/>
      <c r="T62" s="56"/>
      <c r="U62" s="56"/>
      <c r="V62" s="56"/>
      <c r="W62" s="56"/>
    </row>
    <row r="63" s="1" customFormat="1" ht="114" outlineLevel="1" spans="1:23">
      <c r="A63" s="25">
        <v>1.11</v>
      </c>
      <c r="B63" s="65" t="s">
        <v>98</v>
      </c>
      <c r="C63" s="67" t="s">
        <v>99</v>
      </c>
      <c r="D63" s="66" t="s">
        <v>80</v>
      </c>
      <c r="E63" s="64">
        <v>2</v>
      </c>
      <c r="F63" s="64"/>
      <c r="G63" s="64"/>
      <c r="H63" s="53">
        <v>80</v>
      </c>
      <c r="I63" s="53">
        <v>150</v>
      </c>
      <c r="J63" s="53">
        <v>45</v>
      </c>
      <c r="K63" s="69">
        <f t="shared" si="0"/>
        <v>38.5</v>
      </c>
      <c r="L63" s="53">
        <f t="shared" si="1"/>
        <v>28.215</v>
      </c>
      <c r="M63" s="53">
        <f t="shared" si="2"/>
        <v>341.715</v>
      </c>
      <c r="N63" s="53">
        <f t="shared" si="3"/>
        <v>683.43</v>
      </c>
      <c r="O63" s="53">
        <f t="shared" si="4"/>
        <v>0</v>
      </c>
      <c r="P63" s="53">
        <f t="shared" si="5"/>
        <v>0</v>
      </c>
      <c r="Q63" s="79"/>
      <c r="R63" s="56"/>
      <c r="S63" s="59"/>
      <c r="T63" s="56"/>
      <c r="U63" s="56"/>
      <c r="V63" s="56"/>
      <c r="W63" s="56"/>
    </row>
    <row r="64" s="1" customFormat="1" ht="17.25" spans="1:23">
      <c r="A64" s="25">
        <v>2</v>
      </c>
      <c r="B64" s="66" t="s">
        <v>32</v>
      </c>
      <c r="C64" s="67"/>
      <c r="D64" s="66"/>
      <c r="E64" s="64"/>
      <c r="F64" s="64"/>
      <c r="G64" s="64"/>
      <c r="H64" s="53"/>
      <c r="I64" s="53"/>
      <c r="J64" s="53"/>
      <c r="K64" s="69"/>
      <c r="L64" s="53"/>
      <c r="M64" s="53"/>
      <c r="N64" s="53">
        <f>N65</f>
        <v>2443.398936</v>
      </c>
      <c r="O64" s="53">
        <f>O65</f>
        <v>2443.398936</v>
      </c>
      <c r="P64" s="53">
        <f>P65</f>
        <v>0</v>
      </c>
      <c r="Q64" s="79"/>
      <c r="R64" s="56"/>
      <c r="S64" s="59"/>
      <c r="T64" s="56"/>
      <c r="U64" s="56"/>
      <c r="V64" s="56"/>
      <c r="W64" s="56"/>
    </row>
    <row r="65" s="1" customFormat="1" ht="156.75" outlineLevel="1" spans="1:23">
      <c r="A65" s="25">
        <v>2.1</v>
      </c>
      <c r="B65" s="65" t="s">
        <v>32</v>
      </c>
      <c r="C65" s="67" t="s">
        <v>160</v>
      </c>
      <c r="D65" s="66" t="s">
        <v>80</v>
      </c>
      <c r="E65" s="68">
        <f>E53+2.59+2.59</f>
        <v>23.98</v>
      </c>
      <c r="F65" s="64">
        <f>E65</f>
        <v>23.98</v>
      </c>
      <c r="G65" s="64"/>
      <c r="H65" s="53">
        <v>30</v>
      </c>
      <c r="I65" s="53">
        <v>40</v>
      </c>
      <c r="J65" s="53">
        <v>12</v>
      </c>
      <c r="K65" s="69">
        <f t="shared" si="0"/>
        <v>11.48</v>
      </c>
      <c r="L65" s="53">
        <f t="shared" si="1"/>
        <v>8.4132</v>
      </c>
      <c r="M65" s="53">
        <f t="shared" si="2"/>
        <v>101.8932</v>
      </c>
      <c r="N65" s="53">
        <f t="shared" si="3"/>
        <v>2443.398936</v>
      </c>
      <c r="O65" s="53">
        <f t="shared" si="4"/>
        <v>2443.398936</v>
      </c>
      <c r="P65" s="53">
        <f t="shared" si="5"/>
        <v>0</v>
      </c>
      <c r="Q65" s="79" t="s">
        <v>101</v>
      </c>
      <c r="R65" s="56"/>
      <c r="S65" s="59"/>
      <c r="T65" s="56"/>
      <c r="U65" s="56"/>
      <c r="V65" s="56"/>
      <c r="W65" s="56"/>
    </row>
    <row r="66" s="56" customFormat="1" ht="26" customHeight="1" spans="1:19">
      <c r="A66" s="25">
        <v>3</v>
      </c>
      <c r="B66" s="25" t="s">
        <v>33</v>
      </c>
      <c r="C66" s="25"/>
      <c r="D66" s="25"/>
      <c r="E66" s="64"/>
      <c r="F66" s="64"/>
      <c r="G66" s="64"/>
      <c r="H66" s="53"/>
      <c r="I66" s="53"/>
      <c r="J66" s="53"/>
      <c r="K66" s="69"/>
      <c r="L66" s="53"/>
      <c r="M66" s="53"/>
      <c r="N66" s="53">
        <f>SUM(N67:N84)</f>
        <v>23505.2154456</v>
      </c>
      <c r="O66" s="53">
        <f>SUM(O67:O84)</f>
        <v>0</v>
      </c>
      <c r="P66" s="53">
        <f>SUM(P67:P84)</f>
        <v>5260.1966868</v>
      </c>
      <c r="Q66" s="53"/>
      <c r="S66" s="59"/>
    </row>
    <row r="67" s="56" customFormat="1" ht="77" customHeight="1" outlineLevel="1" spans="1:19">
      <c r="A67" s="25">
        <v>3.1</v>
      </c>
      <c r="B67" s="71" t="s">
        <v>102</v>
      </c>
      <c r="C67" s="72" t="s">
        <v>103</v>
      </c>
      <c r="D67" s="25" t="s">
        <v>80</v>
      </c>
      <c r="E67" s="64">
        <f>1.71+2+0.53+4.52-1.44+10.65+4.32+7.59+5.62-2.44+7.59-1.61+0.2*2.5+2.5*0.8</f>
        <v>41.54</v>
      </c>
      <c r="F67" s="64"/>
      <c r="G67" s="64">
        <f>E67/2</f>
        <v>20.77</v>
      </c>
      <c r="H67" s="69">
        <v>15</v>
      </c>
      <c r="I67" s="69">
        <v>20</v>
      </c>
      <c r="J67" s="64">
        <v>5</v>
      </c>
      <c r="K67" s="69">
        <f t="shared" si="0"/>
        <v>5.6</v>
      </c>
      <c r="L67" s="53">
        <f t="shared" si="1"/>
        <v>4.104</v>
      </c>
      <c r="M67" s="53">
        <f t="shared" si="2"/>
        <v>49.704</v>
      </c>
      <c r="N67" s="53">
        <f t="shared" si="3"/>
        <v>2064.70416</v>
      </c>
      <c r="O67" s="53">
        <f t="shared" si="4"/>
        <v>0</v>
      </c>
      <c r="P67" s="53">
        <f t="shared" si="5"/>
        <v>1032.35208</v>
      </c>
      <c r="Q67" s="25" t="s">
        <v>104</v>
      </c>
      <c r="S67" s="59"/>
    </row>
    <row r="68" s="56" customFormat="1" ht="171" outlineLevel="1" spans="1:19">
      <c r="A68" s="25">
        <v>3.2</v>
      </c>
      <c r="B68" s="71" t="s">
        <v>105</v>
      </c>
      <c r="C68" s="67" t="s">
        <v>106</v>
      </c>
      <c r="D68" s="25" t="s">
        <v>84</v>
      </c>
      <c r="E68" s="64">
        <f>0.93+1.53</f>
        <v>2.46</v>
      </c>
      <c r="F68" s="64"/>
      <c r="G68" s="64"/>
      <c r="H68" s="69">
        <v>50</v>
      </c>
      <c r="I68" s="69">
        <v>60</v>
      </c>
      <c r="J68" s="64">
        <v>10</v>
      </c>
      <c r="K68" s="69">
        <f t="shared" si="0"/>
        <v>16.8</v>
      </c>
      <c r="L68" s="53">
        <f t="shared" si="1"/>
        <v>12.312</v>
      </c>
      <c r="M68" s="53">
        <f t="shared" si="2"/>
        <v>149.112</v>
      </c>
      <c r="N68" s="53">
        <f t="shared" si="3"/>
        <v>366.81552</v>
      </c>
      <c r="O68" s="53">
        <f t="shared" si="4"/>
        <v>0</v>
      </c>
      <c r="P68" s="53">
        <f t="shared" si="5"/>
        <v>0</v>
      </c>
      <c r="Q68" s="25"/>
      <c r="S68" s="59"/>
    </row>
    <row r="69" s="56" customFormat="1" ht="54" customHeight="1" outlineLevel="1" spans="1:19">
      <c r="A69" s="25">
        <v>3.3</v>
      </c>
      <c r="B69" s="71" t="s">
        <v>107</v>
      </c>
      <c r="C69" s="72" t="s">
        <v>108</v>
      </c>
      <c r="D69" s="25" t="s">
        <v>109</v>
      </c>
      <c r="E69" s="64">
        <v>1</v>
      </c>
      <c r="F69" s="64"/>
      <c r="G69" s="64"/>
      <c r="H69" s="64">
        <v>100</v>
      </c>
      <c r="I69" s="64">
        <v>600</v>
      </c>
      <c r="J69" s="64">
        <v>50</v>
      </c>
      <c r="K69" s="69">
        <f t="shared" si="0"/>
        <v>105</v>
      </c>
      <c r="L69" s="53">
        <f t="shared" si="1"/>
        <v>76.95</v>
      </c>
      <c r="M69" s="53">
        <f t="shared" si="2"/>
        <v>931.95</v>
      </c>
      <c r="N69" s="53">
        <f t="shared" si="3"/>
        <v>931.95</v>
      </c>
      <c r="O69" s="53">
        <f t="shared" si="4"/>
        <v>0</v>
      </c>
      <c r="P69" s="53">
        <f t="shared" si="5"/>
        <v>0</v>
      </c>
      <c r="Q69" s="25"/>
      <c r="S69" s="59"/>
    </row>
    <row r="70" s="56" customFormat="1" ht="60" customHeight="1" outlineLevel="1" spans="1:19">
      <c r="A70" s="25">
        <v>3.4</v>
      </c>
      <c r="B70" s="71" t="s">
        <v>110</v>
      </c>
      <c r="C70" s="72" t="s">
        <v>111</v>
      </c>
      <c r="D70" s="25" t="s">
        <v>80</v>
      </c>
      <c r="E70" s="64">
        <v>2.53</v>
      </c>
      <c r="F70" s="64"/>
      <c r="G70" s="64"/>
      <c r="H70" s="53">
        <v>150</v>
      </c>
      <c r="I70" s="53">
        <v>380</v>
      </c>
      <c r="J70" s="53">
        <v>50</v>
      </c>
      <c r="K70" s="69">
        <f t="shared" si="0"/>
        <v>81.2</v>
      </c>
      <c r="L70" s="53">
        <f t="shared" si="1"/>
        <v>59.508</v>
      </c>
      <c r="M70" s="53">
        <f t="shared" si="2"/>
        <v>720.708</v>
      </c>
      <c r="N70" s="53">
        <f t="shared" si="3"/>
        <v>1823.39124</v>
      </c>
      <c r="O70" s="53">
        <f t="shared" si="4"/>
        <v>0</v>
      </c>
      <c r="P70" s="53">
        <f t="shared" si="5"/>
        <v>0</v>
      </c>
      <c r="Q70" s="25"/>
      <c r="S70" s="59"/>
    </row>
    <row r="71" s="1" customFormat="1" ht="81" customHeight="1" outlineLevel="1" spans="1:23">
      <c r="A71" s="25">
        <v>3.5</v>
      </c>
      <c r="B71" s="71" t="s">
        <v>112</v>
      </c>
      <c r="C71" s="72" t="s">
        <v>161</v>
      </c>
      <c r="D71" s="25" t="s">
        <v>80</v>
      </c>
      <c r="E71" s="64">
        <v>5.72</v>
      </c>
      <c r="F71" s="64"/>
      <c r="G71" s="64"/>
      <c r="H71" s="64">
        <v>200</v>
      </c>
      <c r="I71" s="64">
        <v>165</v>
      </c>
      <c r="J71" s="64">
        <v>45</v>
      </c>
      <c r="K71" s="69">
        <f t="shared" si="0"/>
        <v>57.4</v>
      </c>
      <c r="L71" s="53">
        <f t="shared" si="1"/>
        <v>42.066</v>
      </c>
      <c r="M71" s="53">
        <f t="shared" si="2"/>
        <v>509.466</v>
      </c>
      <c r="N71" s="53">
        <f t="shared" si="3"/>
        <v>2914.14552</v>
      </c>
      <c r="O71" s="53">
        <f t="shared" si="4"/>
        <v>0</v>
      </c>
      <c r="P71" s="53">
        <f t="shared" si="5"/>
        <v>0</v>
      </c>
      <c r="Q71" s="25"/>
      <c r="R71" s="56"/>
      <c r="S71" s="59"/>
      <c r="T71" s="56"/>
      <c r="U71" s="56"/>
      <c r="V71" s="56"/>
      <c r="W71" s="56"/>
    </row>
    <row r="72" s="1" customFormat="1" ht="33" customHeight="1" outlineLevel="1" spans="1:23">
      <c r="A72" s="25">
        <v>3.6</v>
      </c>
      <c r="B72" s="25" t="s">
        <v>114</v>
      </c>
      <c r="C72" s="70" t="s">
        <v>115</v>
      </c>
      <c r="D72" s="25" t="s">
        <v>84</v>
      </c>
      <c r="E72" s="64">
        <f>2.53*2</f>
        <v>5.06</v>
      </c>
      <c r="F72" s="64"/>
      <c r="G72" s="64"/>
      <c r="H72" s="53">
        <v>10</v>
      </c>
      <c r="I72" s="53">
        <v>10</v>
      </c>
      <c r="J72" s="53">
        <v>1</v>
      </c>
      <c r="K72" s="69">
        <f t="shared" ref="K72:K135" si="6">(H72+I72+J72)*$K$4</f>
        <v>2.94</v>
      </c>
      <c r="L72" s="53">
        <f t="shared" ref="L72:L135" si="7">(H72+I72+J72+K72)*$L$4</f>
        <v>2.1546</v>
      </c>
      <c r="M72" s="53">
        <f t="shared" ref="M72:M135" si="8">SUBTOTAL(9,H72:L72)</f>
        <v>26.0946</v>
      </c>
      <c r="N72" s="53">
        <f t="shared" ref="N72:N135" si="9">E72*M72</f>
        <v>132.038676</v>
      </c>
      <c r="O72" s="53">
        <f t="shared" ref="O72:O135" si="10">F72*M72</f>
        <v>0</v>
      </c>
      <c r="P72" s="53">
        <f t="shared" ref="P72:P135" si="11">G72*M72</f>
        <v>0</v>
      </c>
      <c r="Q72" s="53"/>
      <c r="R72" s="56"/>
      <c r="S72" s="59"/>
      <c r="T72" s="56"/>
      <c r="U72" s="56"/>
      <c r="V72" s="56"/>
      <c r="W72" s="56"/>
    </row>
    <row r="73" s="1" customFormat="1" ht="72" customHeight="1" outlineLevel="1" spans="1:23">
      <c r="A73" s="25">
        <v>3.7</v>
      </c>
      <c r="B73" s="25" t="s">
        <v>116</v>
      </c>
      <c r="C73" s="70" t="s">
        <v>162</v>
      </c>
      <c r="D73" s="25" t="s">
        <v>80</v>
      </c>
      <c r="E73" s="64">
        <f>2.891+5.1+4.78-0.55+3.7*0.08+5.375-0.12-0.28-1.76+2.97+5.14-0.786+2.98+5.14-1.76</f>
        <v>29.416</v>
      </c>
      <c r="F73" s="64"/>
      <c r="G73" s="64">
        <f>E73*0.5</f>
        <v>14.708</v>
      </c>
      <c r="H73" s="69">
        <v>55</v>
      </c>
      <c r="I73" s="69">
        <v>60</v>
      </c>
      <c r="J73" s="53">
        <v>23</v>
      </c>
      <c r="K73" s="69">
        <f t="shared" si="6"/>
        <v>19.32</v>
      </c>
      <c r="L73" s="53">
        <f t="shared" si="7"/>
        <v>14.1588</v>
      </c>
      <c r="M73" s="53">
        <f t="shared" si="8"/>
        <v>171.4788</v>
      </c>
      <c r="N73" s="53">
        <f t="shared" si="9"/>
        <v>5044.2203808</v>
      </c>
      <c r="O73" s="53">
        <f t="shared" si="10"/>
        <v>0</v>
      </c>
      <c r="P73" s="53">
        <f t="shared" si="11"/>
        <v>2522.1101904</v>
      </c>
      <c r="Q73" s="53" t="s">
        <v>118</v>
      </c>
      <c r="R73" s="56"/>
      <c r="S73" s="59"/>
      <c r="T73" s="56"/>
      <c r="U73" s="56"/>
      <c r="V73" s="56"/>
      <c r="W73" s="56"/>
    </row>
    <row r="74" s="1" customFormat="1" ht="72" customHeight="1" outlineLevel="1" spans="1:23">
      <c r="A74" s="25">
        <v>3.8</v>
      </c>
      <c r="B74" s="25" t="s">
        <v>163</v>
      </c>
      <c r="C74" s="70" t="s">
        <v>164</v>
      </c>
      <c r="D74" s="25" t="s">
        <v>80</v>
      </c>
      <c r="E74" s="64">
        <f>0.87+1.02+0.27+0.12+0.12+0.26</f>
        <v>2.66</v>
      </c>
      <c r="F74" s="64"/>
      <c r="G74" s="64">
        <f>E74*0.5</f>
        <v>1.33</v>
      </c>
      <c r="H74" s="53">
        <v>20</v>
      </c>
      <c r="I74" s="53">
        <v>15</v>
      </c>
      <c r="J74" s="53">
        <v>5</v>
      </c>
      <c r="K74" s="69">
        <f t="shared" si="6"/>
        <v>5.6</v>
      </c>
      <c r="L74" s="53">
        <f t="shared" si="7"/>
        <v>4.104</v>
      </c>
      <c r="M74" s="53">
        <f t="shared" si="8"/>
        <v>49.704</v>
      </c>
      <c r="N74" s="53">
        <f t="shared" si="9"/>
        <v>132.21264</v>
      </c>
      <c r="O74" s="53">
        <f t="shared" si="10"/>
        <v>0</v>
      </c>
      <c r="P74" s="53">
        <f t="shared" si="11"/>
        <v>66.10632</v>
      </c>
      <c r="Q74" s="53"/>
      <c r="R74" s="56"/>
      <c r="S74" s="59"/>
      <c r="T74" s="56"/>
      <c r="U74" s="56"/>
      <c r="V74" s="56"/>
      <c r="W74" s="56"/>
    </row>
    <row r="75" s="1" customFormat="1" ht="74" customHeight="1" outlineLevel="1" spans="1:23">
      <c r="A75" s="25">
        <v>3.9</v>
      </c>
      <c r="B75" s="25" t="s">
        <v>119</v>
      </c>
      <c r="C75" s="70" t="s">
        <v>165</v>
      </c>
      <c r="D75" s="25" t="s">
        <v>80</v>
      </c>
      <c r="E75" s="68">
        <f>5.95+3.67</f>
        <v>9.62</v>
      </c>
      <c r="F75" s="64"/>
      <c r="G75" s="64">
        <f>E75</f>
        <v>9.62</v>
      </c>
      <c r="H75" s="69">
        <v>20</v>
      </c>
      <c r="I75" s="69">
        <v>25</v>
      </c>
      <c r="J75" s="69">
        <v>4.5</v>
      </c>
      <c r="K75" s="69">
        <f t="shared" si="6"/>
        <v>6.93</v>
      </c>
      <c r="L75" s="53">
        <f t="shared" si="7"/>
        <v>5.0787</v>
      </c>
      <c r="M75" s="53">
        <f t="shared" si="8"/>
        <v>61.5087</v>
      </c>
      <c r="N75" s="53">
        <f t="shared" si="9"/>
        <v>591.713694</v>
      </c>
      <c r="O75" s="53">
        <f t="shared" si="10"/>
        <v>0</v>
      </c>
      <c r="P75" s="53">
        <f t="shared" si="11"/>
        <v>591.713694</v>
      </c>
      <c r="Q75" s="53"/>
      <c r="R75" s="56"/>
      <c r="S75" s="59"/>
      <c r="T75" s="56"/>
      <c r="U75" s="56"/>
      <c r="V75" s="56"/>
      <c r="W75" s="56"/>
    </row>
    <row r="76" s="1" customFormat="1" ht="54" customHeight="1" outlineLevel="1" spans="1:23">
      <c r="A76" s="25">
        <v>3.11</v>
      </c>
      <c r="B76" s="25" t="s">
        <v>122</v>
      </c>
      <c r="C76" s="72" t="s">
        <v>123</v>
      </c>
      <c r="D76" s="25" t="s">
        <v>109</v>
      </c>
      <c r="E76" s="64">
        <v>1</v>
      </c>
      <c r="F76" s="64"/>
      <c r="G76" s="64"/>
      <c r="H76" s="64">
        <v>100</v>
      </c>
      <c r="I76" s="64">
        <v>650</v>
      </c>
      <c r="J76" s="53">
        <v>50</v>
      </c>
      <c r="K76" s="69">
        <f t="shared" si="6"/>
        <v>112</v>
      </c>
      <c r="L76" s="53">
        <f t="shared" si="7"/>
        <v>82.08</v>
      </c>
      <c r="M76" s="53">
        <f t="shared" si="8"/>
        <v>994.08</v>
      </c>
      <c r="N76" s="53">
        <f t="shared" si="9"/>
        <v>994.08</v>
      </c>
      <c r="O76" s="53">
        <f t="shared" si="10"/>
        <v>0</v>
      </c>
      <c r="P76" s="53">
        <f t="shared" si="11"/>
        <v>0</v>
      </c>
      <c r="Q76" s="53"/>
      <c r="R76" s="56"/>
      <c r="S76" s="59"/>
      <c r="T76" s="56"/>
      <c r="U76" s="56"/>
      <c r="V76" s="56"/>
      <c r="W76" s="56"/>
    </row>
    <row r="77" s="1" customFormat="1" ht="45" outlineLevel="1" spans="1:23">
      <c r="A77" s="25">
        <v>3.12</v>
      </c>
      <c r="B77" s="25" t="s">
        <v>124</v>
      </c>
      <c r="C77" s="72" t="s">
        <v>125</v>
      </c>
      <c r="D77" s="25" t="s">
        <v>109</v>
      </c>
      <c r="E77" s="64">
        <v>1</v>
      </c>
      <c r="F77" s="64"/>
      <c r="G77" s="64"/>
      <c r="H77" s="64">
        <v>100</v>
      </c>
      <c r="I77" s="64">
        <v>580</v>
      </c>
      <c r="J77" s="64">
        <v>50</v>
      </c>
      <c r="K77" s="69">
        <f t="shared" si="6"/>
        <v>102.2</v>
      </c>
      <c r="L77" s="53">
        <f t="shared" si="7"/>
        <v>74.898</v>
      </c>
      <c r="M77" s="53">
        <f t="shared" si="8"/>
        <v>907.098</v>
      </c>
      <c r="N77" s="53">
        <f t="shared" si="9"/>
        <v>907.098</v>
      </c>
      <c r="O77" s="53">
        <f t="shared" si="10"/>
        <v>0</v>
      </c>
      <c r="P77" s="53">
        <f t="shared" si="11"/>
        <v>0</v>
      </c>
      <c r="Q77" s="53"/>
      <c r="R77" s="56"/>
      <c r="S77" s="59"/>
      <c r="T77" s="56"/>
      <c r="U77" s="56"/>
      <c r="V77" s="56"/>
      <c r="W77" s="56"/>
    </row>
    <row r="78" s="1" customFormat="1" ht="56" customHeight="1" outlineLevel="1" spans="1:23">
      <c r="A78" s="25">
        <v>3.13</v>
      </c>
      <c r="B78" s="25" t="s">
        <v>126</v>
      </c>
      <c r="C78" s="70" t="s">
        <v>127</v>
      </c>
      <c r="D78" s="25" t="s">
        <v>80</v>
      </c>
      <c r="E78" s="64">
        <f>2.852-1.45+5.8*0.08+4.3+0.55+5.97-1.89</f>
        <v>10.796</v>
      </c>
      <c r="F78" s="64"/>
      <c r="G78" s="64">
        <f>E78*0.5</f>
        <v>5.398</v>
      </c>
      <c r="H78" s="69">
        <v>55</v>
      </c>
      <c r="I78" s="69">
        <v>60</v>
      </c>
      <c r="J78" s="53">
        <v>23</v>
      </c>
      <c r="K78" s="69">
        <f t="shared" si="6"/>
        <v>19.32</v>
      </c>
      <c r="L78" s="53">
        <f t="shared" si="7"/>
        <v>14.1588</v>
      </c>
      <c r="M78" s="53">
        <f t="shared" si="8"/>
        <v>171.4788</v>
      </c>
      <c r="N78" s="53">
        <f t="shared" si="9"/>
        <v>1851.2851248</v>
      </c>
      <c r="O78" s="53">
        <f t="shared" si="10"/>
        <v>0</v>
      </c>
      <c r="P78" s="53">
        <f t="shared" si="11"/>
        <v>925.6425624</v>
      </c>
      <c r="Q78" s="53"/>
      <c r="R78" s="56"/>
      <c r="S78" s="59"/>
      <c r="T78" s="56"/>
      <c r="U78" s="56"/>
      <c r="V78" s="56"/>
      <c r="W78" s="56"/>
    </row>
    <row r="79" s="1" customFormat="1" ht="96" customHeight="1" outlineLevel="1" spans="1:23">
      <c r="A79" s="25">
        <v>3.14</v>
      </c>
      <c r="B79" s="25" t="s">
        <v>128</v>
      </c>
      <c r="C79" s="70" t="s">
        <v>129</v>
      </c>
      <c r="D79" s="25" t="s">
        <v>80</v>
      </c>
      <c r="E79" s="68">
        <f>0.56+1.08+0.56+1.08</f>
        <v>3.28</v>
      </c>
      <c r="F79" s="64"/>
      <c r="G79" s="64">
        <f>E79</f>
        <v>3.28</v>
      </c>
      <c r="H79" s="69">
        <v>22</v>
      </c>
      <c r="I79" s="69">
        <v>5</v>
      </c>
      <c r="J79" s="53">
        <v>3</v>
      </c>
      <c r="K79" s="69">
        <f t="shared" si="6"/>
        <v>4.2</v>
      </c>
      <c r="L79" s="53">
        <f t="shared" si="7"/>
        <v>3.078</v>
      </c>
      <c r="M79" s="53">
        <f t="shared" si="8"/>
        <v>37.278</v>
      </c>
      <c r="N79" s="53">
        <f t="shared" si="9"/>
        <v>122.27184</v>
      </c>
      <c r="O79" s="53">
        <f t="shared" si="10"/>
        <v>0</v>
      </c>
      <c r="P79" s="53">
        <f t="shared" si="11"/>
        <v>122.27184</v>
      </c>
      <c r="Q79" s="53"/>
      <c r="R79" s="56"/>
      <c r="S79" s="59"/>
      <c r="T79" s="56"/>
      <c r="U79" s="56"/>
      <c r="V79" s="56"/>
      <c r="W79" s="56"/>
    </row>
    <row r="80" s="1" customFormat="1" ht="49" customHeight="1" outlineLevel="1" spans="1:23">
      <c r="A80" s="25">
        <v>3.15</v>
      </c>
      <c r="B80" s="25" t="s">
        <v>166</v>
      </c>
      <c r="C80" s="72" t="s">
        <v>167</v>
      </c>
      <c r="D80" s="25" t="s">
        <v>109</v>
      </c>
      <c r="E80" s="64">
        <v>1</v>
      </c>
      <c r="F80" s="64"/>
      <c r="G80" s="64"/>
      <c r="H80" s="64">
        <v>100</v>
      </c>
      <c r="I80" s="64">
        <v>550</v>
      </c>
      <c r="J80" s="64">
        <v>50</v>
      </c>
      <c r="K80" s="69">
        <f t="shared" si="6"/>
        <v>98</v>
      </c>
      <c r="L80" s="53">
        <f t="shared" si="7"/>
        <v>71.82</v>
      </c>
      <c r="M80" s="53">
        <f t="shared" si="8"/>
        <v>869.82</v>
      </c>
      <c r="N80" s="53">
        <f t="shared" si="9"/>
        <v>869.82</v>
      </c>
      <c r="O80" s="53">
        <f t="shared" si="10"/>
        <v>0</v>
      </c>
      <c r="P80" s="53">
        <f t="shared" si="11"/>
        <v>0</v>
      </c>
      <c r="Q80" s="53"/>
      <c r="R80" s="56"/>
      <c r="S80" s="59"/>
      <c r="T80" s="56"/>
      <c r="U80" s="56"/>
      <c r="V80" s="56"/>
      <c r="W80" s="56"/>
    </row>
    <row r="81" s="1" customFormat="1" ht="49" customHeight="1" outlineLevel="1" spans="1:23">
      <c r="A81" s="25">
        <v>3.16</v>
      </c>
      <c r="B81" s="25" t="s">
        <v>130</v>
      </c>
      <c r="C81" s="70" t="s">
        <v>131</v>
      </c>
      <c r="D81" s="25" t="s">
        <v>84</v>
      </c>
      <c r="E81" s="64">
        <f>1.64+1.39+0.6</f>
        <v>3.63</v>
      </c>
      <c r="F81" s="64"/>
      <c r="G81" s="64"/>
      <c r="H81" s="73">
        <v>150</v>
      </c>
      <c r="I81" s="73">
        <v>500</v>
      </c>
      <c r="J81" s="53">
        <v>25</v>
      </c>
      <c r="K81" s="69">
        <f t="shared" si="6"/>
        <v>94.5</v>
      </c>
      <c r="L81" s="53">
        <f t="shared" si="7"/>
        <v>69.255</v>
      </c>
      <c r="M81" s="53">
        <f t="shared" si="8"/>
        <v>838.755</v>
      </c>
      <c r="N81" s="53">
        <f t="shared" si="9"/>
        <v>3044.68065</v>
      </c>
      <c r="O81" s="53">
        <f t="shared" si="10"/>
        <v>0</v>
      </c>
      <c r="P81" s="53">
        <f t="shared" si="11"/>
        <v>0</v>
      </c>
      <c r="Q81" s="53"/>
      <c r="R81" s="56"/>
      <c r="S81" s="59"/>
      <c r="T81" s="56"/>
      <c r="U81" s="56"/>
      <c r="V81" s="56"/>
      <c r="W81" s="56"/>
    </row>
    <row r="82" s="1" customFormat="1" ht="49" customHeight="1" outlineLevel="1" spans="1:23">
      <c r="A82" s="25">
        <v>3.17</v>
      </c>
      <c r="B82" s="25" t="s">
        <v>132</v>
      </c>
      <c r="C82" s="70" t="s">
        <v>133</v>
      </c>
      <c r="D82" s="25" t="s">
        <v>84</v>
      </c>
      <c r="E82" s="64">
        <f>1.45+0.95</f>
        <v>2.4</v>
      </c>
      <c r="F82" s="64"/>
      <c r="G82" s="64"/>
      <c r="H82" s="53">
        <v>150</v>
      </c>
      <c r="I82" s="53">
        <v>300</v>
      </c>
      <c r="J82" s="53">
        <v>25</v>
      </c>
      <c r="K82" s="69">
        <f t="shared" si="6"/>
        <v>66.5</v>
      </c>
      <c r="L82" s="53">
        <f t="shared" si="7"/>
        <v>48.735</v>
      </c>
      <c r="M82" s="53">
        <f t="shared" si="8"/>
        <v>590.235</v>
      </c>
      <c r="N82" s="53">
        <f t="shared" si="9"/>
        <v>1416.564</v>
      </c>
      <c r="O82" s="53">
        <f t="shared" si="10"/>
        <v>0</v>
      </c>
      <c r="P82" s="53">
        <f t="shared" si="11"/>
        <v>0</v>
      </c>
      <c r="Q82" s="53"/>
      <c r="R82" s="56"/>
      <c r="S82" s="59"/>
      <c r="T82" s="56"/>
      <c r="U82" s="56"/>
      <c r="V82" s="56"/>
      <c r="W82" s="56"/>
    </row>
    <row r="83" s="1" customFormat="1" ht="49" customHeight="1" outlineLevel="1" spans="1:23">
      <c r="A83" s="25">
        <v>3.18</v>
      </c>
      <c r="B83" s="25" t="s">
        <v>134</v>
      </c>
      <c r="C83" s="70" t="s">
        <v>135</v>
      </c>
      <c r="D83" s="25" t="s">
        <v>136</v>
      </c>
      <c r="E83" s="64">
        <v>1</v>
      </c>
      <c r="F83" s="64"/>
      <c r="G83" s="64"/>
      <c r="H83" s="53">
        <v>20</v>
      </c>
      <c r="I83" s="53">
        <v>40</v>
      </c>
      <c r="J83" s="53">
        <v>15</v>
      </c>
      <c r="K83" s="69">
        <f t="shared" si="6"/>
        <v>10.5</v>
      </c>
      <c r="L83" s="53">
        <f t="shared" si="7"/>
        <v>7.695</v>
      </c>
      <c r="M83" s="53">
        <f t="shared" si="8"/>
        <v>93.195</v>
      </c>
      <c r="N83" s="53">
        <f t="shared" si="9"/>
        <v>93.195</v>
      </c>
      <c r="O83" s="53">
        <f t="shared" si="10"/>
        <v>0</v>
      </c>
      <c r="P83" s="53">
        <f t="shared" si="11"/>
        <v>0</v>
      </c>
      <c r="Q83" s="53" t="s">
        <v>137</v>
      </c>
      <c r="R83" s="56"/>
      <c r="S83" s="59"/>
      <c r="T83" s="56"/>
      <c r="U83" s="56"/>
      <c r="V83" s="56"/>
      <c r="W83" s="56"/>
    </row>
    <row r="84" s="1" customFormat="1" ht="49" customHeight="1" outlineLevel="1" spans="1:23">
      <c r="A84" s="25">
        <v>3.19</v>
      </c>
      <c r="B84" s="25" t="s">
        <v>138</v>
      </c>
      <c r="C84" s="70" t="s">
        <v>135</v>
      </c>
      <c r="D84" s="25" t="s">
        <v>136</v>
      </c>
      <c r="E84" s="64">
        <v>1</v>
      </c>
      <c r="F84" s="64"/>
      <c r="G84" s="64"/>
      <c r="H84" s="53">
        <v>30</v>
      </c>
      <c r="I84" s="53">
        <v>120</v>
      </c>
      <c r="J84" s="53">
        <v>15</v>
      </c>
      <c r="K84" s="69">
        <f t="shared" si="6"/>
        <v>23.1</v>
      </c>
      <c r="L84" s="53">
        <f t="shared" si="7"/>
        <v>16.929</v>
      </c>
      <c r="M84" s="53">
        <f t="shared" si="8"/>
        <v>205.029</v>
      </c>
      <c r="N84" s="53">
        <f t="shared" si="9"/>
        <v>205.029</v>
      </c>
      <c r="O84" s="53">
        <f t="shared" si="10"/>
        <v>0</v>
      </c>
      <c r="P84" s="53">
        <f t="shared" si="11"/>
        <v>0</v>
      </c>
      <c r="Q84" s="53" t="s">
        <v>137</v>
      </c>
      <c r="R84" s="56"/>
      <c r="S84" s="59"/>
      <c r="T84" s="56"/>
      <c r="U84" s="56"/>
      <c r="V84" s="56"/>
      <c r="W84" s="56"/>
    </row>
    <row r="85" s="1" customFormat="1" ht="21" customHeight="1" spans="1:23">
      <c r="A85" s="25">
        <v>4</v>
      </c>
      <c r="B85" s="25" t="s">
        <v>34</v>
      </c>
      <c r="C85" s="25" t="s">
        <v>34</v>
      </c>
      <c r="D85" s="25"/>
      <c r="E85" s="64"/>
      <c r="F85" s="64"/>
      <c r="G85" s="64"/>
      <c r="H85" s="53"/>
      <c r="I85" s="53"/>
      <c r="J85" s="53"/>
      <c r="K85" s="69"/>
      <c r="L85" s="53"/>
      <c r="M85" s="53"/>
      <c r="N85" s="53">
        <f>SUM(N86:N91)</f>
        <v>2735.310528</v>
      </c>
      <c r="O85" s="53">
        <f>SUM(O86:O91)</f>
        <v>0</v>
      </c>
      <c r="P85" s="53">
        <f>SUM(P86:P91)</f>
        <v>1894.070328</v>
      </c>
      <c r="Q85" s="53"/>
      <c r="R85" s="56"/>
      <c r="S85" s="59"/>
      <c r="T85" s="56"/>
      <c r="U85" s="56"/>
      <c r="V85" s="56"/>
      <c r="W85" s="56"/>
    </row>
    <row r="86" s="1" customFormat="1" ht="138" customHeight="1" outlineLevel="1" spans="1:23">
      <c r="A86" s="25">
        <v>4.1</v>
      </c>
      <c r="B86" s="25" t="s">
        <v>139</v>
      </c>
      <c r="C86" s="70" t="s">
        <v>140</v>
      </c>
      <c r="D86" s="25" t="s">
        <v>141</v>
      </c>
      <c r="E86" s="64">
        <f>4.18+2.59</f>
        <v>6.77</v>
      </c>
      <c r="F86" s="64"/>
      <c r="G86" s="64"/>
      <c r="H86" s="69">
        <v>45</v>
      </c>
      <c r="I86" s="69">
        <v>30</v>
      </c>
      <c r="J86" s="53">
        <v>25</v>
      </c>
      <c r="K86" s="69">
        <f t="shared" si="6"/>
        <v>14</v>
      </c>
      <c r="L86" s="53">
        <f t="shared" si="7"/>
        <v>10.26</v>
      </c>
      <c r="M86" s="53">
        <f t="shared" si="8"/>
        <v>124.26</v>
      </c>
      <c r="N86" s="53">
        <f t="shared" si="9"/>
        <v>841.2402</v>
      </c>
      <c r="O86" s="53">
        <f t="shared" si="10"/>
        <v>0</v>
      </c>
      <c r="P86" s="53">
        <f t="shared" si="11"/>
        <v>0</v>
      </c>
      <c r="Q86" s="53"/>
      <c r="R86" s="56"/>
      <c r="S86" s="59"/>
      <c r="T86" s="56"/>
      <c r="U86" s="56"/>
      <c r="V86" s="56"/>
      <c r="W86" s="56"/>
    </row>
    <row r="87" s="1" customFormat="1" ht="192" customHeight="1" outlineLevel="1" spans="1:23">
      <c r="A87" s="25">
        <v>4.2</v>
      </c>
      <c r="B87" s="25" t="s">
        <v>142</v>
      </c>
      <c r="C87" s="70" t="s">
        <v>168</v>
      </c>
      <c r="D87" s="25" t="s">
        <v>141</v>
      </c>
      <c r="E87" s="64">
        <f>12.02-8.48</f>
        <v>3.54</v>
      </c>
      <c r="F87" s="64"/>
      <c r="G87" s="64">
        <f>E87</f>
        <v>3.54</v>
      </c>
      <c r="H87" s="74">
        <v>70</v>
      </c>
      <c r="I87" s="74">
        <v>40</v>
      </c>
      <c r="J87" s="53">
        <v>28</v>
      </c>
      <c r="K87" s="69">
        <f t="shared" si="6"/>
        <v>19.32</v>
      </c>
      <c r="L87" s="53">
        <f t="shared" si="7"/>
        <v>14.1588</v>
      </c>
      <c r="M87" s="53">
        <f t="shared" si="8"/>
        <v>171.4788</v>
      </c>
      <c r="N87" s="53">
        <f t="shared" si="9"/>
        <v>607.034952</v>
      </c>
      <c r="O87" s="53">
        <f t="shared" si="10"/>
        <v>0</v>
      </c>
      <c r="P87" s="53">
        <f t="shared" si="11"/>
        <v>607.034952</v>
      </c>
      <c r="Q87" s="53"/>
      <c r="R87" s="56"/>
      <c r="S87" s="59"/>
      <c r="T87" s="56"/>
      <c r="U87" s="56"/>
      <c r="V87" s="56"/>
      <c r="W87" s="56"/>
    </row>
    <row r="88" s="1" customFormat="1" ht="88" customHeight="1" outlineLevel="1" spans="1:23">
      <c r="A88" s="25">
        <v>4.3</v>
      </c>
      <c r="B88" s="25" t="s">
        <v>144</v>
      </c>
      <c r="C88" s="70" t="s">
        <v>145</v>
      </c>
      <c r="D88" s="25" t="s">
        <v>80</v>
      </c>
      <c r="E88" s="64">
        <v>3.02</v>
      </c>
      <c r="F88" s="64"/>
      <c r="G88" s="64">
        <f t="shared" ref="G88:G97" si="12">E88</f>
        <v>3.02</v>
      </c>
      <c r="H88" s="69">
        <v>22</v>
      </c>
      <c r="I88" s="69">
        <v>5</v>
      </c>
      <c r="J88" s="53">
        <v>3</v>
      </c>
      <c r="K88" s="69">
        <f t="shared" si="6"/>
        <v>4.2</v>
      </c>
      <c r="L88" s="53">
        <f t="shared" si="7"/>
        <v>3.078</v>
      </c>
      <c r="M88" s="53">
        <f t="shared" si="8"/>
        <v>37.278</v>
      </c>
      <c r="N88" s="53">
        <f t="shared" si="9"/>
        <v>112.57956</v>
      </c>
      <c r="O88" s="53">
        <f t="shared" si="10"/>
        <v>0</v>
      </c>
      <c r="P88" s="53">
        <f t="shared" si="11"/>
        <v>112.57956</v>
      </c>
      <c r="Q88" s="53"/>
      <c r="R88" s="56"/>
      <c r="S88" s="59"/>
      <c r="T88" s="56"/>
      <c r="U88" s="56"/>
      <c r="V88" s="56"/>
      <c r="W88" s="56"/>
    </row>
    <row r="89" s="1" customFormat="1" ht="104" customHeight="1" outlineLevel="1" spans="1:23">
      <c r="A89" s="25">
        <v>4.4</v>
      </c>
      <c r="B89" s="25" t="s">
        <v>146</v>
      </c>
      <c r="C89" s="70" t="s">
        <v>147</v>
      </c>
      <c r="D89" s="25" t="s">
        <v>80</v>
      </c>
      <c r="E89" s="1">
        <f>8.48+5.46+0.2*2.5</f>
        <v>14.44</v>
      </c>
      <c r="F89" s="76"/>
      <c r="G89" s="64">
        <f t="shared" si="12"/>
        <v>14.44</v>
      </c>
      <c r="H89" s="69">
        <v>22</v>
      </c>
      <c r="I89" s="69">
        <v>4</v>
      </c>
      <c r="J89" s="53">
        <v>3</v>
      </c>
      <c r="K89" s="69">
        <f t="shared" si="6"/>
        <v>4.06</v>
      </c>
      <c r="L89" s="53">
        <f t="shared" si="7"/>
        <v>2.9754</v>
      </c>
      <c r="M89" s="53">
        <f t="shared" si="8"/>
        <v>36.0354</v>
      </c>
      <c r="N89" s="53">
        <f t="shared" si="9"/>
        <v>520.351176</v>
      </c>
      <c r="O89" s="53">
        <f t="shared" si="10"/>
        <v>0</v>
      </c>
      <c r="P89" s="53">
        <f t="shared" si="11"/>
        <v>520.351176</v>
      </c>
      <c r="Q89" s="53"/>
      <c r="R89" s="56"/>
      <c r="S89" s="59"/>
      <c r="T89" s="56"/>
      <c r="U89" s="56"/>
      <c r="V89" s="56"/>
      <c r="W89" s="56"/>
    </row>
    <row r="90" s="1" customFormat="1" ht="70" customHeight="1" outlineLevel="1" spans="1:23">
      <c r="A90" s="25">
        <v>4.5</v>
      </c>
      <c r="B90" s="25" t="s">
        <v>148</v>
      </c>
      <c r="C90" s="70" t="s">
        <v>149</v>
      </c>
      <c r="D90" s="25" t="s">
        <v>84</v>
      </c>
      <c r="E90" s="64">
        <v>9.4</v>
      </c>
      <c r="F90" s="64"/>
      <c r="G90" s="64">
        <f t="shared" si="12"/>
        <v>9.4</v>
      </c>
      <c r="H90" s="53">
        <v>5</v>
      </c>
      <c r="I90" s="53">
        <v>5</v>
      </c>
      <c r="J90" s="53">
        <v>1</v>
      </c>
      <c r="K90" s="69">
        <f t="shared" si="6"/>
        <v>1.54</v>
      </c>
      <c r="L90" s="53">
        <f t="shared" si="7"/>
        <v>1.1286</v>
      </c>
      <c r="M90" s="53">
        <f t="shared" si="8"/>
        <v>13.6686</v>
      </c>
      <c r="N90" s="53">
        <f t="shared" si="9"/>
        <v>128.48484</v>
      </c>
      <c r="O90" s="53">
        <f t="shared" si="10"/>
        <v>0</v>
      </c>
      <c r="P90" s="53">
        <f t="shared" si="11"/>
        <v>128.48484</v>
      </c>
      <c r="Q90" s="80"/>
      <c r="R90" s="56"/>
      <c r="S90" s="59"/>
      <c r="T90" s="56"/>
      <c r="U90" s="56"/>
      <c r="V90" s="56"/>
      <c r="W90" s="56"/>
    </row>
    <row r="91" ht="87" customHeight="1" outlineLevel="1" spans="1:17">
      <c r="A91" s="25">
        <v>4.6</v>
      </c>
      <c r="B91" s="25" t="s">
        <v>150</v>
      </c>
      <c r="C91" s="70" t="s">
        <v>151</v>
      </c>
      <c r="D91" s="25" t="s">
        <v>84</v>
      </c>
      <c r="E91" s="64">
        <f>1.5+0.2+2.53</f>
        <v>4.23</v>
      </c>
      <c r="F91" s="64"/>
      <c r="G91" s="64">
        <f t="shared" si="12"/>
        <v>4.23</v>
      </c>
      <c r="H91" s="69">
        <v>70</v>
      </c>
      <c r="I91" s="69">
        <v>20</v>
      </c>
      <c r="J91" s="53">
        <v>10</v>
      </c>
      <c r="K91" s="69">
        <f t="shared" si="6"/>
        <v>14</v>
      </c>
      <c r="L91" s="53">
        <f t="shared" si="7"/>
        <v>10.26</v>
      </c>
      <c r="M91" s="53">
        <f t="shared" si="8"/>
        <v>124.26</v>
      </c>
      <c r="N91" s="53">
        <f t="shared" si="9"/>
        <v>525.6198</v>
      </c>
      <c r="O91" s="53">
        <f t="shared" si="10"/>
        <v>0</v>
      </c>
      <c r="P91" s="53">
        <f t="shared" si="11"/>
        <v>525.6198</v>
      </c>
      <c r="Q91" s="80"/>
    </row>
    <row r="92" ht="22" customHeight="1" spans="1:17">
      <c r="A92" s="25">
        <v>5</v>
      </c>
      <c r="B92" s="25" t="s">
        <v>35</v>
      </c>
      <c r="C92" s="25" t="s">
        <v>35</v>
      </c>
      <c r="D92" s="25"/>
      <c r="E92" s="64"/>
      <c r="F92" s="64"/>
      <c r="G92" s="64">
        <f t="shared" si="12"/>
        <v>0</v>
      </c>
      <c r="H92" s="69"/>
      <c r="I92" s="69"/>
      <c r="J92" s="53"/>
      <c r="K92" s="69"/>
      <c r="L92" s="53"/>
      <c r="M92" s="53"/>
      <c r="N92" s="53">
        <f>SUM(N93:N97)</f>
        <v>4735.79712</v>
      </c>
      <c r="O92" s="53">
        <f>SUM(O93:O97)</f>
        <v>0</v>
      </c>
      <c r="P92" s="53">
        <f>SUM(P93:P97)</f>
        <v>4735.79712</v>
      </c>
      <c r="Q92" s="53"/>
    </row>
    <row r="93" ht="124" customHeight="1" outlineLevel="1" spans="1:17">
      <c r="A93" s="25">
        <v>5.1</v>
      </c>
      <c r="B93" s="25" t="s">
        <v>139</v>
      </c>
      <c r="C93" s="70" t="s">
        <v>169</v>
      </c>
      <c r="D93" s="25" t="s">
        <v>141</v>
      </c>
      <c r="E93" s="64">
        <f>4.18+2.59</f>
        <v>6.77</v>
      </c>
      <c r="F93" s="64"/>
      <c r="G93" s="64">
        <f t="shared" si="12"/>
        <v>6.77</v>
      </c>
      <c r="H93" s="69">
        <v>45</v>
      </c>
      <c r="I93" s="69">
        <v>30</v>
      </c>
      <c r="J93" s="53">
        <v>25</v>
      </c>
      <c r="K93" s="69">
        <f t="shared" si="6"/>
        <v>14</v>
      </c>
      <c r="L93" s="53">
        <f t="shared" si="7"/>
        <v>10.26</v>
      </c>
      <c r="M93" s="53">
        <f t="shared" si="8"/>
        <v>124.26</v>
      </c>
      <c r="N93" s="53">
        <f t="shared" si="9"/>
        <v>841.2402</v>
      </c>
      <c r="O93" s="53">
        <f t="shared" si="10"/>
        <v>0</v>
      </c>
      <c r="P93" s="53">
        <f t="shared" si="11"/>
        <v>841.2402</v>
      </c>
      <c r="Q93" s="53"/>
    </row>
    <row r="94" ht="184" customHeight="1" outlineLevel="1" spans="1:17">
      <c r="A94" s="25">
        <v>5.2</v>
      </c>
      <c r="B94" s="25" t="s">
        <v>142</v>
      </c>
      <c r="C94" s="70" t="s">
        <v>168</v>
      </c>
      <c r="D94" s="25" t="s">
        <v>141</v>
      </c>
      <c r="E94" s="68">
        <f>E87+E89</f>
        <v>17.98</v>
      </c>
      <c r="F94" s="64"/>
      <c r="G94" s="64">
        <f t="shared" si="12"/>
        <v>17.98</v>
      </c>
      <c r="H94" s="74">
        <v>70</v>
      </c>
      <c r="I94" s="74">
        <v>42</v>
      </c>
      <c r="J94" s="53">
        <v>28</v>
      </c>
      <c r="K94" s="69">
        <f t="shared" si="6"/>
        <v>19.6</v>
      </c>
      <c r="L94" s="53">
        <f t="shared" si="7"/>
        <v>14.364</v>
      </c>
      <c r="M94" s="53">
        <f t="shared" si="8"/>
        <v>173.964</v>
      </c>
      <c r="N94" s="53">
        <f t="shared" si="9"/>
        <v>3127.87272</v>
      </c>
      <c r="O94" s="53">
        <f t="shared" si="10"/>
        <v>0</v>
      </c>
      <c r="P94" s="53">
        <f t="shared" si="11"/>
        <v>3127.87272</v>
      </c>
      <c r="Q94" s="53"/>
    </row>
    <row r="95" ht="90" outlineLevel="1" spans="1:17">
      <c r="A95" s="25">
        <v>5.3</v>
      </c>
      <c r="B95" s="25" t="s">
        <v>144</v>
      </c>
      <c r="C95" s="70" t="s">
        <v>145</v>
      </c>
      <c r="D95" s="25" t="s">
        <v>80</v>
      </c>
      <c r="E95" s="68">
        <f>E88</f>
        <v>3.02</v>
      </c>
      <c r="F95" s="64"/>
      <c r="G95" s="64">
        <f t="shared" si="12"/>
        <v>3.02</v>
      </c>
      <c r="H95" s="69">
        <v>22</v>
      </c>
      <c r="I95" s="69">
        <v>5</v>
      </c>
      <c r="J95" s="53">
        <v>3</v>
      </c>
      <c r="K95" s="69">
        <f t="shared" si="6"/>
        <v>4.2</v>
      </c>
      <c r="L95" s="53">
        <f t="shared" si="7"/>
        <v>3.078</v>
      </c>
      <c r="M95" s="53">
        <f t="shared" si="8"/>
        <v>37.278</v>
      </c>
      <c r="N95" s="53">
        <f t="shared" si="9"/>
        <v>112.57956</v>
      </c>
      <c r="O95" s="53">
        <f t="shared" si="10"/>
        <v>0</v>
      </c>
      <c r="P95" s="53">
        <f t="shared" si="11"/>
        <v>112.57956</v>
      </c>
      <c r="Q95" s="53"/>
    </row>
    <row r="96" ht="56.25" outlineLevel="1" spans="1:17">
      <c r="A96" s="25">
        <v>5.4</v>
      </c>
      <c r="B96" s="25" t="s">
        <v>148</v>
      </c>
      <c r="C96" s="70" t="s">
        <v>149</v>
      </c>
      <c r="D96" s="25" t="s">
        <v>84</v>
      </c>
      <c r="E96" s="68">
        <f>E90</f>
        <v>9.4</v>
      </c>
      <c r="F96" s="64"/>
      <c r="G96" s="64">
        <f t="shared" si="12"/>
        <v>9.4</v>
      </c>
      <c r="H96" s="53">
        <v>5</v>
      </c>
      <c r="I96" s="53">
        <v>5</v>
      </c>
      <c r="J96" s="53">
        <v>1</v>
      </c>
      <c r="K96" s="69">
        <f t="shared" si="6"/>
        <v>1.54</v>
      </c>
      <c r="L96" s="53">
        <f t="shared" si="7"/>
        <v>1.1286</v>
      </c>
      <c r="M96" s="53">
        <f t="shared" si="8"/>
        <v>13.6686</v>
      </c>
      <c r="N96" s="53">
        <f t="shared" si="9"/>
        <v>128.48484</v>
      </c>
      <c r="O96" s="53">
        <f t="shared" si="10"/>
        <v>0</v>
      </c>
      <c r="P96" s="53">
        <f t="shared" si="11"/>
        <v>128.48484</v>
      </c>
      <c r="Q96" s="80"/>
    </row>
    <row r="97" s="57" customFormat="1" ht="78.75" outlineLevel="1" spans="1:23">
      <c r="A97" s="25">
        <v>5.5</v>
      </c>
      <c r="B97" s="25" t="s">
        <v>150</v>
      </c>
      <c r="C97" s="70" t="s">
        <v>151</v>
      </c>
      <c r="D97" s="25" t="s">
        <v>84</v>
      </c>
      <c r="E97" s="68">
        <f>E91</f>
        <v>4.23</v>
      </c>
      <c r="F97" s="64"/>
      <c r="G97" s="64">
        <f t="shared" si="12"/>
        <v>4.23</v>
      </c>
      <c r="H97" s="69">
        <v>70</v>
      </c>
      <c r="I97" s="69">
        <v>20</v>
      </c>
      <c r="J97" s="53">
        <v>10</v>
      </c>
      <c r="K97" s="69">
        <f t="shared" si="6"/>
        <v>14</v>
      </c>
      <c r="L97" s="53">
        <f t="shared" si="7"/>
        <v>10.26</v>
      </c>
      <c r="M97" s="53">
        <f t="shared" si="8"/>
        <v>124.26</v>
      </c>
      <c r="N97" s="53">
        <f t="shared" si="9"/>
        <v>525.6198</v>
      </c>
      <c r="O97" s="53">
        <f t="shared" si="10"/>
        <v>0</v>
      </c>
      <c r="P97" s="53">
        <f t="shared" si="11"/>
        <v>525.6198</v>
      </c>
      <c r="Q97" s="80"/>
      <c r="R97" s="56"/>
      <c r="S97" s="59"/>
      <c r="T97" s="56"/>
      <c r="U97" s="56"/>
      <c r="V97" s="56"/>
      <c r="W97" s="56"/>
    </row>
    <row r="98" s="56" customFormat="1" spans="1:19">
      <c r="A98" s="25" t="s">
        <v>152</v>
      </c>
      <c r="B98" s="25" t="s">
        <v>170</v>
      </c>
      <c r="C98" s="25" t="s">
        <v>77</v>
      </c>
      <c r="D98" s="25"/>
      <c r="E98" s="64"/>
      <c r="F98" s="64"/>
      <c r="G98" s="64"/>
      <c r="H98" s="53"/>
      <c r="I98" s="53"/>
      <c r="J98" s="53"/>
      <c r="K98" s="53"/>
      <c r="L98" s="53"/>
      <c r="M98" s="53"/>
      <c r="N98" s="53"/>
      <c r="O98" s="53"/>
      <c r="P98" s="53">
        <f t="shared" si="11"/>
        <v>0</v>
      </c>
      <c r="Q98" s="53"/>
      <c r="S98" s="59"/>
    </row>
    <row r="99" spans="1:17">
      <c r="A99" s="25">
        <v>1</v>
      </c>
      <c r="B99" s="25" t="s">
        <v>31</v>
      </c>
      <c r="C99" s="25"/>
      <c r="D99" s="25"/>
      <c r="E99" s="64"/>
      <c r="F99" s="64"/>
      <c r="G99" s="64"/>
      <c r="H99" s="53"/>
      <c r="I99" s="53"/>
      <c r="J99" s="53"/>
      <c r="K99" s="69"/>
      <c r="L99" s="53"/>
      <c r="M99" s="53"/>
      <c r="N99" s="53">
        <f>SUM(N100:N110)</f>
        <v>5504.749065</v>
      </c>
      <c r="O99" s="53">
        <f>SUM(O100:O110)</f>
        <v>237.83364</v>
      </c>
      <c r="P99" s="53">
        <f>SUM(P100:P110)</f>
        <v>1438.3250325</v>
      </c>
      <c r="Q99" s="53"/>
    </row>
    <row r="100" ht="85.5" outlineLevel="1" spans="1:17">
      <c r="A100" s="25">
        <v>1.1</v>
      </c>
      <c r="B100" s="25" t="s">
        <v>78</v>
      </c>
      <c r="C100" s="65" t="s">
        <v>79</v>
      </c>
      <c r="D100" s="66" t="s">
        <v>80</v>
      </c>
      <c r="E100" s="64">
        <v>18.8</v>
      </c>
      <c r="F100" s="64"/>
      <c r="G100" s="64"/>
      <c r="H100" s="53">
        <v>12</v>
      </c>
      <c r="I100" s="53">
        <v>60</v>
      </c>
      <c r="J100" s="53">
        <v>10</v>
      </c>
      <c r="K100" s="69">
        <f t="shared" si="6"/>
        <v>11.48</v>
      </c>
      <c r="L100" s="53">
        <f t="shared" si="7"/>
        <v>8.4132</v>
      </c>
      <c r="M100" s="53">
        <f t="shared" si="8"/>
        <v>101.8932</v>
      </c>
      <c r="N100" s="53">
        <f t="shared" si="9"/>
        <v>1915.59216</v>
      </c>
      <c r="O100" s="53">
        <f t="shared" si="10"/>
        <v>0</v>
      </c>
      <c r="P100" s="53">
        <f t="shared" si="11"/>
        <v>0</v>
      </c>
      <c r="Q100" s="78" t="s">
        <v>81</v>
      </c>
    </row>
    <row r="101" ht="34" customHeight="1" outlineLevel="1" spans="1:17">
      <c r="A101" s="25">
        <v>1.2</v>
      </c>
      <c r="B101" s="65" t="s">
        <v>82</v>
      </c>
      <c r="C101" s="65" t="s">
        <v>83</v>
      </c>
      <c r="D101" s="66" t="s">
        <v>84</v>
      </c>
      <c r="E101" s="64">
        <f>23.3-4.5</f>
        <v>18.8</v>
      </c>
      <c r="F101" s="64"/>
      <c r="G101" s="64"/>
      <c r="H101" s="53">
        <v>4</v>
      </c>
      <c r="I101" s="53">
        <v>4</v>
      </c>
      <c r="J101" s="53">
        <v>1</v>
      </c>
      <c r="K101" s="69">
        <f t="shared" si="6"/>
        <v>1.26</v>
      </c>
      <c r="L101" s="53">
        <f t="shared" si="7"/>
        <v>0.9234</v>
      </c>
      <c r="M101" s="53">
        <f t="shared" si="8"/>
        <v>11.1834</v>
      </c>
      <c r="N101" s="53">
        <f t="shared" si="9"/>
        <v>210.24792</v>
      </c>
      <c r="O101" s="53">
        <f t="shared" si="10"/>
        <v>0</v>
      </c>
      <c r="P101" s="53">
        <f t="shared" si="11"/>
        <v>0</v>
      </c>
      <c r="Q101" s="53"/>
    </row>
    <row r="102" ht="78" customHeight="1" outlineLevel="1" spans="1:17">
      <c r="A102" s="25">
        <v>1.3</v>
      </c>
      <c r="B102" s="65" t="s">
        <v>85</v>
      </c>
      <c r="C102" s="67" t="s">
        <v>154</v>
      </c>
      <c r="D102" s="66" t="s">
        <v>80</v>
      </c>
      <c r="E102" s="68">
        <v>3.03</v>
      </c>
      <c r="F102" s="64"/>
      <c r="G102" s="64">
        <f>E102</f>
        <v>3.03</v>
      </c>
      <c r="H102" s="69">
        <v>20</v>
      </c>
      <c r="I102" s="69">
        <v>25</v>
      </c>
      <c r="J102" s="69">
        <v>15</v>
      </c>
      <c r="K102" s="69">
        <f t="shared" si="6"/>
        <v>8.4</v>
      </c>
      <c r="L102" s="53">
        <f t="shared" si="7"/>
        <v>6.156</v>
      </c>
      <c r="M102" s="53">
        <f t="shared" si="8"/>
        <v>74.556</v>
      </c>
      <c r="N102" s="53">
        <f t="shared" si="9"/>
        <v>225.90468</v>
      </c>
      <c r="O102" s="53">
        <f t="shared" si="10"/>
        <v>0</v>
      </c>
      <c r="P102" s="53">
        <f t="shared" si="11"/>
        <v>225.90468</v>
      </c>
      <c r="Q102" s="53"/>
    </row>
    <row r="103" ht="65" customHeight="1" outlineLevel="1" spans="1:17">
      <c r="A103" s="25">
        <v>1.4</v>
      </c>
      <c r="B103" s="65" t="s">
        <v>85</v>
      </c>
      <c r="C103" s="67" t="s">
        <v>155</v>
      </c>
      <c r="D103" s="66" t="s">
        <v>80</v>
      </c>
      <c r="E103" s="68">
        <f>2.59+0.6</f>
        <v>3.19</v>
      </c>
      <c r="F103" s="64">
        <f>E103</f>
        <v>3.19</v>
      </c>
      <c r="G103" s="64"/>
      <c r="H103" s="69">
        <v>20</v>
      </c>
      <c r="I103" s="69">
        <v>25</v>
      </c>
      <c r="J103" s="69">
        <v>15</v>
      </c>
      <c r="K103" s="69">
        <f t="shared" si="6"/>
        <v>8.4</v>
      </c>
      <c r="L103" s="53">
        <f t="shared" si="7"/>
        <v>6.156</v>
      </c>
      <c r="M103" s="53">
        <f t="shared" si="8"/>
        <v>74.556</v>
      </c>
      <c r="N103" s="53">
        <f t="shared" si="9"/>
        <v>237.83364</v>
      </c>
      <c r="O103" s="53">
        <f t="shared" si="10"/>
        <v>237.83364</v>
      </c>
      <c r="P103" s="53">
        <f t="shared" si="11"/>
        <v>0</v>
      </c>
      <c r="Q103" s="53"/>
    </row>
    <row r="104" ht="93" customHeight="1" outlineLevel="1" spans="1:17">
      <c r="A104" s="25">
        <v>1.5</v>
      </c>
      <c r="B104" s="65" t="s">
        <v>85</v>
      </c>
      <c r="C104" s="67" t="s">
        <v>156</v>
      </c>
      <c r="D104" s="66" t="s">
        <v>80</v>
      </c>
      <c r="E104" s="68">
        <v>2.59</v>
      </c>
      <c r="F104" s="64"/>
      <c r="G104" s="64">
        <f>E104</f>
        <v>2.59</v>
      </c>
      <c r="H104" s="69">
        <v>20</v>
      </c>
      <c r="I104" s="69">
        <v>25</v>
      </c>
      <c r="J104" s="69">
        <v>15</v>
      </c>
      <c r="K104" s="69">
        <f t="shared" si="6"/>
        <v>8.4</v>
      </c>
      <c r="L104" s="53">
        <f t="shared" si="7"/>
        <v>6.156</v>
      </c>
      <c r="M104" s="53">
        <f t="shared" si="8"/>
        <v>74.556</v>
      </c>
      <c r="N104" s="53">
        <f t="shared" si="9"/>
        <v>193.10004</v>
      </c>
      <c r="O104" s="53">
        <f t="shared" si="10"/>
        <v>0</v>
      </c>
      <c r="P104" s="53">
        <f t="shared" si="11"/>
        <v>193.10004</v>
      </c>
      <c r="Q104" s="53"/>
    </row>
    <row r="105" ht="73" customHeight="1" outlineLevel="1" spans="1:17">
      <c r="A105" s="25">
        <v>1.6</v>
      </c>
      <c r="B105" s="25" t="s">
        <v>89</v>
      </c>
      <c r="C105" s="70" t="s">
        <v>90</v>
      </c>
      <c r="D105" s="25" t="s">
        <v>80</v>
      </c>
      <c r="E105" s="64">
        <v>2.59</v>
      </c>
      <c r="F105" s="64"/>
      <c r="G105" s="64">
        <f>E105/2</f>
        <v>1.295</v>
      </c>
      <c r="H105" s="69">
        <v>55</v>
      </c>
      <c r="I105" s="69">
        <v>72</v>
      </c>
      <c r="J105" s="53">
        <v>23</v>
      </c>
      <c r="K105" s="69">
        <f t="shared" si="6"/>
        <v>21</v>
      </c>
      <c r="L105" s="53">
        <f t="shared" si="7"/>
        <v>15.39</v>
      </c>
      <c r="M105" s="53">
        <f t="shared" si="8"/>
        <v>186.39</v>
      </c>
      <c r="N105" s="53">
        <f t="shared" si="9"/>
        <v>482.7501</v>
      </c>
      <c r="O105" s="53">
        <f t="shared" si="10"/>
        <v>0</v>
      </c>
      <c r="P105" s="53">
        <f t="shared" si="11"/>
        <v>241.37505</v>
      </c>
      <c r="Q105" s="79" t="s">
        <v>91</v>
      </c>
    </row>
    <row r="106" ht="68" customHeight="1" outlineLevel="1" spans="1:17">
      <c r="A106" s="25">
        <v>1.7</v>
      </c>
      <c r="B106" s="25" t="s">
        <v>89</v>
      </c>
      <c r="C106" s="70" t="s">
        <v>171</v>
      </c>
      <c r="D106" s="25" t="s">
        <v>80</v>
      </c>
      <c r="E106" s="64">
        <v>2.59</v>
      </c>
      <c r="F106" s="64"/>
      <c r="G106" s="64">
        <f>E106/2</f>
        <v>1.295</v>
      </c>
      <c r="H106" s="69">
        <v>55</v>
      </c>
      <c r="I106" s="69">
        <v>72</v>
      </c>
      <c r="J106" s="53">
        <v>23</v>
      </c>
      <c r="K106" s="69">
        <f t="shared" si="6"/>
        <v>21</v>
      </c>
      <c r="L106" s="53">
        <f t="shared" si="7"/>
        <v>15.39</v>
      </c>
      <c r="M106" s="53">
        <f t="shared" si="8"/>
        <v>186.39</v>
      </c>
      <c r="N106" s="53">
        <f t="shared" si="9"/>
        <v>482.7501</v>
      </c>
      <c r="O106" s="53">
        <f t="shared" si="10"/>
        <v>0</v>
      </c>
      <c r="P106" s="53">
        <f t="shared" si="11"/>
        <v>241.37505</v>
      </c>
      <c r="Q106" s="79" t="s">
        <v>91</v>
      </c>
    </row>
    <row r="107" s="58" customFormat="1" ht="51" customHeight="1" outlineLevel="1" spans="1:19">
      <c r="A107" s="25">
        <v>1.8</v>
      </c>
      <c r="B107" s="25" t="s">
        <v>93</v>
      </c>
      <c r="C107" s="70" t="s">
        <v>158</v>
      </c>
      <c r="D107" s="25" t="s">
        <v>80</v>
      </c>
      <c r="E107" s="64">
        <v>1.59</v>
      </c>
      <c r="F107" s="64"/>
      <c r="G107" s="64">
        <f>E107/2</f>
        <v>0.795</v>
      </c>
      <c r="H107" s="53">
        <v>40</v>
      </c>
      <c r="I107" s="53">
        <v>25</v>
      </c>
      <c r="J107" s="53">
        <v>5</v>
      </c>
      <c r="K107" s="81">
        <f t="shared" si="6"/>
        <v>9.8</v>
      </c>
      <c r="L107" s="53">
        <f t="shared" si="7"/>
        <v>7.182</v>
      </c>
      <c r="M107" s="53">
        <f t="shared" si="8"/>
        <v>86.982</v>
      </c>
      <c r="N107" s="53">
        <f t="shared" si="9"/>
        <v>138.30138</v>
      </c>
      <c r="O107" s="53">
        <f t="shared" si="10"/>
        <v>0</v>
      </c>
      <c r="P107" s="53">
        <f t="shared" si="11"/>
        <v>69.15069</v>
      </c>
      <c r="Q107" s="79"/>
      <c r="S107" s="82"/>
    </row>
    <row r="108" ht="78.75" outlineLevel="1" spans="1:17">
      <c r="A108" s="25">
        <v>1.9</v>
      </c>
      <c r="B108" s="25" t="s">
        <v>89</v>
      </c>
      <c r="C108" s="70" t="s">
        <v>95</v>
      </c>
      <c r="D108" s="25" t="s">
        <v>80</v>
      </c>
      <c r="E108" s="64">
        <v>3.03</v>
      </c>
      <c r="F108" s="64"/>
      <c r="G108" s="64">
        <f>E108/2</f>
        <v>1.515</v>
      </c>
      <c r="H108" s="69">
        <v>55</v>
      </c>
      <c r="I108" s="69">
        <v>72</v>
      </c>
      <c r="J108" s="53">
        <v>23</v>
      </c>
      <c r="K108" s="69">
        <f t="shared" si="6"/>
        <v>21</v>
      </c>
      <c r="L108" s="53">
        <f t="shared" si="7"/>
        <v>15.39</v>
      </c>
      <c r="M108" s="53">
        <f t="shared" si="8"/>
        <v>186.39</v>
      </c>
      <c r="N108" s="53">
        <f t="shared" si="9"/>
        <v>564.7617</v>
      </c>
      <c r="O108" s="53">
        <f t="shared" si="10"/>
        <v>0</v>
      </c>
      <c r="P108" s="53">
        <f t="shared" si="11"/>
        <v>282.38085</v>
      </c>
      <c r="Q108" s="79" t="s">
        <v>91</v>
      </c>
    </row>
    <row r="109" ht="90" outlineLevel="1" spans="1:17">
      <c r="A109" s="64">
        <v>1.1</v>
      </c>
      <c r="B109" s="25" t="s">
        <v>96</v>
      </c>
      <c r="C109" s="70" t="s">
        <v>97</v>
      </c>
      <c r="D109" s="25" t="s">
        <v>80</v>
      </c>
      <c r="E109" s="64">
        <f>0.22+0.108*2+0.191</f>
        <v>0.627</v>
      </c>
      <c r="F109" s="64"/>
      <c r="G109" s="64">
        <f>E109/2</f>
        <v>0.3135</v>
      </c>
      <c r="H109" s="53">
        <v>100</v>
      </c>
      <c r="I109" s="53">
        <v>350</v>
      </c>
      <c r="J109" s="53">
        <v>25</v>
      </c>
      <c r="K109" s="69">
        <f t="shared" si="6"/>
        <v>66.5</v>
      </c>
      <c r="L109" s="53">
        <f t="shared" si="7"/>
        <v>48.735</v>
      </c>
      <c r="M109" s="53">
        <f t="shared" si="8"/>
        <v>590.235</v>
      </c>
      <c r="N109" s="53">
        <f t="shared" si="9"/>
        <v>370.077345</v>
      </c>
      <c r="O109" s="53">
        <f t="shared" si="10"/>
        <v>0</v>
      </c>
      <c r="P109" s="53">
        <f t="shared" si="11"/>
        <v>185.0386725</v>
      </c>
      <c r="Q109" s="79"/>
    </row>
    <row r="110" ht="114" outlineLevel="1" spans="1:17">
      <c r="A110" s="25">
        <v>1.11</v>
      </c>
      <c r="B110" s="65" t="s">
        <v>98</v>
      </c>
      <c r="C110" s="67" t="s">
        <v>99</v>
      </c>
      <c r="D110" s="66" t="s">
        <v>80</v>
      </c>
      <c r="E110" s="64">
        <v>2</v>
      </c>
      <c r="F110" s="64"/>
      <c r="G110" s="64"/>
      <c r="H110" s="53">
        <v>80</v>
      </c>
      <c r="I110" s="53">
        <v>150</v>
      </c>
      <c r="J110" s="53">
        <v>45</v>
      </c>
      <c r="K110" s="69">
        <f t="shared" si="6"/>
        <v>38.5</v>
      </c>
      <c r="L110" s="53">
        <f t="shared" si="7"/>
        <v>28.215</v>
      </c>
      <c r="M110" s="53">
        <f t="shared" si="8"/>
        <v>341.715</v>
      </c>
      <c r="N110" s="53">
        <f t="shared" si="9"/>
        <v>683.43</v>
      </c>
      <c r="O110" s="53">
        <f t="shared" si="10"/>
        <v>0</v>
      </c>
      <c r="P110" s="53">
        <f t="shared" si="11"/>
        <v>0</v>
      </c>
      <c r="Q110" s="79"/>
    </row>
    <row r="111" ht="17.25" spans="1:17">
      <c r="A111" s="25">
        <v>2</v>
      </c>
      <c r="B111" s="66" t="s">
        <v>32</v>
      </c>
      <c r="C111" s="67"/>
      <c r="D111" s="66"/>
      <c r="E111" s="64"/>
      <c r="F111" s="64"/>
      <c r="G111" s="64"/>
      <c r="H111" s="53"/>
      <c r="I111" s="53"/>
      <c r="J111" s="53"/>
      <c r="K111" s="69"/>
      <c r="L111" s="53"/>
      <c r="M111" s="53"/>
      <c r="N111" s="53">
        <f>N112</f>
        <v>2443.398936</v>
      </c>
      <c r="O111" s="53">
        <f>O112</f>
        <v>2443.398936</v>
      </c>
      <c r="P111" s="53">
        <f>P112</f>
        <v>0</v>
      </c>
      <c r="Q111" s="79"/>
    </row>
    <row r="112" ht="156.75" outlineLevel="1" spans="1:17">
      <c r="A112" s="25">
        <v>2.1</v>
      </c>
      <c r="B112" s="65" t="s">
        <v>32</v>
      </c>
      <c r="C112" s="67" t="s">
        <v>160</v>
      </c>
      <c r="D112" s="66" t="s">
        <v>80</v>
      </c>
      <c r="E112" s="64">
        <f>E100+2.59+2.59</f>
        <v>23.98</v>
      </c>
      <c r="F112" s="64">
        <f>E112</f>
        <v>23.98</v>
      </c>
      <c r="G112" s="64"/>
      <c r="H112" s="53">
        <v>30</v>
      </c>
      <c r="I112" s="53">
        <v>40</v>
      </c>
      <c r="J112" s="53">
        <v>12</v>
      </c>
      <c r="K112" s="69">
        <f t="shared" si="6"/>
        <v>11.48</v>
      </c>
      <c r="L112" s="53">
        <f t="shared" si="7"/>
        <v>8.4132</v>
      </c>
      <c r="M112" s="53">
        <f t="shared" si="8"/>
        <v>101.8932</v>
      </c>
      <c r="N112" s="53">
        <f t="shared" si="9"/>
        <v>2443.398936</v>
      </c>
      <c r="O112" s="53">
        <f t="shared" si="10"/>
        <v>2443.398936</v>
      </c>
      <c r="P112" s="53">
        <f t="shared" si="11"/>
        <v>0</v>
      </c>
      <c r="Q112" s="79" t="s">
        <v>101</v>
      </c>
    </row>
    <row r="113" ht="26" customHeight="1" spans="1:17">
      <c r="A113" s="25">
        <v>3</v>
      </c>
      <c r="B113" s="25" t="s">
        <v>33</v>
      </c>
      <c r="C113" s="25"/>
      <c r="D113" s="25"/>
      <c r="E113" s="64"/>
      <c r="F113" s="64"/>
      <c r="G113" s="64"/>
      <c r="H113" s="53"/>
      <c r="I113" s="53"/>
      <c r="J113" s="53"/>
      <c r="K113" s="69"/>
      <c r="L113" s="53"/>
      <c r="M113" s="53"/>
      <c r="N113" s="53">
        <f>SUM(N114:N130)</f>
        <v>22959.4903776</v>
      </c>
      <c r="O113" s="53">
        <f>SUM(O114:O130)</f>
        <v>0</v>
      </c>
      <c r="P113" s="53">
        <f>SUM(P114:P130)</f>
        <v>4212.2822844</v>
      </c>
      <c r="Q113" s="53"/>
    </row>
    <row r="114" ht="57" customHeight="1" outlineLevel="1" spans="1:17">
      <c r="A114" s="25">
        <v>3.1</v>
      </c>
      <c r="B114" s="71" t="s">
        <v>102</v>
      </c>
      <c r="C114" s="72" t="s">
        <v>103</v>
      </c>
      <c r="D114" s="25" t="s">
        <v>80</v>
      </c>
      <c r="E114" s="64">
        <f>1.71+2+0.53+4.52-1.44+10.65+4.32+7.59+5.62-2.44+7.59-1.61+0.2*2.5+2.5*0.8</f>
        <v>41.54</v>
      </c>
      <c r="F114" s="64"/>
      <c r="G114" s="64">
        <f>E114/2</f>
        <v>20.77</v>
      </c>
      <c r="H114" s="69">
        <v>15</v>
      </c>
      <c r="I114" s="69">
        <v>20</v>
      </c>
      <c r="J114" s="64">
        <v>5</v>
      </c>
      <c r="K114" s="69">
        <f t="shared" si="6"/>
        <v>5.6</v>
      </c>
      <c r="L114" s="53">
        <f t="shared" si="7"/>
        <v>4.104</v>
      </c>
      <c r="M114" s="53">
        <f t="shared" si="8"/>
        <v>49.704</v>
      </c>
      <c r="N114" s="53">
        <f t="shared" si="9"/>
        <v>2064.70416</v>
      </c>
      <c r="O114" s="53">
        <f t="shared" si="10"/>
        <v>0</v>
      </c>
      <c r="P114" s="53">
        <f t="shared" si="11"/>
        <v>1032.35208</v>
      </c>
      <c r="Q114" s="25" t="s">
        <v>104</v>
      </c>
    </row>
    <row r="115" ht="171" outlineLevel="1" spans="1:17">
      <c r="A115" s="25">
        <v>3.2</v>
      </c>
      <c r="B115" s="71" t="s">
        <v>105</v>
      </c>
      <c r="C115" s="67" t="s">
        <v>106</v>
      </c>
      <c r="D115" s="25" t="s">
        <v>84</v>
      </c>
      <c r="E115" s="64">
        <f>0.93+1.53</f>
        <v>2.46</v>
      </c>
      <c r="F115" s="64"/>
      <c r="G115" s="64"/>
      <c r="H115" s="69">
        <v>50</v>
      </c>
      <c r="I115" s="69">
        <v>60</v>
      </c>
      <c r="J115" s="64">
        <v>10</v>
      </c>
      <c r="K115" s="69">
        <f t="shared" si="6"/>
        <v>16.8</v>
      </c>
      <c r="L115" s="53">
        <f t="shared" si="7"/>
        <v>12.312</v>
      </c>
      <c r="M115" s="53">
        <f t="shared" si="8"/>
        <v>149.112</v>
      </c>
      <c r="N115" s="53">
        <f t="shared" si="9"/>
        <v>366.81552</v>
      </c>
      <c r="O115" s="53">
        <f t="shared" si="10"/>
        <v>0</v>
      </c>
      <c r="P115" s="53">
        <f t="shared" si="11"/>
        <v>0</v>
      </c>
      <c r="Q115" s="25"/>
    </row>
    <row r="116" ht="54" customHeight="1" outlineLevel="1" spans="1:17">
      <c r="A116" s="25">
        <v>3.3</v>
      </c>
      <c r="B116" s="71" t="s">
        <v>107</v>
      </c>
      <c r="C116" s="72" t="s">
        <v>108</v>
      </c>
      <c r="D116" s="25" t="s">
        <v>109</v>
      </c>
      <c r="E116" s="64">
        <v>1</v>
      </c>
      <c r="F116" s="64"/>
      <c r="G116" s="64"/>
      <c r="H116" s="64">
        <v>100</v>
      </c>
      <c r="I116" s="64">
        <v>600</v>
      </c>
      <c r="J116" s="64">
        <v>50</v>
      </c>
      <c r="K116" s="69">
        <f t="shared" si="6"/>
        <v>105</v>
      </c>
      <c r="L116" s="53">
        <f t="shared" si="7"/>
        <v>76.95</v>
      </c>
      <c r="M116" s="53">
        <f t="shared" si="8"/>
        <v>931.95</v>
      </c>
      <c r="N116" s="53">
        <f t="shared" si="9"/>
        <v>931.95</v>
      </c>
      <c r="O116" s="53">
        <f t="shared" si="10"/>
        <v>0</v>
      </c>
      <c r="P116" s="53">
        <f t="shared" si="11"/>
        <v>0</v>
      </c>
      <c r="Q116" s="25"/>
    </row>
    <row r="117" ht="60" customHeight="1" outlineLevel="1" spans="1:17">
      <c r="A117" s="25">
        <v>3.4</v>
      </c>
      <c r="B117" s="71" t="s">
        <v>110</v>
      </c>
      <c r="C117" s="72" t="s">
        <v>111</v>
      </c>
      <c r="D117" s="25" t="s">
        <v>80</v>
      </c>
      <c r="E117" s="64">
        <v>2.53</v>
      </c>
      <c r="F117" s="64"/>
      <c r="G117" s="64"/>
      <c r="H117" s="53">
        <v>150</v>
      </c>
      <c r="I117" s="53">
        <v>380</v>
      </c>
      <c r="J117" s="53">
        <v>50</v>
      </c>
      <c r="K117" s="69">
        <f t="shared" si="6"/>
        <v>81.2</v>
      </c>
      <c r="L117" s="53">
        <f t="shared" si="7"/>
        <v>59.508</v>
      </c>
      <c r="M117" s="53">
        <f t="shared" si="8"/>
        <v>720.708</v>
      </c>
      <c r="N117" s="53">
        <f t="shared" si="9"/>
        <v>1823.39124</v>
      </c>
      <c r="O117" s="53">
        <f t="shared" si="10"/>
        <v>0</v>
      </c>
      <c r="P117" s="53">
        <f t="shared" si="11"/>
        <v>0</v>
      </c>
      <c r="Q117" s="25"/>
    </row>
    <row r="118" ht="81" customHeight="1" outlineLevel="1" spans="1:17">
      <c r="A118" s="25">
        <v>3.5</v>
      </c>
      <c r="B118" s="71" t="s">
        <v>112</v>
      </c>
      <c r="C118" s="72" t="s">
        <v>161</v>
      </c>
      <c r="D118" s="25" t="s">
        <v>80</v>
      </c>
      <c r="E118" s="64">
        <v>5.72</v>
      </c>
      <c r="F118" s="64"/>
      <c r="G118" s="64"/>
      <c r="H118" s="64">
        <v>200</v>
      </c>
      <c r="I118" s="64">
        <v>165</v>
      </c>
      <c r="J118" s="64">
        <v>45</v>
      </c>
      <c r="K118" s="69">
        <f t="shared" si="6"/>
        <v>57.4</v>
      </c>
      <c r="L118" s="53">
        <f t="shared" si="7"/>
        <v>42.066</v>
      </c>
      <c r="M118" s="53">
        <f t="shared" si="8"/>
        <v>509.466</v>
      </c>
      <c r="N118" s="53">
        <f t="shared" si="9"/>
        <v>2914.14552</v>
      </c>
      <c r="O118" s="53">
        <f t="shared" si="10"/>
        <v>0</v>
      </c>
      <c r="P118" s="53">
        <f t="shared" si="11"/>
        <v>0</v>
      </c>
      <c r="Q118" s="25"/>
    </row>
    <row r="119" ht="33" customHeight="1" outlineLevel="1" spans="1:17">
      <c r="A119" s="25">
        <v>3.6</v>
      </c>
      <c r="B119" s="25" t="s">
        <v>114</v>
      </c>
      <c r="C119" s="70" t="s">
        <v>115</v>
      </c>
      <c r="D119" s="25" t="s">
        <v>84</v>
      </c>
      <c r="E119" s="64">
        <f>2.53*2</f>
        <v>5.06</v>
      </c>
      <c r="F119" s="64"/>
      <c r="G119" s="64"/>
      <c r="H119" s="53">
        <v>10</v>
      </c>
      <c r="I119" s="53">
        <v>10</v>
      </c>
      <c r="J119" s="53">
        <v>1</v>
      </c>
      <c r="K119" s="69">
        <f t="shared" si="6"/>
        <v>2.94</v>
      </c>
      <c r="L119" s="53">
        <f t="shared" si="7"/>
        <v>2.1546</v>
      </c>
      <c r="M119" s="53">
        <f t="shared" si="8"/>
        <v>26.0946</v>
      </c>
      <c r="N119" s="53">
        <f t="shared" si="9"/>
        <v>132.038676</v>
      </c>
      <c r="O119" s="53">
        <f t="shared" si="10"/>
        <v>0</v>
      </c>
      <c r="P119" s="53">
        <f t="shared" si="11"/>
        <v>0</v>
      </c>
      <c r="Q119" s="53"/>
    </row>
    <row r="120" ht="72" customHeight="1" outlineLevel="1" spans="1:17">
      <c r="A120" s="25">
        <v>3.7</v>
      </c>
      <c r="B120" s="25" t="s">
        <v>116</v>
      </c>
      <c r="C120" s="70" t="s">
        <v>162</v>
      </c>
      <c r="D120" s="25" t="s">
        <v>80</v>
      </c>
      <c r="E120" s="64">
        <f>2.891+5.1+4.78-0.55+3.7*0.08+5.375-0.12-0.28-1.76+2.97+5.14-0.786+2.98+5.14-1.76</f>
        <v>29.416</v>
      </c>
      <c r="F120" s="64"/>
      <c r="G120" s="64">
        <f>E120/2</f>
        <v>14.708</v>
      </c>
      <c r="H120" s="69">
        <v>55</v>
      </c>
      <c r="I120" s="69">
        <v>60</v>
      </c>
      <c r="J120" s="53">
        <v>23</v>
      </c>
      <c r="K120" s="69">
        <f t="shared" si="6"/>
        <v>19.32</v>
      </c>
      <c r="L120" s="53">
        <f t="shared" si="7"/>
        <v>14.1588</v>
      </c>
      <c r="M120" s="53">
        <f t="shared" si="8"/>
        <v>171.4788</v>
      </c>
      <c r="N120" s="53">
        <f t="shared" si="9"/>
        <v>5044.2203808</v>
      </c>
      <c r="O120" s="53">
        <f t="shared" si="10"/>
        <v>0</v>
      </c>
      <c r="P120" s="53">
        <f t="shared" si="11"/>
        <v>2522.1101904</v>
      </c>
      <c r="Q120" s="53" t="s">
        <v>118</v>
      </c>
    </row>
    <row r="121" ht="72" customHeight="1" outlineLevel="1" spans="1:17">
      <c r="A121" s="25">
        <v>3.8</v>
      </c>
      <c r="B121" s="25" t="s">
        <v>163</v>
      </c>
      <c r="C121" s="70" t="s">
        <v>164</v>
      </c>
      <c r="D121" s="25" t="s">
        <v>80</v>
      </c>
      <c r="E121" s="64">
        <f>0.87+1.02+0.27+0.12+0.12+0.26</f>
        <v>2.66</v>
      </c>
      <c r="F121" s="64"/>
      <c r="G121" s="64">
        <f>E121/2</f>
        <v>1.33</v>
      </c>
      <c r="H121" s="53">
        <v>20</v>
      </c>
      <c r="I121" s="53">
        <v>15</v>
      </c>
      <c r="J121" s="53">
        <v>5</v>
      </c>
      <c r="K121" s="69">
        <f t="shared" si="6"/>
        <v>5.6</v>
      </c>
      <c r="L121" s="53">
        <f t="shared" si="7"/>
        <v>4.104</v>
      </c>
      <c r="M121" s="53">
        <f t="shared" si="8"/>
        <v>49.704</v>
      </c>
      <c r="N121" s="53">
        <f t="shared" si="9"/>
        <v>132.21264</v>
      </c>
      <c r="O121" s="53">
        <f t="shared" si="10"/>
        <v>0</v>
      </c>
      <c r="P121" s="53">
        <f t="shared" si="11"/>
        <v>66.10632</v>
      </c>
      <c r="Q121" s="53"/>
    </row>
    <row r="122" ht="74" customHeight="1" outlineLevel="1" spans="1:17">
      <c r="A122" s="25">
        <v>3.9</v>
      </c>
      <c r="B122" s="25" t="s">
        <v>119</v>
      </c>
      <c r="C122" s="70" t="s">
        <v>165</v>
      </c>
      <c r="D122" s="25" t="s">
        <v>80</v>
      </c>
      <c r="E122" s="68">
        <f>5.95+3.67</f>
        <v>9.62</v>
      </c>
      <c r="F122" s="64"/>
      <c r="G122" s="64">
        <f>E122</f>
        <v>9.62</v>
      </c>
      <c r="H122" s="69">
        <v>20</v>
      </c>
      <c r="I122" s="69">
        <v>25</v>
      </c>
      <c r="J122" s="69">
        <v>4.5</v>
      </c>
      <c r="K122" s="69">
        <f t="shared" si="6"/>
        <v>6.93</v>
      </c>
      <c r="L122" s="53">
        <f t="shared" si="7"/>
        <v>5.0787</v>
      </c>
      <c r="M122" s="53">
        <f t="shared" si="8"/>
        <v>61.5087</v>
      </c>
      <c r="N122" s="53">
        <f t="shared" si="9"/>
        <v>591.713694</v>
      </c>
      <c r="O122" s="53">
        <f t="shared" si="10"/>
        <v>0</v>
      </c>
      <c r="P122" s="53">
        <f t="shared" si="11"/>
        <v>591.713694</v>
      </c>
      <c r="Q122" s="53"/>
    </row>
    <row r="123" ht="45" outlineLevel="1" spans="1:17">
      <c r="A123" s="25">
        <v>3.11</v>
      </c>
      <c r="B123" s="25" t="s">
        <v>122</v>
      </c>
      <c r="C123" s="72" t="s">
        <v>123</v>
      </c>
      <c r="D123" s="25" t="s">
        <v>109</v>
      </c>
      <c r="E123" s="64">
        <v>1</v>
      </c>
      <c r="F123" s="64"/>
      <c r="G123" s="64"/>
      <c r="H123" s="64">
        <v>100</v>
      </c>
      <c r="I123" s="64">
        <v>650</v>
      </c>
      <c r="J123" s="53">
        <v>50</v>
      </c>
      <c r="K123" s="69">
        <f t="shared" si="6"/>
        <v>112</v>
      </c>
      <c r="L123" s="53">
        <f t="shared" si="7"/>
        <v>82.08</v>
      </c>
      <c r="M123" s="53">
        <f t="shared" si="8"/>
        <v>994.08</v>
      </c>
      <c r="N123" s="53">
        <f t="shared" si="9"/>
        <v>994.08</v>
      </c>
      <c r="O123" s="53">
        <f t="shared" si="10"/>
        <v>0</v>
      </c>
      <c r="P123" s="53">
        <f t="shared" si="11"/>
        <v>0</v>
      </c>
      <c r="Q123" s="53"/>
    </row>
    <row r="124" ht="33.75" outlineLevel="1" spans="1:17">
      <c r="A124" s="25">
        <v>3.12</v>
      </c>
      <c r="B124" s="25" t="s">
        <v>124</v>
      </c>
      <c r="C124" s="72" t="s">
        <v>172</v>
      </c>
      <c r="D124" s="25" t="s">
        <v>109</v>
      </c>
      <c r="E124" s="64">
        <v>1</v>
      </c>
      <c r="F124" s="64"/>
      <c r="G124" s="64"/>
      <c r="H124" s="64">
        <v>100</v>
      </c>
      <c r="I124" s="64">
        <v>580</v>
      </c>
      <c r="J124" s="64">
        <v>50</v>
      </c>
      <c r="K124" s="69">
        <f t="shared" si="6"/>
        <v>102.2</v>
      </c>
      <c r="L124" s="53">
        <f t="shared" si="7"/>
        <v>74.898</v>
      </c>
      <c r="M124" s="53">
        <f t="shared" si="8"/>
        <v>907.098</v>
      </c>
      <c r="N124" s="53">
        <f t="shared" si="9"/>
        <v>907.098</v>
      </c>
      <c r="O124" s="53">
        <f t="shared" si="10"/>
        <v>0</v>
      </c>
      <c r="P124" s="53">
        <f t="shared" si="11"/>
        <v>0</v>
      </c>
      <c r="Q124" s="53"/>
    </row>
    <row r="125" ht="56" customHeight="1" outlineLevel="1" spans="1:17">
      <c r="A125" s="25">
        <v>3.13</v>
      </c>
      <c r="B125" s="25" t="s">
        <v>126</v>
      </c>
      <c r="C125" s="70" t="s">
        <v>127</v>
      </c>
      <c r="D125" s="25" t="s">
        <v>80</v>
      </c>
      <c r="E125" s="64">
        <f>2.852-1.45+5.8*0.08+4.3+0.55+5.97</f>
        <v>12.686</v>
      </c>
      <c r="F125" s="64"/>
      <c r="G125" s="64"/>
      <c r="H125" s="69">
        <v>55</v>
      </c>
      <c r="I125" s="69">
        <v>60</v>
      </c>
      <c r="J125" s="53">
        <v>23</v>
      </c>
      <c r="K125" s="69">
        <f t="shared" si="6"/>
        <v>19.32</v>
      </c>
      <c r="L125" s="53">
        <f t="shared" si="7"/>
        <v>14.1588</v>
      </c>
      <c r="M125" s="53">
        <f t="shared" si="8"/>
        <v>171.4788</v>
      </c>
      <c r="N125" s="53">
        <f t="shared" si="9"/>
        <v>2175.3800568</v>
      </c>
      <c r="O125" s="53">
        <f t="shared" si="10"/>
        <v>0</v>
      </c>
      <c r="P125" s="53">
        <f t="shared" si="11"/>
        <v>0</v>
      </c>
      <c r="Q125" s="53"/>
    </row>
    <row r="126" ht="78.75" outlineLevel="1" spans="1:17">
      <c r="A126" s="25">
        <v>3.14</v>
      </c>
      <c r="B126" s="25" t="s">
        <v>128</v>
      </c>
      <c r="C126" s="70" t="s">
        <v>129</v>
      </c>
      <c r="D126" s="25" t="s">
        <v>80</v>
      </c>
      <c r="E126" s="64">
        <f>0.56+1.08+0.56+1.08</f>
        <v>3.28</v>
      </c>
      <c r="F126" s="64"/>
      <c r="G126" s="64"/>
      <c r="H126" s="69">
        <v>22</v>
      </c>
      <c r="I126" s="69">
        <v>5</v>
      </c>
      <c r="J126" s="53">
        <v>3</v>
      </c>
      <c r="K126" s="69">
        <f t="shared" si="6"/>
        <v>4.2</v>
      </c>
      <c r="L126" s="53">
        <f t="shared" si="7"/>
        <v>3.078</v>
      </c>
      <c r="M126" s="53">
        <f t="shared" si="8"/>
        <v>37.278</v>
      </c>
      <c r="N126" s="53">
        <f t="shared" si="9"/>
        <v>122.27184</v>
      </c>
      <c r="O126" s="53">
        <f t="shared" si="10"/>
        <v>0</v>
      </c>
      <c r="P126" s="53">
        <f t="shared" si="11"/>
        <v>0</v>
      </c>
      <c r="Q126" s="53"/>
    </row>
    <row r="127" ht="52" customHeight="1" outlineLevel="1" spans="1:17">
      <c r="A127" s="25">
        <v>3.16</v>
      </c>
      <c r="B127" s="25" t="s">
        <v>130</v>
      </c>
      <c r="C127" s="70" t="s">
        <v>131</v>
      </c>
      <c r="D127" s="25" t="s">
        <v>84</v>
      </c>
      <c r="E127" s="64">
        <f>1.64+1.39+0.6</f>
        <v>3.63</v>
      </c>
      <c r="F127" s="64"/>
      <c r="G127" s="64"/>
      <c r="H127" s="73">
        <v>150</v>
      </c>
      <c r="I127" s="73">
        <v>500</v>
      </c>
      <c r="J127" s="53">
        <v>25</v>
      </c>
      <c r="K127" s="69">
        <f t="shared" si="6"/>
        <v>94.5</v>
      </c>
      <c r="L127" s="53">
        <f t="shared" si="7"/>
        <v>69.255</v>
      </c>
      <c r="M127" s="53">
        <f t="shared" si="8"/>
        <v>838.755</v>
      </c>
      <c r="N127" s="53">
        <f t="shared" si="9"/>
        <v>3044.68065</v>
      </c>
      <c r="O127" s="53">
        <f t="shared" si="10"/>
        <v>0</v>
      </c>
      <c r="P127" s="53">
        <f t="shared" si="11"/>
        <v>0</v>
      </c>
      <c r="Q127" s="53"/>
    </row>
    <row r="128" ht="53" customHeight="1" outlineLevel="1" spans="1:17">
      <c r="A128" s="25">
        <v>3.17</v>
      </c>
      <c r="B128" s="25" t="s">
        <v>132</v>
      </c>
      <c r="C128" s="70" t="s">
        <v>133</v>
      </c>
      <c r="D128" s="25" t="s">
        <v>84</v>
      </c>
      <c r="E128" s="64">
        <f>1.45+0.95</f>
        <v>2.4</v>
      </c>
      <c r="F128" s="64"/>
      <c r="G128" s="64"/>
      <c r="H128" s="53">
        <v>150</v>
      </c>
      <c r="I128" s="53">
        <v>300</v>
      </c>
      <c r="J128" s="53">
        <v>25</v>
      </c>
      <c r="K128" s="69">
        <f t="shared" si="6"/>
        <v>66.5</v>
      </c>
      <c r="L128" s="53">
        <f t="shared" si="7"/>
        <v>48.735</v>
      </c>
      <c r="M128" s="53">
        <f t="shared" si="8"/>
        <v>590.235</v>
      </c>
      <c r="N128" s="53">
        <f t="shared" si="9"/>
        <v>1416.564</v>
      </c>
      <c r="O128" s="53">
        <f t="shared" si="10"/>
        <v>0</v>
      </c>
      <c r="P128" s="53">
        <f t="shared" si="11"/>
        <v>0</v>
      </c>
      <c r="Q128" s="53"/>
    </row>
    <row r="129" ht="53" customHeight="1" outlineLevel="1" spans="1:17">
      <c r="A129" s="25">
        <v>3.18</v>
      </c>
      <c r="B129" s="25" t="s">
        <v>134</v>
      </c>
      <c r="C129" s="70" t="s">
        <v>135</v>
      </c>
      <c r="D129" s="25" t="s">
        <v>136</v>
      </c>
      <c r="E129" s="64">
        <v>1</v>
      </c>
      <c r="F129" s="64"/>
      <c r="G129" s="64"/>
      <c r="H129" s="53">
        <v>20</v>
      </c>
      <c r="I129" s="53">
        <v>40</v>
      </c>
      <c r="J129" s="53">
        <v>15</v>
      </c>
      <c r="K129" s="69">
        <f t="shared" si="6"/>
        <v>10.5</v>
      </c>
      <c r="L129" s="53">
        <f t="shared" si="7"/>
        <v>7.695</v>
      </c>
      <c r="M129" s="53">
        <f t="shared" si="8"/>
        <v>93.195</v>
      </c>
      <c r="N129" s="53">
        <f t="shared" si="9"/>
        <v>93.195</v>
      </c>
      <c r="O129" s="53">
        <f t="shared" si="10"/>
        <v>0</v>
      </c>
      <c r="P129" s="53">
        <f t="shared" si="11"/>
        <v>0</v>
      </c>
      <c r="Q129" s="53" t="s">
        <v>137</v>
      </c>
    </row>
    <row r="130" ht="53" customHeight="1" outlineLevel="1" spans="1:17">
      <c r="A130" s="25">
        <v>3.19</v>
      </c>
      <c r="B130" s="25" t="s">
        <v>138</v>
      </c>
      <c r="C130" s="70" t="s">
        <v>135</v>
      </c>
      <c r="D130" s="25" t="s">
        <v>136</v>
      </c>
      <c r="E130" s="64">
        <v>1</v>
      </c>
      <c r="F130" s="64"/>
      <c r="G130" s="64"/>
      <c r="H130" s="53">
        <v>30</v>
      </c>
      <c r="I130" s="53">
        <v>120</v>
      </c>
      <c r="J130" s="53">
        <v>15</v>
      </c>
      <c r="K130" s="69">
        <f t="shared" si="6"/>
        <v>23.1</v>
      </c>
      <c r="L130" s="53">
        <f t="shared" si="7"/>
        <v>16.929</v>
      </c>
      <c r="M130" s="53">
        <f t="shared" si="8"/>
        <v>205.029</v>
      </c>
      <c r="N130" s="53">
        <f t="shared" si="9"/>
        <v>205.029</v>
      </c>
      <c r="O130" s="53">
        <f t="shared" si="10"/>
        <v>0</v>
      </c>
      <c r="P130" s="53">
        <f t="shared" si="11"/>
        <v>0</v>
      </c>
      <c r="Q130" s="53" t="s">
        <v>137</v>
      </c>
    </row>
    <row r="131" spans="1:17">
      <c r="A131" s="25">
        <v>4</v>
      </c>
      <c r="B131" s="25" t="s">
        <v>34</v>
      </c>
      <c r="C131" s="25" t="s">
        <v>34</v>
      </c>
      <c r="D131" s="25"/>
      <c r="E131" s="64"/>
      <c r="F131" s="64"/>
      <c r="G131" s="64"/>
      <c r="H131" s="53"/>
      <c r="I131" s="53"/>
      <c r="J131" s="53"/>
      <c r="K131" s="69"/>
      <c r="L131" s="53"/>
      <c r="M131" s="53"/>
      <c r="N131" s="53">
        <f>SUM(N132:N137)</f>
        <v>2735.310528</v>
      </c>
      <c r="O131" s="53">
        <f>SUM(O132:O137)</f>
        <v>0</v>
      </c>
      <c r="P131" s="53">
        <f>SUM(P132:P137)</f>
        <v>1894.070328</v>
      </c>
      <c r="Q131" s="53"/>
    </row>
    <row r="132" ht="114" customHeight="1" outlineLevel="1" spans="1:17">
      <c r="A132" s="25">
        <v>4.1</v>
      </c>
      <c r="B132" s="25" t="s">
        <v>139</v>
      </c>
      <c r="C132" s="70" t="s">
        <v>140</v>
      </c>
      <c r="D132" s="25" t="s">
        <v>141</v>
      </c>
      <c r="E132" s="64">
        <f>4.18+2.59</f>
        <v>6.77</v>
      </c>
      <c r="F132" s="64"/>
      <c r="G132" s="64"/>
      <c r="H132" s="69">
        <v>45</v>
      </c>
      <c r="I132" s="69">
        <v>30</v>
      </c>
      <c r="J132" s="53">
        <v>25</v>
      </c>
      <c r="K132" s="69">
        <f t="shared" si="6"/>
        <v>14</v>
      </c>
      <c r="L132" s="53">
        <f t="shared" si="7"/>
        <v>10.26</v>
      </c>
      <c r="M132" s="53">
        <f t="shared" si="8"/>
        <v>124.26</v>
      </c>
      <c r="N132" s="53">
        <f t="shared" si="9"/>
        <v>841.2402</v>
      </c>
      <c r="O132" s="53">
        <f t="shared" si="10"/>
        <v>0</v>
      </c>
      <c r="P132" s="53">
        <f t="shared" si="11"/>
        <v>0</v>
      </c>
      <c r="Q132" s="53"/>
    </row>
    <row r="133" ht="192" customHeight="1" outlineLevel="1" spans="1:17">
      <c r="A133" s="25">
        <v>4.2</v>
      </c>
      <c r="B133" s="25" t="s">
        <v>142</v>
      </c>
      <c r="C133" s="70" t="s">
        <v>168</v>
      </c>
      <c r="D133" s="25" t="s">
        <v>141</v>
      </c>
      <c r="E133" s="68">
        <f>12.02-8.48</f>
        <v>3.54</v>
      </c>
      <c r="F133" s="64"/>
      <c r="G133" s="64">
        <f>E133</f>
        <v>3.54</v>
      </c>
      <c r="H133" s="74">
        <v>70</v>
      </c>
      <c r="I133" s="74">
        <v>40</v>
      </c>
      <c r="J133" s="53">
        <v>28</v>
      </c>
      <c r="K133" s="69">
        <f t="shared" si="6"/>
        <v>19.32</v>
      </c>
      <c r="L133" s="53">
        <f t="shared" si="7"/>
        <v>14.1588</v>
      </c>
      <c r="M133" s="53">
        <f t="shared" si="8"/>
        <v>171.4788</v>
      </c>
      <c r="N133" s="53">
        <f t="shared" si="9"/>
        <v>607.034952</v>
      </c>
      <c r="O133" s="53">
        <f t="shared" si="10"/>
        <v>0</v>
      </c>
      <c r="P133" s="53">
        <f t="shared" si="11"/>
        <v>607.034952</v>
      </c>
      <c r="Q133" s="53"/>
    </row>
    <row r="134" ht="88" customHeight="1" outlineLevel="1" spans="1:17">
      <c r="A134" s="25">
        <v>4.3</v>
      </c>
      <c r="B134" s="25" t="s">
        <v>144</v>
      </c>
      <c r="C134" s="70" t="s">
        <v>145</v>
      </c>
      <c r="D134" s="25" t="s">
        <v>80</v>
      </c>
      <c r="E134" s="68">
        <v>3.02</v>
      </c>
      <c r="F134" s="64"/>
      <c r="G134" s="64">
        <f>E134</f>
        <v>3.02</v>
      </c>
      <c r="H134" s="69">
        <v>22</v>
      </c>
      <c r="I134" s="69">
        <v>5</v>
      </c>
      <c r="J134" s="53">
        <v>3</v>
      </c>
      <c r="K134" s="69">
        <f t="shared" si="6"/>
        <v>4.2</v>
      </c>
      <c r="L134" s="53">
        <f t="shared" si="7"/>
        <v>3.078</v>
      </c>
      <c r="M134" s="53">
        <f t="shared" si="8"/>
        <v>37.278</v>
      </c>
      <c r="N134" s="53">
        <f t="shared" si="9"/>
        <v>112.57956</v>
      </c>
      <c r="O134" s="53">
        <f t="shared" si="10"/>
        <v>0</v>
      </c>
      <c r="P134" s="53">
        <f t="shared" si="11"/>
        <v>112.57956</v>
      </c>
      <c r="Q134" s="53"/>
    </row>
    <row r="135" ht="78" customHeight="1" outlineLevel="1" spans="1:17">
      <c r="A135" s="25">
        <v>4.4</v>
      </c>
      <c r="B135" s="25" t="s">
        <v>146</v>
      </c>
      <c r="C135" s="70" t="s">
        <v>147</v>
      </c>
      <c r="D135" s="25" t="s">
        <v>80</v>
      </c>
      <c r="E135" s="75">
        <f>8.48+5.46+2.5*0.2</f>
        <v>14.44</v>
      </c>
      <c r="F135" s="76"/>
      <c r="G135" s="64">
        <f>E135</f>
        <v>14.44</v>
      </c>
      <c r="H135" s="69">
        <v>22</v>
      </c>
      <c r="I135" s="69">
        <v>4</v>
      </c>
      <c r="J135" s="53">
        <v>3</v>
      </c>
      <c r="K135" s="69">
        <f t="shared" si="6"/>
        <v>4.06</v>
      </c>
      <c r="L135" s="53">
        <f t="shared" si="7"/>
        <v>2.9754</v>
      </c>
      <c r="M135" s="53">
        <f t="shared" si="8"/>
        <v>36.0354</v>
      </c>
      <c r="N135" s="53">
        <f t="shared" si="9"/>
        <v>520.351176</v>
      </c>
      <c r="O135" s="53">
        <f t="shared" si="10"/>
        <v>0</v>
      </c>
      <c r="P135" s="53">
        <f t="shared" si="11"/>
        <v>520.351176</v>
      </c>
      <c r="Q135" s="53"/>
    </row>
    <row r="136" ht="56.25" outlineLevel="1" spans="1:17">
      <c r="A136" s="25">
        <v>4.5</v>
      </c>
      <c r="B136" s="25" t="s">
        <v>148</v>
      </c>
      <c r="C136" s="70" t="s">
        <v>149</v>
      </c>
      <c r="D136" s="25" t="s">
        <v>84</v>
      </c>
      <c r="E136" s="68">
        <v>9.4</v>
      </c>
      <c r="F136" s="64"/>
      <c r="G136" s="64">
        <f>E136</f>
        <v>9.4</v>
      </c>
      <c r="H136" s="53">
        <v>5</v>
      </c>
      <c r="I136" s="53">
        <v>5</v>
      </c>
      <c r="J136" s="53">
        <v>1</v>
      </c>
      <c r="K136" s="69">
        <f t="shared" ref="K136:K199" si="13">(H136+I136+J136)*$K$4</f>
        <v>1.54</v>
      </c>
      <c r="L136" s="53">
        <f t="shared" ref="L136:L199" si="14">(H136+I136+J136+K136)*$L$4</f>
        <v>1.1286</v>
      </c>
      <c r="M136" s="53">
        <f t="shared" ref="M136:M199" si="15">SUBTOTAL(9,H136:L136)</f>
        <v>13.6686</v>
      </c>
      <c r="N136" s="53">
        <f t="shared" ref="N136:N199" si="16">E136*M136</f>
        <v>128.48484</v>
      </c>
      <c r="O136" s="53">
        <f t="shared" ref="O136:O199" si="17">F136*M136</f>
        <v>0</v>
      </c>
      <c r="P136" s="53">
        <f t="shared" ref="P136:P199" si="18">G136*M136</f>
        <v>128.48484</v>
      </c>
      <c r="Q136" s="80"/>
    </row>
    <row r="137" ht="78.75" outlineLevel="1" spans="1:17">
      <c r="A137" s="25">
        <v>4.6</v>
      </c>
      <c r="B137" s="25" t="s">
        <v>150</v>
      </c>
      <c r="C137" s="70" t="s">
        <v>151</v>
      </c>
      <c r="D137" s="25" t="s">
        <v>84</v>
      </c>
      <c r="E137" s="68">
        <f>1.5+0.2+2.53</f>
        <v>4.23</v>
      </c>
      <c r="F137" s="64"/>
      <c r="G137" s="64">
        <f>E137</f>
        <v>4.23</v>
      </c>
      <c r="H137" s="69">
        <v>70</v>
      </c>
      <c r="I137" s="69">
        <v>20</v>
      </c>
      <c r="J137" s="53">
        <v>10</v>
      </c>
      <c r="K137" s="69">
        <f t="shared" si="13"/>
        <v>14</v>
      </c>
      <c r="L137" s="53">
        <f t="shared" si="14"/>
        <v>10.26</v>
      </c>
      <c r="M137" s="53">
        <f t="shared" si="15"/>
        <v>124.26</v>
      </c>
      <c r="N137" s="53">
        <f t="shared" si="16"/>
        <v>525.6198</v>
      </c>
      <c r="O137" s="53">
        <f t="shared" si="17"/>
        <v>0</v>
      </c>
      <c r="P137" s="53">
        <f t="shared" si="18"/>
        <v>525.6198</v>
      </c>
      <c r="Q137" s="80"/>
    </row>
    <row r="138" spans="1:17">
      <c r="A138" s="25">
        <v>5</v>
      </c>
      <c r="B138" s="25" t="s">
        <v>35</v>
      </c>
      <c r="C138" s="25" t="s">
        <v>35</v>
      </c>
      <c r="D138" s="25"/>
      <c r="E138" s="64"/>
      <c r="F138" s="64"/>
      <c r="G138" s="64"/>
      <c r="H138" s="69"/>
      <c r="I138" s="69"/>
      <c r="J138" s="53"/>
      <c r="K138" s="69"/>
      <c r="L138" s="53"/>
      <c r="M138" s="53"/>
      <c r="N138" s="53">
        <f>SUM(N139:N143)</f>
        <v>4735.79712</v>
      </c>
      <c r="O138" s="53">
        <f>SUM(O139:O143)</f>
        <v>0</v>
      </c>
      <c r="P138" s="53">
        <f>SUM(P139:P143)</f>
        <v>3894.55692</v>
      </c>
      <c r="Q138" s="53"/>
    </row>
    <row r="139" ht="124" customHeight="1" outlineLevel="1" spans="1:17">
      <c r="A139" s="25">
        <v>5.1</v>
      </c>
      <c r="B139" s="25" t="s">
        <v>139</v>
      </c>
      <c r="C139" s="70" t="s">
        <v>169</v>
      </c>
      <c r="D139" s="25" t="s">
        <v>141</v>
      </c>
      <c r="E139" s="64">
        <f>4.18+2.59</f>
        <v>6.77</v>
      </c>
      <c r="F139" s="64"/>
      <c r="G139" s="64"/>
      <c r="H139" s="69">
        <v>45</v>
      </c>
      <c r="I139" s="69">
        <v>30</v>
      </c>
      <c r="J139" s="53">
        <v>25</v>
      </c>
      <c r="K139" s="69">
        <f t="shared" si="13"/>
        <v>14</v>
      </c>
      <c r="L139" s="53">
        <f t="shared" si="14"/>
        <v>10.26</v>
      </c>
      <c r="M139" s="53">
        <f t="shared" si="15"/>
        <v>124.26</v>
      </c>
      <c r="N139" s="53">
        <f t="shared" si="16"/>
        <v>841.2402</v>
      </c>
      <c r="O139" s="53">
        <f t="shared" si="17"/>
        <v>0</v>
      </c>
      <c r="P139" s="53">
        <f t="shared" si="18"/>
        <v>0</v>
      </c>
      <c r="Q139" s="53"/>
    </row>
    <row r="140" ht="184" customHeight="1" outlineLevel="1" spans="1:17">
      <c r="A140" s="25">
        <v>5.2</v>
      </c>
      <c r="B140" s="25" t="s">
        <v>142</v>
      </c>
      <c r="C140" s="70" t="s">
        <v>168</v>
      </c>
      <c r="D140" s="25" t="s">
        <v>141</v>
      </c>
      <c r="E140" s="68">
        <f>E133+E135</f>
        <v>17.98</v>
      </c>
      <c r="F140" s="64"/>
      <c r="G140" s="64">
        <f>E140</f>
        <v>17.98</v>
      </c>
      <c r="H140" s="74">
        <v>70</v>
      </c>
      <c r="I140" s="74">
        <v>42</v>
      </c>
      <c r="J140" s="53">
        <v>28</v>
      </c>
      <c r="K140" s="69">
        <f t="shared" si="13"/>
        <v>19.6</v>
      </c>
      <c r="L140" s="53">
        <f t="shared" si="14"/>
        <v>14.364</v>
      </c>
      <c r="M140" s="53">
        <f t="shared" si="15"/>
        <v>173.964</v>
      </c>
      <c r="N140" s="53">
        <f t="shared" si="16"/>
        <v>3127.87272</v>
      </c>
      <c r="O140" s="53">
        <f t="shared" si="17"/>
        <v>0</v>
      </c>
      <c r="P140" s="53">
        <f t="shared" si="18"/>
        <v>3127.87272</v>
      </c>
      <c r="Q140" s="53"/>
    </row>
    <row r="141" ht="90" outlineLevel="1" spans="1:17">
      <c r="A141" s="25">
        <v>5.3</v>
      </c>
      <c r="B141" s="25" t="s">
        <v>144</v>
      </c>
      <c r="C141" s="70" t="s">
        <v>145</v>
      </c>
      <c r="D141" s="25" t="s">
        <v>80</v>
      </c>
      <c r="E141" s="68">
        <f>E134</f>
        <v>3.02</v>
      </c>
      <c r="F141" s="64"/>
      <c r="G141" s="64">
        <f>E141</f>
        <v>3.02</v>
      </c>
      <c r="H141" s="69">
        <v>22</v>
      </c>
      <c r="I141" s="69">
        <v>5</v>
      </c>
      <c r="J141" s="53">
        <v>3</v>
      </c>
      <c r="K141" s="69">
        <f t="shared" si="13"/>
        <v>4.2</v>
      </c>
      <c r="L141" s="53">
        <f t="shared" si="14"/>
        <v>3.078</v>
      </c>
      <c r="M141" s="53">
        <f t="shared" si="15"/>
        <v>37.278</v>
      </c>
      <c r="N141" s="53">
        <f t="shared" si="16"/>
        <v>112.57956</v>
      </c>
      <c r="O141" s="53">
        <f t="shared" si="17"/>
        <v>0</v>
      </c>
      <c r="P141" s="53">
        <f t="shared" si="18"/>
        <v>112.57956</v>
      </c>
      <c r="Q141" s="53"/>
    </row>
    <row r="142" ht="56.25" outlineLevel="1" spans="1:17">
      <c r="A142" s="25">
        <v>5.4</v>
      </c>
      <c r="B142" s="25" t="s">
        <v>148</v>
      </c>
      <c r="C142" s="70" t="s">
        <v>149</v>
      </c>
      <c r="D142" s="25" t="s">
        <v>84</v>
      </c>
      <c r="E142" s="68">
        <f>E136</f>
        <v>9.4</v>
      </c>
      <c r="F142" s="64"/>
      <c r="G142" s="64">
        <f>E142</f>
        <v>9.4</v>
      </c>
      <c r="H142" s="53">
        <v>5</v>
      </c>
      <c r="I142" s="53">
        <v>5</v>
      </c>
      <c r="J142" s="53">
        <v>1</v>
      </c>
      <c r="K142" s="69">
        <f t="shared" si="13"/>
        <v>1.54</v>
      </c>
      <c r="L142" s="53">
        <f t="shared" si="14"/>
        <v>1.1286</v>
      </c>
      <c r="M142" s="53">
        <f t="shared" si="15"/>
        <v>13.6686</v>
      </c>
      <c r="N142" s="53">
        <f t="shared" si="16"/>
        <v>128.48484</v>
      </c>
      <c r="O142" s="53">
        <f t="shared" si="17"/>
        <v>0</v>
      </c>
      <c r="P142" s="53">
        <f t="shared" si="18"/>
        <v>128.48484</v>
      </c>
      <c r="Q142" s="80"/>
    </row>
    <row r="143" ht="78.75" outlineLevel="1" spans="1:17">
      <c r="A143" s="25">
        <v>5.5</v>
      </c>
      <c r="B143" s="25" t="s">
        <v>150</v>
      </c>
      <c r="C143" s="70" t="s">
        <v>151</v>
      </c>
      <c r="D143" s="25" t="s">
        <v>84</v>
      </c>
      <c r="E143" s="68">
        <f>E137</f>
        <v>4.23</v>
      </c>
      <c r="F143" s="64"/>
      <c r="G143" s="64">
        <f>E143</f>
        <v>4.23</v>
      </c>
      <c r="H143" s="69">
        <v>70</v>
      </c>
      <c r="I143" s="69">
        <v>20</v>
      </c>
      <c r="J143" s="53">
        <v>10</v>
      </c>
      <c r="K143" s="69">
        <f t="shared" si="13"/>
        <v>14</v>
      </c>
      <c r="L143" s="53">
        <f t="shared" si="14"/>
        <v>10.26</v>
      </c>
      <c r="M143" s="53">
        <f t="shared" si="15"/>
        <v>124.26</v>
      </c>
      <c r="N143" s="53">
        <f t="shared" si="16"/>
        <v>525.6198</v>
      </c>
      <c r="O143" s="53">
        <f t="shared" si="17"/>
        <v>0</v>
      </c>
      <c r="P143" s="53">
        <f t="shared" si="18"/>
        <v>525.6198</v>
      </c>
      <c r="Q143" s="80"/>
    </row>
    <row r="144" s="56" customFormat="1" spans="1:19">
      <c r="A144" s="25" t="s">
        <v>173</v>
      </c>
      <c r="B144" s="25" t="s">
        <v>174</v>
      </c>
      <c r="C144" s="25" t="s">
        <v>77</v>
      </c>
      <c r="D144" s="25"/>
      <c r="E144" s="64"/>
      <c r="F144" s="64"/>
      <c r="G144" s="64"/>
      <c r="H144" s="53"/>
      <c r="I144" s="53"/>
      <c r="J144" s="53"/>
      <c r="K144" s="53"/>
      <c r="L144" s="53"/>
      <c r="M144" s="53"/>
      <c r="N144" s="53"/>
      <c r="O144" s="53"/>
      <c r="P144" s="53">
        <f t="shared" si="18"/>
        <v>0</v>
      </c>
      <c r="Q144" s="53"/>
      <c r="S144" s="59"/>
    </row>
    <row r="145" spans="1:17">
      <c r="A145" s="25">
        <v>1</v>
      </c>
      <c r="B145" s="25" t="s">
        <v>31</v>
      </c>
      <c r="C145" s="25"/>
      <c r="D145" s="25"/>
      <c r="E145" s="64"/>
      <c r="F145" s="64"/>
      <c r="G145" s="64"/>
      <c r="H145" s="53"/>
      <c r="I145" s="53"/>
      <c r="J145" s="53"/>
      <c r="K145" s="69"/>
      <c r="L145" s="53"/>
      <c r="M145" s="53"/>
      <c r="N145" s="53">
        <f>SUM(N146:N156)</f>
        <v>5504.749065</v>
      </c>
      <c r="O145" s="53">
        <f>SUM(O146:O156)</f>
        <v>237.83364</v>
      </c>
      <c r="P145" s="53">
        <f>SUM(P146:P156)</f>
        <v>1438.3250325</v>
      </c>
      <c r="Q145" s="53"/>
    </row>
    <row r="146" ht="85.5" outlineLevel="1" spans="1:17">
      <c r="A146" s="25">
        <v>1.1</v>
      </c>
      <c r="B146" s="25" t="s">
        <v>78</v>
      </c>
      <c r="C146" s="65" t="s">
        <v>79</v>
      </c>
      <c r="D146" s="66" t="s">
        <v>80</v>
      </c>
      <c r="E146" s="64">
        <v>18.8</v>
      </c>
      <c r="F146" s="64"/>
      <c r="G146" s="64"/>
      <c r="H146" s="53">
        <v>12</v>
      </c>
      <c r="I146" s="53">
        <v>60</v>
      </c>
      <c r="J146" s="53">
        <v>10</v>
      </c>
      <c r="K146" s="69">
        <f t="shared" si="13"/>
        <v>11.48</v>
      </c>
      <c r="L146" s="53">
        <f t="shared" si="14"/>
        <v>8.4132</v>
      </c>
      <c r="M146" s="53">
        <f t="shared" si="15"/>
        <v>101.8932</v>
      </c>
      <c r="N146" s="53">
        <f t="shared" si="16"/>
        <v>1915.59216</v>
      </c>
      <c r="O146" s="53">
        <f t="shared" si="17"/>
        <v>0</v>
      </c>
      <c r="P146" s="53">
        <f t="shared" si="18"/>
        <v>0</v>
      </c>
      <c r="Q146" s="78" t="s">
        <v>81</v>
      </c>
    </row>
    <row r="147" ht="34" customHeight="1" outlineLevel="1" spans="1:17">
      <c r="A147" s="25">
        <v>1.2</v>
      </c>
      <c r="B147" s="65" t="s">
        <v>82</v>
      </c>
      <c r="C147" s="65" t="s">
        <v>83</v>
      </c>
      <c r="D147" s="66" t="s">
        <v>84</v>
      </c>
      <c r="E147" s="64">
        <f>23.3-4.5</f>
        <v>18.8</v>
      </c>
      <c r="F147" s="64"/>
      <c r="G147" s="64"/>
      <c r="H147" s="53">
        <v>4</v>
      </c>
      <c r="I147" s="53">
        <v>4</v>
      </c>
      <c r="J147" s="53">
        <v>1</v>
      </c>
      <c r="K147" s="69">
        <f t="shared" si="13"/>
        <v>1.26</v>
      </c>
      <c r="L147" s="53">
        <f t="shared" si="14"/>
        <v>0.9234</v>
      </c>
      <c r="M147" s="53">
        <f t="shared" si="15"/>
        <v>11.1834</v>
      </c>
      <c r="N147" s="53">
        <f t="shared" si="16"/>
        <v>210.24792</v>
      </c>
      <c r="O147" s="53">
        <f t="shared" si="17"/>
        <v>0</v>
      </c>
      <c r="P147" s="53">
        <f t="shared" si="18"/>
        <v>0</v>
      </c>
      <c r="Q147" s="53"/>
    </row>
    <row r="148" ht="78" customHeight="1" outlineLevel="1" spans="1:17">
      <c r="A148" s="25">
        <v>1.3</v>
      </c>
      <c r="B148" s="65" t="s">
        <v>85</v>
      </c>
      <c r="C148" s="67" t="s">
        <v>154</v>
      </c>
      <c r="D148" s="66" t="s">
        <v>80</v>
      </c>
      <c r="E148" s="68">
        <v>3.03</v>
      </c>
      <c r="F148" s="64"/>
      <c r="G148" s="64">
        <f>E148</f>
        <v>3.03</v>
      </c>
      <c r="H148" s="69">
        <v>20</v>
      </c>
      <c r="I148" s="69">
        <v>25</v>
      </c>
      <c r="J148" s="69">
        <v>15</v>
      </c>
      <c r="K148" s="69">
        <f t="shared" si="13"/>
        <v>8.4</v>
      </c>
      <c r="L148" s="53">
        <f t="shared" si="14"/>
        <v>6.156</v>
      </c>
      <c r="M148" s="53">
        <f t="shared" si="15"/>
        <v>74.556</v>
      </c>
      <c r="N148" s="53">
        <f t="shared" si="16"/>
        <v>225.90468</v>
      </c>
      <c r="O148" s="53">
        <f t="shared" si="17"/>
        <v>0</v>
      </c>
      <c r="P148" s="53">
        <f t="shared" si="18"/>
        <v>225.90468</v>
      </c>
      <c r="Q148" s="53"/>
    </row>
    <row r="149" ht="65" customHeight="1" outlineLevel="1" spans="1:17">
      <c r="A149" s="25">
        <v>1.4</v>
      </c>
      <c r="B149" s="65" t="s">
        <v>85</v>
      </c>
      <c r="C149" s="67" t="s">
        <v>175</v>
      </c>
      <c r="D149" s="66" t="s">
        <v>80</v>
      </c>
      <c r="E149" s="68">
        <f>2.59+0.6</f>
        <v>3.19</v>
      </c>
      <c r="F149" s="64">
        <f>E149</f>
        <v>3.19</v>
      </c>
      <c r="G149" s="64"/>
      <c r="H149" s="69">
        <v>20</v>
      </c>
      <c r="I149" s="69">
        <v>25</v>
      </c>
      <c r="J149" s="69">
        <v>15</v>
      </c>
      <c r="K149" s="69">
        <f t="shared" si="13"/>
        <v>8.4</v>
      </c>
      <c r="L149" s="53">
        <f t="shared" si="14"/>
        <v>6.156</v>
      </c>
      <c r="M149" s="53">
        <f t="shared" si="15"/>
        <v>74.556</v>
      </c>
      <c r="N149" s="53">
        <f t="shared" si="16"/>
        <v>237.83364</v>
      </c>
      <c r="O149" s="53">
        <f t="shared" si="17"/>
        <v>237.83364</v>
      </c>
      <c r="P149" s="53">
        <f t="shared" si="18"/>
        <v>0</v>
      </c>
      <c r="Q149" s="53"/>
    </row>
    <row r="150" ht="67" customHeight="1" outlineLevel="1" spans="1:17">
      <c r="A150" s="25">
        <v>1.5</v>
      </c>
      <c r="B150" s="65" t="s">
        <v>85</v>
      </c>
      <c r="C150" s="67" t="s">
        <v>156</v>
      </c>
      <c r="D150" s="66" t="s">
        <v>80</v>
      </c>
      <c r="E150" s="68">
        <v>2.59</v>
      </c>
      <c r="F150" s="64"/>
      <c r="G150" s="64">
        <f>E150</f>
        <v>2.59</v>
      </c>
      <c r="H150" s="69">
        <v>20</v>
      </c>
      <c r="I150" s="69">
        <v>25</v>
      </c>
      <c r="J150" s="69">
        <v>15</v>
      </c>
      <c r="K150" s="69">
        <f t="shared" si="13"/>
        <v>8.4</v>
      </c>
      <c r="L150" s="53">
        <f t="shared" si="14"/>
        <v>6.156</v>
      </c>
      <c r="M150" s="53">
        <f t="shared" si="15"/>
        <v>74.556</v>
      </c>
      <c r="N150" s="53">
        <f t="shared" si="16"/>
        <v>193.10004</v>
      </c>
      <c r="O150" s="53">
        <f t="shared" si="17"/>
        <v>0</v>
      </c>
      <c r="P150" s="53">
        <f t="shared" si="18"/>
        <v>193.10004</v>
      </c>
      <c r="Q150" s="53"/>
    </row>
    <row r="151" ht="73" customHeight="1" outlineLevel="1" spans="1:17">
      <c r="A151" s="25">
        <v>1.6</v>
      </c>
      <c r="B151" s="25" t="s">
        <v>89</v>
      </c>
      <c r="C151" s="70" t="s">
        <v>90</v>
      </c>
      <c r="D151" s="25" t="s">
        <v>80</v>
      </c>
      <c r="E151" s="64">
        <v>2.59</v>
      </c>
      <c r="F151" s="64"/>
      <c r="G151" s="64">
        <f>E151/2</f>
        <v>1.295</v>
      </c>
      <c r="H151" s="69">
        <v>55</v>
      </c>
      <c r="I151" s="69">
        <v>72</v>
      </c>
      <c r="J151" s="53">
        <v>23</v>
      </c>
      <c r="K151" s="69">
        <f t="shared" si="13"/>
        <v>21</v>
      </c>
      <c r="L151" s="53">
        <f t="shared" si="14"/>
        <v>15.39</v>
      </c>
      <c r="M151" s="53">
        <f t="shared" si="15"/>
        <v>186.39</v>
      </c>
      <c r="N151" s="53">
        <f t="shared" si="16"/>
        <v>482.7501</v>
      </c>
      <c r="O151" s="53">
        <f t="shared" si="17"/>
        <v>0</v>
      </c>
      <c r="P151" s="53">
        <f t="shared" si="18"/>
        <v>241.37505</v>
      </c>
      <c r="Q151" s="79" t="s">
        <v>91</v>
      </c>
    </row>
    <row r="152" ht="68" customHeight="1" outlineLevel="1" spans="1:17">
      <c r="A152" s="25">
        <v>1.7</v>
      </c>
      <c r="B152" s="25" t="s">
        <v>89</v>
      </c>
      <c r="C152" s="70" t="s">
        <v>157</v>
      </c>
      <c r="D152" s="25" t="s">
        <v>80</v>
      </c>
      <c r="E152" s="64">
        <v>2.59</v>
      </c>
      <c r="F152" s="64"/>
      <c r="G152" s="64">
        <f>E152/2</f>
        <v>1.295</v>
      </c>
      <c r="H152" s="69">
        <v>55</v>
      </c>
      <c r="I152" s="69">
        <v>72</v>
      </c>
      <c r="J152" s="53">
        <v>23</v>
      </c>
      <c r="K152" s="69">
        <f t="shared" si="13"/>
        <v>21</v>
      </c>
      <c r="L152" s="53">
        <f t="shared" si="14"/>
        <v>15.39</v>
      </c>
      <c r="M152" s="53">
        <f t="shared" si="15"/>
        <v>186.39</v>
      </c>
      <c r="N152" s="53">
        <f t="shared" si="16"/>
        <v>482.7501</v>
      </c>
      <c r="O152" s="53">
        <f t="shared" si="17"/>
        <v>0</v>
      </c>
      <c r="P152" s="53">
        <f t="shared" si="18"/>
        <v>241.37505</v>
      </c>
      <c r="Q152" s="79" t="s">
        <v>91</v>
      </c>
    </row>
    <row r="153" ht="51" customHeight="1" outlineLevel="1" spans="1:17">
      <c r="A153" s="25">
        <v>1.8</v>
      </c>
      <c r="B153" s="25" t="s">
        <v>93</v>
      </c>
      <c r="C153" s="70" t="s">
        <v>158</v>
      </c>
      <c r="D153" s="25" t="s">
        <v>80</v>
      </c>
      <c r="E153" s="64">
        <v>1.59</v>
      </c>
      <c r="F153" s="64"/>
      <c r="G153" s="64">
        <f>E153/2</f>
        <v>0.795</v>
      </c>
      <c r="H153" s="53">
        <v>40</v>
      </c>
      <c r="I153" s="53">
        <v>25</v>
      </c>
      <c r="J153" s="53">
        <v>5</v>
      </c>
      <c r="K153" s="69">
        <f t="shared" si="13"/>
        <v>9.8</v>
      </c>
      <c r="L153" s="53">
        <f t="shared" si="14"/>
        <v>7.182</v>
      </c>
      <c r="M153" s="53">
        <f t="shared" si="15"/>
        <v>86.982</v>
      </c>
      <c r="N153" s="53">
        <f t="shared" si="16"/>
        <v>138.30138</v>
      </c>
      <c r="O153" s="53">
        <f t="shared" si="17"/>
        <v>0</v>
      </c>
      <c r="P153" s="53">
        <f t="shared" si="18"/>
        <v>69.15069</v>
      </c>
      <c r="Q153" s="79"/>
    </row>
    <row r="154" ht="78.75" outlineLevel="1" spans="1:17">
      <c r="A154" s="25">
        <v>1.9</v>
      </c>
      <c r="B154" s="25" t="s">
        <v>89</v>
      </c>
      <c r="C154" s="70" t="s">
        <v>95</v>
      </c>
      <c r="D154" s="25" t="s">
        <v>80</v>
      </c>
      <c r="E154" s="64">
        <v>3.03</v>
      </c>
      <c r="F154" s="64"/>
      <c r="G154" s="64">
        <f>E154/2</f>
        <v>1.515</v>
      </c>
      <c r="H154" s="69">
        <v>55</v>
      </c>
      <c r="I154" s="69">
        <v>72</v>
      </c>
      <c r="J154" s="53">
        <v>23</v>
      </c>
      <c r="K154" s="69">
        <f t="shared" si="13"/>
        <v>21</v>
      </c>
      <c r="L154" s="53">
        <f t="shared" si="14"/>
        <v>15.39</v>
      </c>
      <c r="M154" s="53">
        <f t="shared" si="15"/>
        <v>186.39</v>
      </c>
      <c r="N154" s="53">
        <f t="shared" si="16"/>
        <v>564.7617</v>
      </c>
      <c r="O154" s="53">
        <f t="shared" si="17"/>
        <v>0</v>
      </c>
      <c r="P154" s="53">
        <f t="shared" si="18"/>
        <v>282.38085</v>
      </c>
      <c r="Q154" s="79" t="s">
        <v>91</v>
      </c>
    </row>
    <row r="155" ht="90" outlineLevel="1" spans="1:17">
      <c r="A155" s="64">
        <v>1.1</v>
      </c>
      <c r="B155" s="25" t="s">
        <v>96</v>
      </c>
      <c r="C155" s="70" t="s">
        <v>97</v>
      </c>
      <c r="D155" s="25" t="s">
        <v>80</v>
      </c>
      <c r="E155" s="64">
        <f>0.22+0.108*2+0.191</f>
        <v>0.627</v>
      </c>
      <c r="F155" s="64"/>
      <c r="G155" s="64">
        <f>E155/2</f>
        <v>0.3135</v>
      </c>
      <c r="H155" s="53">
        <v>100</v>
      </c>
      <c r="I155" s="53">
        <v>350</v>
      </c>
      <c r="J155" s="53">
        <v>25</v>
      </c>
      <c r="K155" s="69">
        <f t="shared" si="13"/>
        <v>66.5</v>
      </c>
      <c r="L155" s="53">
        <f t="shared" si="14"/>
        <v>48.735</v>
      </c>
      <c r="M155" s="53">
        <f t="shared" si="15"/>
        <v>590.235</v>
      </c>
      <c r="N155" s="53">
        <f t="shared" si="16"/>
        <v>370.077345</v>
      </c>
      <c r="O155" s="53">
        <f t="shared" si="17"/>
        <v>0</v>
      </c>
      <c r="P155" s="53">
        <f t="shared" si="18"/>
        <v>185.0386725</v>
      </c>
      <c r="Q155" s="79"/>
    </row>
    <row r="156" ht="114" outlineLevel="1" spans="1:17">
      <c r="A156" s="25">
        <v>1.11</v>
      </c>
      <c r="B156" s="65" t="s">
        <v>98</v>
      </c>
      <c r="C156" s="67" t="s">
        <v>99</v>
      </c>
      <c r="D156" s="66" t="s">
        <v>80</v>
      </c>
      <c r="E156" s="64">
        <v>2</v>
      </c>
      <c r="F156" s="64"/>
      <c r="G156" s="64"/>
      <c r="H156" s="53">
        <v>80</v>
      </c>
      <c r="I156" s="53">
        <v>150</v>
      </c>
      <c r="J156" s="53">
        <v>45</v>
      </c>
      <c r="K156" s="69">
        <f t="shared" si="13"/>
        <v>38.5</v>
      </c>
      <c r="L156" s="53">
        <f t="shared" si="14"/>
        <v>28.215</v>
      </c>
      <c r="M156" s="53">
        <f t="shared" si="15"/>
        <v>341.715</v>
      </c>
      <c r="N156" s="53">
        <f t="shared" si="16"/>
        <v>683.43</v>
      </c>
      <c r="O156" s="53">
        <f t="shared" si="17"/>
        <v>0</v>
      </c>
      <c r="P156" s="53">
        <f t="shared" si="18"/>
        <v>0</v>
      </c>
      <c r="Q156" s="79"/>
    </row>
    <row r="157" ht="17.25" spans="1:17">
      <c r="A157" s="25">
        <v>2</v>
      </c>
      <c r="B157" s="66" t="s">
        <v>32</v>
      </c>
      <c r="C157" s="67"/>
      <c r="D157" s="66"/>
      <c r="E157" s="64"/>
      <c r="F157" s="64"/>
      <c r="G157" s="64"/>
      <c r="H157" s="53"/>
      <c r="I157" s="53"/>
      <c r="J157" s="53"/>
      <c r="K157" s="69"/>
      <c r="L157" s="53"/>
      <c r="M157" s="53"/>
      <c r="N157" s="53">
        <f>N158</f>
        <v>2443.398936</v>
      </c>
      <c r="O157" s="53">
        <f>O158</f>
        <v>2443.398936</v>
      </c>
      <c r="P157" s="53">
        <f t="shared" si="18"/>
        <v>0</v>
      </c>
      <c r="Q157" s="79"/>
    </row>
    <row r="158" ht="156.75" outlineLevel="1" spans="1:17">
      <c r="A158" s="25">
        <v>2.1</v>
      </c>
      <c r="B158" s="65" t="s">
        <v>32</v>
      </c>
      <c r="C158" s="67" t="s">
        <v>160</v>
      </c>
      <c r="D158" s="66" t="s">
        <v>80</v>
      </c>
      <c r="E158" s="64">
        <f>E146+2.59+2.59</f>
        <v>23.98</v>
      </c>
      <c r="F158" s="64">
        <f>E158</f>
        <v>23.98</v>
      </c>
      <c r="G158" s="64"/>
      <c r="H158" s="53">
        <v>30</v>
      </c>
      <c r="I158" s="53">
        <v>40</v>
      </c>
      <c r="J158" s="53">
        <v>12</v>
      </c>
      <c r="K158" s="69">
        <f t="shared" si="13"/>
        <v>11.48</v>
      </c>
      <c r="L158" s="53">
        <f t="shared" si="14"/>
        <v>8.4132</v>
      </c>
      <c r="M158" s="53">
        <f t="shared" si="15"/>
        <v>101.8932</v>
      </c>
      <c r="N158" s="53">
        <f t="shared" si="16"/>
        <v>2443.398936</v>
      </c>
      <c r="O158" s="53">
        <f t="shared" si="17"/>
        <v>2443.398936</v>
      </c>
      <c r="P158" s="53">
        <f t="shared" si="18"/>
        <v>0</v>
      </c>
      <c r="Q158" s="79" t="s">
        <v>101</v>
      </c>
    </row>
    <row r="159" ht="26" customHeight="1" spans="1:17">
      <c r="A159" s="25">
        <v>3</v>
      </c>
      <c r="B159" s="25" t="s">
        <v>33</v>
      </c>
      <c r="C159" s="25"/>
      <c r="D159" s="25"/>
      <c r="E159" s="64"/>
      <c r="F159" s="64"/>
      <c r="G159" s="64"/>
      <c r="H159" s="53"/>
      <c r="I159" s="53"/>
      <c r="J159" s="53"/>
      <c r="K159" s="69"/>
      <c r="L159" s="53"/>
      <c r="M159" s="53"/>
      <c r="N159" s="53">
        <f>SUM(N160:N176)</f>
        <v>22930.3389816</v>
      </c>
      <c r="O159" s="53">
        <f>SUM(O160:O176)</f>
        <v>0</v>
      </c>
      <c r="P159" s="53">
        <f>SUM(P160:P176)</f>
        <v>5407.6684548</v>
      </c>
      <c r="Q159" s="53"/>
    </row>
    <row r="160" ht="57" customHeight="1" outlineLevel="1" spans="1:17">
      <c r="A160" s="25">
        <v>3.1</v>
      </c>
      <c r="B160" s="71" t="s">
        <v>102</v>
      </c>
      <c r="C160" s="72" t="s">
        <v>103</v>
      </c>
      <c r="D160" s="25" t="s">
        <v>80</v>
      </c>
      <c r="E160" s="64">
        <f>1.71+2+0.53+4.52-1.44+10.65+4.32+7.59+5.62-2.44+7.59-1.61+0.2*2.5+2.5*0.8</f>
        <v>41.54</v>
      </c>
      <c r="F160" s="64"/>
      <c r="G160" s="64">
        <f>E160/2</f>
        <v>20.77</v>
      </c>
      <c r="H160" s="69">
        <v>15</v>
      </c>
      <c r="I160" s="69">
        <v>20</v>
      </c>
      <c r="J160" s="64">
        <v>5</v>
      </c>
      <c r="K160" s="69">
        <f t="shared" si="13"/>
        <v>5.6</v>
      </c>
      <c r="L160" s="53">
        <f t="shared" si="14"/>
        <v>4.104</v>
      </c>
      <c r="M160" s="53">
        <f t="shared" si="15"/>
        <v>49.704</v>
      </c>
      <c r="N160" s="53">
        <f t="shared" si="16"/>
        <v>2064.70416</v>
      </c>
      <c r="O160" s="53">
        <f t="shared" si="17"/>
        <v>0</v>
      </c>
      <c r="P160" s="53">
        <f t="shared" si="18"/>
        <v>1032.35208</v>
      </c>
      <c r="Q160" s="25" t="s">
        <v>104</v>
      </c>
    </row>
    <row r="161" ht="171" outlineLevel="1" spans="1:17">
      <c r="A161" s="25">
        <v>3.2</v>
      </c>
      <c r="B161" s="71" t="s">
        <v>105</v>
      </c>
      <c r="C161" s="67" t="s">
        <v>106</v>
      </c>
      <c r="D161" s="25" t="s">
        <v>84</v>
      </c>
      <c r="E161" s="64">
        <f>0.93+1.53</f>
        <v>2.46</v>
      </c>
      <c r="F161" s="64"/>
      <c r="G161" s="64"/>
      <c r="H161" s="69">
        <v>50</v>
      </c>
      <c r="I161" s="69">
        <v>60</v>
      </c>
      <c r="J161" s="64">
        <v>10</v>
      </c>
      <c r="K161" s="69">
        <f t="shared" si="13"/>
        <v>16.8</v>
      </c>
      <c r="L161" s="53">
        <f t="shared" si="14"/>
        <v>12.312</v>
      </c>
      <c r="M161" s="53">
        <f t="shared" si="15"/>
        <v>149.112</v>
      </c>
      <c r="N161" s="53">
        <f t="shared" si="16"/>
        <v>366.81552</v>
      </c>
      <c r="O161" s="53">
        <f t="shared" si="17"/>
        <v>0</v>
      </c>
      <c r="P161" s="53">
        <f t="shared" si="18"/>
        <v>0</v>
      </c>
      <c r="Q161" s="25"/>
    </row>
    <row r="162" ht="54" customHeight="1" outlineLevel="1" spans="1:17">
      <c r="A162" s="25">
        <v>3.3</v>
      </c>
      <c r="B162" s="71" t="s">
        <v>107</v>
      </c>
      <c r="C162" s="72" t="s">
        <v>108</v>
      </c>
      <c r="D162" s="25" t="s">
        <v>109</v>
      </c>
      <c r="E162" s="64">
        <v>1</v>
      </c>
      <c r="F162" s="64"/>
      <c r="G162" s="64"/>
      <c r="H162" s="64">
        <v>100</v>
      </c>
      <c r="I162" s="64">
        <v>600</v>
      </c>
      <c r="J162" s="64">
        <v>50</v>
      </c>
      <c r="K162" s="69">
        <f t="shared" si="13"/>
        <v>105</v>
      </c>
      <c r="L162" s="53">
        <f t="shared" si="14"/>
        <v>76.95</v>
      </c>
      <c r="M162" s="53">
        <f t="shared" si="15"/>
        <v>931.95</v>
      </c>
      <c r="N162" s="53">
        <f t="shared" si="16"/>
        <v>931.95</v>
      </c>
      <c r="O162" s="53">
        <f t="shared" si="17"/>
        <v>0</v>
      </c>
      <c r="P162" s="53">
        <f t="shared" si="18"/>
        <v>0</v>
      </c>
      <c r="Q162" s="25"/>
    </row>
    <row r="163" ht="60" customHeight="1" outlineLevel="1" spans="1:17">
      <c r="A163" s="25">
        <v>3.4</v>
      </c>
      <c r="B163" s="71" t="s">
        <v>110</v>
      </c>
      <c r="C163" s="72" t="s">
        <v>111</v>
      </c>
      <c r="D163" s="25" t="s">
        <v>80</v>
      </c>
      <c r="E163" s="64">
        <v>2.53</v>
      </c>
      <c r="F163" s="64"/>
      <c r="G163" s="64"/>
      <c r="H163" s="53">
        <v>150</v>
      </c>
      <c r="I163" s="53">
        <v>380</v>
      </c>
      <c r="J163" s="53">
        <v>50</v>
      </c>
      <c r="K163" s="69">
        <f t="shared" si="13"/>
        <v>81.2</v>
      </c>
      <c r="L163" s="53">
        <f t="shared" si="14"/>
        <v>59.508</v>
      </c>
      <c r="M163" s="53">
        <f t="shared" si="15"/>
        <v>720.708</v>
      </c>
      <c r="N163" s="53">
        <f t="shared" si="16"/>
        <v>1823.39124</v>
      </c>
      <c r="O163" s="53">
        <f t="shared" si="17"/>
        <v>0</v>
      </c>
      <c r="P163" s="53">
        <f t="shared" si="18"/>
        <v>0</v>
      </c>
      <c r="Q163" s="25"/>
    </row>
    <row r="164" ht="81" customHeight="1" outlineLevel="1" spans="1:17">
      <c r="A164" s="25">
        <v>3.5</v>
      </c>
      <c r="B164" s="71" t="s">
        <v>112</v>
      </c>
      <c r="C164" s="72" t="s">
        <v>161</v>
      </c>
      <c r="D164" s="25" t="s">
        <v>80</v>
      </c>
      <c r="E164" s="64">
        <v>5.72</v>
      </c>
      <c r="F164" s="64"/>
      <c r="G164" s="64"/>
      <c r="H164" s="64">
        <v>200</v>
      </c>
      <c r="I164" s="64">
        <v>165</v>
      </c>
      <c r="J164" s="64">
        <v>45</v>
      </c>
      <c r="K164" s="69">
        <f t="shared" si="13"/>
        <v>57.4</v>
      </c>
      <c r="L164" s="53">
        <f t="shared" si="14"/>
        <v>42.066</v>
      </c>
      <c r="M164" s="53">
        <f t="shared" si="15"/>
        <v>509.466</v>
      </c>
      <c r="N164" s="53">
        <f t="shared" si="16"/>
        <v>2914.14552</v>
      </c>
      <c r="O164" s="53">
        <f t="shared" si="17"/>
        <v>0</v>
      </c>
      <c r="P164" s="53">
        <f t="shared" si="18"/>
        <v>0</v>
      </c>
      <c r="Q164" s="25"/>
    </row>
    <row r="165" ht="33" customHeight="1" outlineLevel="1" spans="1:17">
      <c r="A165" s="25">
        <v>3.6</v>
      </c>
      <c r="B165" s="25" t="s">
        <v>114</v>
      </c>
      <c r="C165" s="70" t="s">
        <v>115</v>
      </c>
      <c r="D165" s="25" t="s">
        <v>84</v>
      </c>
      <c r="E165" s="64">
        <f>2.53*2</f>
        <v>5.06</v>
      </c>
      <c r="F165" s="64"/>
      <c r="G165" s="64"/>
      <c r="H165" s="53">
        <v>10</v>
      </c>
      <c r="I165" s="53">
        <v>10</v>
      </c>
      <c r="J165" s="53">
        <v>1</v>
      </c>
      <c r="K165" s="69">
        <f t="shared" si="13"/>
        <v>2.94</v>
      </c>
      <c r="L165" s="53">
        <f t="shared" si="14"/>
        <v>2.1546</v>
      </c>
      <c r="M165" s="53">
        <f t="shared" si="15"/>
        <v>26.0946</v>
      </c>
      <c r="N165" s="53">
        <f t="shared" si="16"/>
        <v>132.038676</v>
      </c>
      <c r="O165" s="53">
        <f t="shared" si="17"/>
        <v>0</v>
      </c>
      <c r="P165" s="53">
        <f t="shared" si="18"/>
        <v>0</v>
      </c>
      <c r="Q165" s="53"/>
    </row>
    <row r="166" ht="72" customHeight="1" outlineLevel="1" spans="1:17">
      <c r="A166" s="25">
        <v>3.7</v>
      </c>
      <c r="B166" s="25" t="s">
        <v>116</v>
      </c>
      <c r="C166" s="70" t="s">
        <v>162</v>
      </c>
      <c r="D166" s="25" t="s">
        <v>80</v>
      </c>
      <c r="E166" s="64">
        <f>2.891+5.1+4.78-0.55+3.7*0.08+5.375-0.12-0.28-1.76+2.97+5.14-0.786+2.98+5.14-1.76</f>
        <v>29.416</v>
      </c>
      <c r="F166" s="64"/>
      <c r="G166" s="64">
        <f>E166/2</f>
        <v>14.708</v>
      </c>
      <c r="H166" s="69">
        <v>55</v>
      </c>
      <c r="I166" s="69">
        <v>60</v>
      </c>
      <c r="J166" s="53">
        <v>23</v>
      </c>
      <c r="K166" s="69">
        <f t="shared" si="13"/>
        <v>19.32</v>
      </c>
      <c r="L166" s="53">
        <f t="shared" si="14"/>
        <v>14.1588</v>
      </c>
      <c r="M166" s="53">
        <f t="shared" si="15"/>
        <v>171.4788</v>
      </c>
      <c r="N166" s="53">
        <f t="shared" si="16"/>
        <v>5044.2203808</v>
      </c>
      <c r="O166" s="53">
        <f t="shared" si="17"/>
        <v>0</v>
      </c>
      <c r="P166" s="53">
        <f t="shared" si="18"/>
        <v>2522.1101904</v>
      </c>
      <c r="Q166" s="53" t="s">
        <v>118</v>
      </c>
    </row>
    <row r="167" ht="72" customHeight="1" outlineLevel="1" spans="1:17">
      <c r="A167" s="25">
        <v>3.8</v>
      </c>
      <c r="B167" s="25" t="s">
        <v>163</v>
      </c>
      <c r="C167" s="70" t="s">
        <v>164</v>
      </c>
      <c r="D167" s="25" t="s">
        <v>80</v>
      </c>
      <c r="E167" s="64">
        <f>0.87+1.02+0.27+0.12+0.12+0.26</f>
        <v>2.66</v>
      </c>
      <c r="F167" s="64"/>
      <c r="G167" s="64">
        <f>E167/2</f>
        <v>1.33</v>
      </c>
      <c r="H167" s="53">
        <v>20</v>
      </c>
      <c r="I167" s="53">
        <v>15</v>
      </c>
      <c r="J167" s="53">
        <v>5</v>
      </c>
      <c r="K167" s="69">
        <f t="shared" si="13"/>
        <v>5.6</v>
      </c>
      <c r="L167" s="53">
        <f t="shared" si="14"/>
        <v>4.104</v>
      </c>
      <c r="M167" s="53">
        <f t="shared" si="15"/>
        <v>49.704</v>
      </c>
      <c r="N167" s="53">
        <f t="shared" si="16"/>
        <v>132.21264</v>
      </c>
      <c r="O167" s="53">
        <f t="shared" si="17"/>
        <v>0</v>
      </c>
      <c r="P167" s="53">
        <f t="shared" si="18"/>
        <v>66.10632</v>
      </c>
      <c r="Q167" s="53"/>
    </row>
    <row r="168" ht="74" customHeight="1" outlineLevel="1" spans="1:17">
      <c r="A168" s="25">
        <v>3.9</v>
      </c>
      <c r="B168" s="25" t="s">
        <v>119</v>
      </c>
      <c r="C168" s="70" t="s">
        <v>165</v>
      </c>
      <c r="D168" s="25" t="s">
        <v>80</v>
      </c>
      <c r="E168" s="68">
        <f>5.95+3.67</f>
        <v>9.62</v>
      </c>
      <c r="F168" s="64"/>
      <c r="G168" s="64">
        <f>E168</f>
        <v>9.62</v>
      </c>
      <c r="H168" s="69">
        <v>20</v>
      </c>
      <c r="I168" s="69">
        <v>25</v>
      </c>
      <c r="J168" s="69">
        <v>4.5</v>
      </c>
      <c r="K168" s="69">
        <f t="shared" si="13"/>
        <v>6.93</v>
      </c>
      <c r="L168" s="53">
        <f t="shared" si="14"/>
        <v>5.0787</v>
      </c>
      <c r="M168" s="53">
        <f t="shared" si="15"/>
        <v>61.5087</v>
      </c>
      <c r="N168" s="53">
        <f t="shared" si="16"/>
        <v>591.713694</v>
      </c>
      <c r="O168" s="53">
        <f t="shared" si="17"/>
        <v>0</v>
      </c>
      <c r="P168" s="53">
        <f t="shared" si="18"/>
        <v>591.713694</v>
      </c>
      <c r="Q168" s="53"/>
    </row>
    <row r="169" ht="45" outlineLevel="1" spans="1:17">
      <c r="A169" s="25">
        <v>3.11</v>
      </c>
      <c r="B169" s="25" t="s">
        <v>122</v>
      </c>
      <c r="C169" s="72" t="s">
        <v>123</v>
      </c>
      <c r="D169" s="25" t="s">
        <v>109</v>
      </c>
      <c r="E169" s="64">
        <v>1</v>
      </c>
      <c r="F169" s="64"/>
      <c r="G169" s="64"/>
      <c r="H169" s="64">
        <v>100</v>
      </c>
      <c r="I169" s="64">
        <v>650</v>
      </c>
      <c r="J169" s="53">
        <v>50</v>
      </c>
      <c r="K169" s="69">
        <f t="shared" si="13"/>
        <v>112</v>
      </c>
      <c r="L169" s="53">
        <f t="shared" si="14"/>
        <v>82.08</v>
      </c>
      <c r="M169" s="53">
        <f t="shared" si="15"/>
        <v>994.08</v>
      </c>
      <c r="N169" s="53">
        <f t="shared" si="16"/>
        <v>994.08</v>
      </c>
      <c r="O169" s="53">
        <f t="shared" si="17"/>
        <v>0</v>
      </c>
      <c r="P169" s="53">
        <f t="shared" si="18"/>
        <v>0</v>
      </c>
      <c r="Q169" s="53"/>
    </row>
    <row r="170" ht="45" outlineLevel="1" spans="1:17">
      <c r="A170" s="25">
        <v>3.12</v>
      </c>
      <c r="B170" s="25" t="s">
        <v>124</v>
      </c>
      <c r="C170" s="72" t="s">
        <v>125</v>
      </c>
      <c r="D170" s="25" t="s">
        <v>109</v>
      </c>
      <c r="E170" s="64">
        <v>1</v>
      </c>
      <c r="F170" s="64"/>
      <c r="G170" s="64"/>
      <c r="H170" s="64">
        <v>100</v>
      </c>
      <c r="I170" s="64">
        <v>580</v>
      </c>
      <c r="J170" s="64">
        <v>50</v>
      </c>
      <c r="K170" s="69">
        <f t="shared" si="13"/>
        <v>102.2</v>
      </c>
      <c r="L170" s="53">
        <f t="shared" si="14"/>
        <v>74.898</v>
      </c>
      <c r="M170" s="53">
        <f t="shared" si="15"/>
        <v>907.098</v>
      </c>
      <c r="N170" s="53">
        <f t="shared" si="16"/>
        <v>907.098</v>
      </c>
      <c r="O170" s="53">
        <f t="shared" si="17"/>
        <v>0</v>
      </c>
      <c r="P170" s="53">
        <f t="shared" si="18"/>
        <v>0</v>
      </c>
      <c r="Q170" s="53"/>
    </row>
    <row r="171" ht="56" customHeight="1" outlineLevel="1" spans="1:17">
      <c r="A171" s="25">
        <v>3.13</v>
      </c>
      <c r="B171" s="25" t="s">
        <v>126</v>
      </c>
      <c r="C171" s="70" t="s">
        <v>127</v>
      </c>
      <c r="D171" s="25" t="s">
        <v>80</v>
      </c>
      <c r="E171" s="64">
        <f>2.852-1.62+5.8*0.08+4.3+0.55+5.97</f>
        <v>12.516</v>
      </c>
      <c r="F171" s="64"/>
      <c r="G171" s="64">
        <f>E171/2</f>
        <v>6.258</v>
      </c>
      <c r="H171" s="69">
        <v>55</v>
      </c>
      <c r="I171" s="69">
        <v>60</v>
      </c>
      <c r="J171" s="53">
        <v>23</v>
      </c>
      <c r="K171" s="69">
        <f t="shared" si="13"/>
        <v>19.32</v>
      </c>
      <c r="L171" s="53">
        <f t="shared" si="14"/>
        <v>14.1588</v>
      </c>
      <c r="M171" s="53">
        <f t="shared" si="15"/>
        <v>171.4788</v>
      </c>
      <c r="N171" s="53">
        <f t="shared" si="16"/>
        <v>2146.2286608</v>
      </c>
      <c r="O171" s="53">
        <f t="shared" si="17"/>
        <v>0</v>
      </c>
      <c r="P171" s="53">
        <f t="shared" si="18"/>
        <v>1073.1143304</v>
      </c>
      <c r="Q171" s="53"/>
    </row>
    <row r="172" ht="78.75" outlineLevel="1" spans="1:17">
      <c r="A172" s="25">
        <v>3.14</v>
      </c>
      <c r="B172" s="25" t="s">
        <v>128</v>
      </c>
      <c r="C172" s="70" t="s">
        <v>129</v>
      </c>
      <c r="D172" s="25" t="s">
        <v>80</v>
      </c>
      <c r="E172" s="68">
        <f>0.56+1.08+0.56+1.08</f>
        <v>3.28</v>
      </c>
      <c r="F172" s="64"/>
      <c r="G172" s="64">
        <f>E172</f>
        <v>3.28</v>
      </c>
      <c r="H172" s="69">
        <v>22</v>
      </c>
      <c r="I172" s="69">
        <v>5</v>
      </c>
      <c r="J172" s="53">
        <v>3</v>
      </c>
      <c r="K172" s="69">
        <f t="shared" si="13"/>
        <v>4.2</v>
      </c>
      <c r="L172" s="53">
        <f t="shared" si="14"/>
        <v>3.078</v>
      </c>
      <c r="M172" s="53">
        <f t="shared" si="15"/>
        <v>37.278</v>
      </c>
      <c r="N172" s="53">
        <f t="shared" si="16"/>
        <v>122.27184</v>
      </c>
      <c r="O172" s="53">
        <f t="shared" si="17"/>
        <v>0</v>
      </c>
      <c r="P172" s="53">
        <f t="shared" si="18"/>
        <v>122.27184</v>
      </c>
      <c r="Q172" s="53"/>
    </row>
    <row r="173" ht="45" outlineLevel="1" spans="1:17">
      <c r="A173" s="25">
        <v>3.16</v>
      </c>
      <c r="B173" s="25" t="s">
        <v>130</v>
      </c>
      <c r="C173" s="70" t="s">
        <v>131</v>
      </c>
      <c r="D173" s="25" t="s">
        <v>84</v>
      </c>
      <c r="E173" s="64">
        <f>1.64+1.39+0.6</f>
        <v>3.63</v>
      </c>
      <c r="F173" s="64"/>
      <c r="G173" s="64"/>
      <c r="H173" s="73">
        <v>150</v>
      </c>
      <c r="I173" s="73">
        <v>500</v>
      </c>
      <c r="J173" s="53">
        <v>25</v>
      </c>
      <c r="K173" s="69">
        <f t="shared" si="13"/>
        <v>94.5</v>
      </c>
      <c r="L173" s="53">
        <f t="shared" si="14"/>
        <v>69.255</v>
      </c>
      <c r="M173" s="53">
        <f t="shared" si="15"/>
        <v>838.755</v>
      </c>
      <c r="N173" s="53">
        <f t="shared" si="16"/>
        <v>3044.68065</v>
      </c>
      <c r="O173" s="53">
        <f t="shared" si="17"/>
        <v>0</v>
      </c>
      <c r="P173" s="53">
        <f t="shared" si="18"/>
        <v>0</v>
      </c>
      <c r="Q173" s="53"/>
    </row>
    <row r="174" ht="33.75" outlineLevel="1" spans="1:17">
      <c r="A174" s="25">
        <v>3.17</v>
      </c>
      <c r="B174" s="25" t="s">
        <v>132</v>
      </c>
      <c r="C174" s="70" t="s">
        <v>133</v>
      </c>
      <c r="D174" s="25" t="s">
        <v>84</v>
      </c>
      <c r="E174" s="64">
        <f>1.45+0.95</f>
        <v>2.4</v>
      </c>
      <c r="F174" s="64"/>
      <c r="G174" s="64"/>
      <c r="H174" s="53">
        <v>150</v>
      </c>
      <c r="I174" s="53">
        <v>300</v>
      </c>
      <c r="J174" s="53">
        <v>25</v>
      </c>
      <c r="K174" s="69">
        <f t="shared" si="13"/>
        <v>66.5</v>
      </c>
      <c r="L174" s="53">
        <f t="shared" si="14"/>
        <v>48.735</v>
      </c>
      <c r="M174" s="53">
        <f t="shared" si="15"/>
        <v>590.235</v>
      </c>
      <c r="N174" s="53">
        <f t="shared" si="16"/>
        <v>1416.564</v>
      </c>
      <c r="O174" s="53">
        <f t="shared" si="17"/>
        <v>0</v>
      </c>
      <c r="P174" s="53">
        <f t="shared" si="18"/>
        <v>0</v>
      </c>
      <c r="Q174" s="53"/>
    </row>
    <row r="175" ht="48" customHeight="1" outlineLevel="1" spans="1:17">
      <c r="A175" s="25">
        <v>3.18</v>
      </c>
      <c r="B175" s="25" t="s">
        <v>134</v>
      </c>
      <c r="C175" s="70" t="s">
        <v>135</v>
      </c>
      <c r="D175" s="25" t="s">
        <v>136</v>
      </c>
      <c r="E175" s="64">
        <v>1</v>
      </c>
      <c r="F175" s="64"/>
      <c r="G175" s="64"/>
      <c r="H175" s="53">
        <v>20</v>
      </c>
      <c r="I175" s="53">
        <v>40</v>
      </c>
      <c r="J175" s="53">
        <v>15</v>
      </c>
      <c r="K175" s="69">
        <f t="shared" si="13"/>
        <v>10.5</v>
      </c>
      <c r="L175" s="53">
        <f t="shared" si="14"/>
        <v>7.695</v>
      </c>
      <c r="M175" s="53">
        <f t="shared" si="15"/>
        <v>93.195</v>
      </c>
      <c r="N175" s="53">
        <f t="shared" si="16"/>
        <v>93.195</v>
      </c>
      <c r="O175" s="53">
        <f t="shared" si="17"/>
        <v>0</v>
      </c>
      <c r="P175" s="53">
        <f t="shared" si="18"/>
        <v>0</v>
      </c>
      <c r="Q175" s="53" t="s">
        <v>137</v>
      </c>
    </row>
    <row r="176" ht="48" customHeight="1" outlineLevel="1" spans="1:17">
      <c r="A176" s="25">
        <v>3.19</v>
      </c>
      <c r="B176" s="25" t="s">
        <v>138</v>
      </c>
      <c r="C176" s="70" t="s">
        <v>135</v>
      </c>
      <c r="D176" s="25" t="s">
        <v>136</v>
      </c>
      <c r="E176" s="64">
        <v>1</v>
      </c>
      <c r="F176" s="64"/>
      <c r="G176" s="64"/>
      <c r="H176" s="53">
        <v>30</v>
      </c>
      <c r="I176" s="53">
        <v>120</v>
      </c>
      <c r="J176" s="53">
        <v>15</v>
      </c>
      <c r="K176" s="69">
        <f t="shared" si="13"/>
        <v>23.1</v>
      </c>
      <c r="L176" s="53">
        <f t="shared" si="14"/>
        <v>16.929</v>
      </c>
      <c r="M176" s="53">
        <f t="shared" si="15"/>
        <v>205.029</v>
      </c>
      <c r="N176" s="53">
        <f t="shared" si="16"/>
        <v>205.029</v>
      </c>
      <c r="O176" s="53">
        <f t="shared" si="17"/>
        <v>0</v>
      </c>
      <c r="P176" s="53">
        <f t="shared" si="18"/>
        <v>0</v>
      </c>
      <c r="Q176" s="53" t="s">
        <v>137</v>
      </c>
    </row>
    <row r="177" spans="1:17">
      <c r="A177" s="25">
        <v>4</v>
      </c>
      <c r="B177" s="25" t="s">
        <v>34</v>
      </c>
      <c r="C177" s="25" t="s">
        <v>34</v>
      </c>
      <c r="D177" s="25"/>
      <c r="E177" s="64"/>
      <c r="F177" s="64"/>
      <c r="G177" s="64"/>
      <c r="H177" s="53"/>
      <c r="I177" s="53"/>
      <c r="J177" s="53"/>
      <c r="K177" s="69"/>
      <c r="L177" s="53"/>
      <c r="M177" s="53"/>
      <c r="N177" s="53">
        <f>SUM(N178:N183)</f>
        <v>2735.310528</v>
      </c>
      <c r="O177" s="53">
        <f>SUM(O178:O183)</f>
        <v>0</v>
      </c>
      <c r="P177" s="53">
        <f>SUM(P178:P183)</f>
        <v>1894.070328</v>
      </c>
      <c r="Q177" s="53"/>
    </row>
    <row r="178" ht="114" customHeight="1" outlineLevel="1" spans="1:17">
      <c r="A178" s="25">
        <v>4.1</v>
      </c>
      <c r="B178" s="25" t="s">
        <v>139</v>
      </c>
      <c r="C178" s="70" t="s">
        <v>140</v>
      </c>
      <c r="D178" s="25" t="s">
        <v>141</v>
      </c>
      <c r="E178" s="64">
        <f>4.18+2.59</f>
        <v>6.77</v>
      </c>
      <c r="F178" s="64"/>
      <c r="G178" s="64"/>
      <c r="H178" s="69">
        <v>45</v>
      </c>
      <c r="I178" s="69">
        <v>30</v>
      </c>
      <c r="J178" s="53">
        <v>25</v>
      </c>
      <c r="K178" s="69">
        <f t="shared" si="13"/>
        <v>14</v>
      </c>
      <c r="L178" s="53">
        <f t="shared" si="14"/>
        <v>10.26</v>
      </c>
      <c r="M178" s="53">
        <f t="shared" si="15"/>
        <v>124.26</v>
      </c>
      <c r="N178" s="53">
        <f t="shared" si="16"/>
        <v>841.2402</v>
      </c>
      <c r="O178" s="53">
        <f t="shared" si="17"/>
        <v>0</v>
      </c>
      <c r="P178" s="53">
        <f t="shared" si="18"/>
        <v>0</v>
      </c>
      <c r="Q178" s="53"/>
    </row>
    <row r="179" ht="192" customHeight="1" outlineLevel="1" spans="1:17">
      <c r="A179" s="25">
        <v>4.2</v>
      </c>
      <c r="B179" s="25" t="s">
        <v>142</v>
      </c>
      <c r="C179" s="70" t="s">
        <v>168</v>
      </c>
      <c r="D179" s="25" t="s">
        <v>141</v>
      </c>
      <c r="E179" s="68">
        <f>12.02-8.48</f>
        <v>3.54</v>
      </c>
      <c r="F179" s="64"/>
      <c r="G179" s="64">
        <f>E179</f>
        <v>3.54</v>
      </c>
      <c r="H179" s="74">
        <v>70</v>
      </c>
      <c r="I179" s="74">
        <v>40</v>
      </c>
      <c r="J179" s="53">
        <v>28</v>
      </c>
      <c r="K179" s="69">
        <f t="shared" si="13"/>
        <v>19.32</v>
      </c>
      <c r="L179" s="53">
        <f t="shared" si="14"/>
        <v>14.1588</v>
      </c>
      <c r="M179" s="53">
        <f t="shared" si="15"/>
        <v>171.4788</v>
      </c>
      <c r="N179" s="53">
        <f t="shared" si="16"/>
        <v>607.034952</v>
      </c>
      <c r="O179" s="53">
        <f t="shared" si="17"/>
        <v>0</v>
      </c>
      <c r="P179" s="53">
        <f t="shared" si="18"/>
        <v>607.034952</v>
      </c>
      <c r="Q179" s="53"/>
    </row>
    <row r="180" ht="88" customHeight="1" outlineLevel="1" spans="1:17">
      <c r="A180" s="25">
        <v>4.3</v>
      </c>
      <c r="B180" s="25" t="s">
        <v>144</v>
      </c>
      <c r="C180" s="70" t="s">
        <v>145</v>
      </c>
      <c r="D180" s="25" t="s">
        <v>80</v>
      </c>
      <c r="E180" s="68">
        <v>3.02</v>
      </c>
      <c r="F180" s="64"/>
      <c r="G180" s="64">
        <f>E180</f>
        <v>3.02</v>
      </c>
      <c r="H180" s="69">
        <v>22</v>
      </c>
      <c r="I180" s="69">
        <v>5</v>
      </c>
      <c r="J180" s="53">
        <v>3</v>
      </c>
      <c r="K180" s="69">
        <f t="shared" si="13"/>
        <v>4.2</v>
      </c>
      <c r="L180" s="53">
        <f t="shared" si="14"/>
        <v>3.078</v>
      </c>
      <c r="M180" s="53">
        <f t="shared" si="15"/>
        <v>37.278</v>
      </c>
      <c r="N180" s="53">
        <f t="shared" si="16"/>
        <v>112.57956</v>
      </c>
      <c r="O180" s="53">
        <f t="shared" si="17"/>
        <v>0</v>
      </c>
      <c r="P180" s="53">
        <f t="shared" si="18"/>
        <v>112.57956</v>
      </c>
      <c r="Q180" s="53"/>
    </row>
    <row r="181" ht="95" customHeight="1" outlineLevel="1" spans="1:17">
      <c r="A181" s="25">
        <v>4.4</v>
      </c>
      <c r="B181" s="25" t="s">
        <v>146</v>
      </c>
      <c r="C181" s="70" t="s">
        <v>147</v>
      </c>
      <c r="D181" s="25" t="s">
        <v>80</v>
      </c>
      <c r="E181" s="75">
        <f>8.48+5.46+0.2*2.5</f>
        <v>14.44</v>
      </c>
      <c r="F181" s="76"/>
      <c r="G181" s="64">
        <f>E181</f>
        <v>14.44</v>
      </c>
      <c r="H181" s="69">
        <v>22</v>
      </c>
      <c r="I181" s="69">
        <v>4</v>
      </c>
      <c r="J181" s="53">
        <v>3</v>
      </c>
      <c r="K181" s="69">
        <f t="shared" si="13"/>
        <v>4.06</v>
      </c>
      <c r="L181" s="53">
        <f t="shared" si="14"/>
        <v>2.9754</v>
      </c>
      <c r="M181" s="53">
        <f t="shared" si="15"/>
        <v>36.0354</v>
      </c>
      <c r="N181" s="53">
        <f t="shared" si="16"/>
        <v>520.351176</v>
      </c>
      <c r="O181" s="53">
        <f t="shared" si="17"/>
        <v>0</v>
      </c>
      <c r="P181" s="53">
        <f t="shared" si="18"/>
        <v>520.351176</v>
      </c>
      <c r="Q181" s="53"/>
    </row>
    <row r="182" ht="56.25" outlineLevel="1" spans="1:17">
      <c r="A182" s="25">
        <v>4.5</v>
      </c>
      <c r="B182" s="25" t="s">
        <v>148</v>
      </c>
      <c r="C182" s="70" t="s">
        <v>149</v>
      </c>
      <c r="D182" s="25" t="s">
        <v>84</v>
      </c>
      <c r="E182" s="68">
        <v>9.4</v>
      </c>
      <c r="F182" s="64"/>
      <c r="G182" s="64">
        <f>E182</f>
        <v>9.4</v>
      </c>
      <c r="H182" s="53">
        <v>5</v>
      </c>
      <c r="I182" s="53">
        <v>5</v>
      </c>
      <c r="J182" s="53">
        <v>1</v>
      </c>
      <c r="K182" s="69">
        <f t="shared" si="13"/>
        <v>1.54</v>
      </c>
      <c r="L182" s="53">
        <f t="shared" si="14"/>
        <v>1.1286</v>
      </c>
      <c r="M182" s="53">
        <f t="shared" si="15"/>
        <v>13.6686</v>
      </c>
      <c r="N182" s="53">
        <f t="shared" si="16"/>
        <v>128.48484</v>
      </c>
      <c r="O182" s="53">
        <f t="shared" si="17"/>
        <v>0</v>
      </c>
      <c r="P182" s="53">
        <f t="shared" si="18"/>
        <v>128.48484</v>
      </c>
      <c r="Q182" s="80"/>
    </row>
    <row r="183" ht="78.75" outlineLevel="1" spans="1:17">
      <c r="A183" s="25">
        <v>4.6</v>
      </c>
      <c r="B183" s="25" t="s">
        <v>150</v>
      </c>
      <c r="C183" s="70" t="s">
        <v>151</v>
      </c>
      <c r="D183" s="25" t="s">
        <v>84</v>
      </c>
      <c r="E183" s="68">
        <f>1.5+0.2+2.53</f>
        <v>4.23</v>
      </c>
      <c r="F183" s="64"/>
      <c r="G183" s="64">
        <f>E183</f>
        <v>4.23</v>
      </c>
      <c r="H183" s="69">
        <v>70</v>
      </c>
      <c r="I183" s="69">
        <v>20</v>
      </c>
      <c r="J183" s="53">
        <v>10</v>
      </c>
      <c r="K183" s="69">
        <f t="shared" si="13"/>
        <v>14</v>
      </c>
      <c r="L183" s="53">
        <f t="shared" si="14"/>
        <v>10.26</v>
      </c>
      <c r="M183" s="53">
        <f t="shared" si="15"/>
        <v>124.26</v>
      </c>
      <c r="N183" s="53">
        <f t="shared" si="16"/>
        <v>525.6198</v>
      </c>
      <c r="O183" s="53">
        <f t="shared" si="17"/>
        <v>0</v>
      </c>
      <c r="P183" s="53">
        <f t="shared" si="18"/>
        <v>525.6198</v>
      </c>
      <c r="Q183" s="80"/>
    </row>
    <row r="184" spans="1:17">
      <c r="A184" s="25">
        <v>5</v>
      </c>
      <c r="B184" s="25" t="s">
        <v>35</v>
      </c>
      <c r="C184" s="25" t="s">
        <v>35</v>
      </c>
      <c r="D184" s="25"/>
      <c r="E184" s="64"/>
      <c r="F184" s="64"/>
      <c r="G184" s="64"/>
      <c r="H184" s="69"/>
      <c r="I184" s="69"/>
      <c r="J184" s="53"/>
      <c r="K184" s="69"/>
      <c r="L184" s="53"/>
      <c r="M184" s="53"/>
      <c r="N184" s="53">
        <f>SUM(N185:N189)</f>
        <v>4735.79712</v>
      </c>
      <c r="O184" s="53">
        <f>SUM(O185:O189)</f>
        <v>0</v>
      </c>
      <c r="P184" s="53">
        <f>SUM(P185:P189)</f>
        <v>3894.55692</v>
      </c>
      <c r="Q184" s="53"/>
    </row>
    <row r="185" ht="123.75" outlineLevel="1" spans="1:17">
      <c r="A185" s="25">
        <v>5.1</v>
      </c>
      <c r="B185" s="25" t="s">
        <v>139</v>
      </c>
      <c r="C185" s="70" t="s">
        <v>169</v>
      </c>
      <c r="D185" s="25" t="s">
        <v>141</v>
      </c>
      <c r="E185" s="64">
        <f>4.18+2.59</f>
        <v>6.77</v>
      </c>
      <c r="F185" s="64"/>
      <c r="G185" s="64"/>
      <c r="H185" s="69">
        <v>45</v>
      </c>
      <c r="I185" s="69">
        <v>30</v>
      </c>
      <c r="J185" s="53">
        <v>25</v>
      </c>
      <c r="K185" s="69">
        <f t="shared" si="13"/>
        <v>14</v>
      </c>
      <c r="L185" s="53">
        <f t="shared" si="14"/>
        <v>10.26</v>
      </c>
      <c r="M185" s="53">
        <f t="shared" si="15"/>
        <v>124.26</v>
      </c>
      <c r="N185" s="53">
        <f t="shared" si="16"/>
        <v>841.2402</v>
      </c>
      <c r="O185" s="53">
        <f t="shared" si="17"/>
        <v>0</v>
      </c>
      <c r="P185" s="53">
        <f t="shared" si="18"/>
        <v>0</v>
      </c>
      <c r="Q185" s="53"/>
    </row>
    <row r="186" ht="168.75" outlineLevel="1" spans="1:17">
      <c r="A186" s="25">
        <v>5.2</v>
      </c>
      <c r="B186" s="25" t="s">
        <v>142</v>
      </c>
      <c r="C186" s="70" t="s">
        <v>168</v>
      </c>
      <c r="D186" s="25" t="s">
        <v>141</v>
      </c>
      <c r="E186" s="68">
        <f>E179+E181</f>
        <v>17.98</v>
      </c>
      <c r="F186" s="64"/>
      <c r="G186" s="64">
        <f>E186</f>
        <v>17.98</v>
      </c>
      <c r="H186" s="74">
        <v>70</v>
      </c>
      <c r="I186" s="74">
        <v>42</v>
      </c>
      <c r="J186" s="53">
        <v>28</v>
      </c>
      <c r="K186" s="69">
        <f t="shared" si="13"/>
        <v>19.6</v>
      </c>
      <c r="L186" s="53">
        <f t="shared" si="14"/>
        <v>14.364</v>
      </c>
      <c r="M186" s="53">
        <f t="shared" si="15"/>
        <v>173.964</v>
      </c>
      <c r="N186" s="53">
        <f t="shared" si="16"/>
        <v>3127.87272</v>
      </c>
      <c r="O186" s="53">
        <f t="shared" si="17"/>
        <v>0</v>
      </c>
      <c r="P186" s="53">
        <f t="shared" si="18"/>
        <v>3127.87272</v>
      </c>
      <c r="Q186" s="53"/>
    </row>
    <row r="187" ht="90" outlineLevel="1" spans="1:17">
      <c r="A187" s="25">
        <v>5.3</v>
      </c>
      <c r="B187" s="25" t="s">
        <v>144</v>
      </c>
      <c r="C187" s="70" t="s">
        <v>145</v>
      </c>
      <c r="D187" s="25" t="s">
        <v>80</v>
      </c>
      <c r="E187" s="68">
        <f>E180</f>
        <v>3.02</v>
      </c>
      <c r="F187" s="64"/>
      <c r="G187" s="64">
        <f>E187</f>
        <v>3.02</v>
      </c>
      <c r="H187" s="69">
        <v>22</v>
      </c>
      <c r="I187" s="69">
        <v>5</v>
      </c>
      <c r="J187" s="53">
        <v>3</v>
      </c>
      <c r="K187" s="69">
        <f t="shared" si="13"/>
        <v>4.2</v>
      </c>
      <c r="L187" s="53">
        <f t="shared" si="14"/>
        <v>3.078</v>
      </c>
      <c r="M187" s="53">
        <f t="shared" si="15"/>
        <v>37.278</v>
      </c>
      <c r="N187" s="53">
        <f t="shared" si="16"/>
        <v>112.57956</v>
      </c>
      <c r="O187" s="53">
        <f t="shared" si="17"/>
        <v>0</v>
      </c>
      <c r="P187" s="53">
        <f t="shared" si="18"/>
        <v>112.57956</v>
      </c>
      <c r="Q187" s="53"/>
    </row>
    <row r="188" ht="56.25" outlineLevel="1" spans="1:17">
      <c r="A188" s="25">
        <v>5.4</v>
      </c>
      <c r="B188" s="25" t="s">
        <v>148</v>
      </c>
      <c r="C188" s="70" t="s">
        <v>149</v>
      </c>
      <c r="D188" s="25" t="s">
        <v>84</v>
      </c>
      <c r="E188" s="68">
        <f>E182</f>
        <v>9.4</v>
      </c>
      <c r="F188" s="64"/>
      <c r="G188" s="64">
        <f>E188</f>
        <v>9.4</v>
      </c>
      <c r="H188" s="53">
        <v>5</v>
      </c>
      <c r="I188" s="53">
        <v>5</v>
      </c>
      <c r="J188" s="53">
        <v>1</v>
      </c>
      <c r="K188" s="69">
        <f t="shared" si="13"/>
        <v>1.54</v>
      </c>
      <c r="L188" s="53">
        <f t="shared" si="14"/>
        <v>1.1286</v>
      </c>
      <c r="M188" s="53">
        <f t="shared" si="15"/>
        <v>13.6686</v>
      </c>
      <c r="N188" s="53">
        <f t="shared" si="16"/>
        <v>128.48484</v>
      </c>
      <c r="O188" s="53">
        <f t="shared" si="17"/>
        <v>0</v>
      </c>
      <c r="P188" s="53">
        <f t="shared" si="18"/>
        <v>128.48484</v>
      </c>
      <c r="Q188" s="80"/>
    </row>
    <row r="189" ht="78.75" outlineLevel="1" spans="1:17">
      <c r="A189" s="25">
        <v>5.5</v>
      </c>
      <c r="B189" s="25" t="s">
        <v>150</v>
      </c>
      <c r="C189" s="70" t="s">
        <v>151</v>
      </c>
      <c r="D189" s="25" t="s">
        <v>84</v>
      </c>
      <c r="E189" s="68">
        <f>E183</f>
        <v>4.23</v>
      </c>
      <c r="F189" s="64"/>
      <c r="G189" s="64">
        <f>E189</f>
        <v>4.23</v>
      </c>
      <c r="H189" s="69">
        <v>70</v>
      </c>
      <c r="I189" s="69">
        <v>20</v>
      </c>
      <c r="J189" s="53">
        <v>10</v>
      </c>
      <c r="K189" s="69">
        <f t="shared" si="13"/>
        <v>14</v>
      </c>
      <c r="L189" s="53">
        <f t="shared" si="14"/>
        <v>10.26</v>
      </c>
      <c r="M189" s="53">
        <f t="shared" si="15"/>
        <v>124.26</v>
      </c>
      <c r="N189" s="53">
        <f t="shared" si="16"/>
        <v>525.6198</v>
      </c>
      <c r="O189" s="53">
        <f t="shared" si="17"/>
        <v>0</v>
      </c>
      <c r="P189" s="53">
        <f t="shared" si="18"/>
        <v>525.6198</v>
      </c>
      <c r="Q189" s="80"/>
    </row>
    <row r="190" s="56" customFormat="1" ht="24" customHeight="1" spans="1:19">
      <c r="A190" s="25" t="s">
        <v>176</v>
      </c>
      <c r="B190" s="25" t="s">
        <v>177</v>
      </c>
      <c r="C190" s="25" t="s">
        <v>77</v>
      </c>
      <c r="D190" s="25"/>
      <c r="E190" s="64"/>
      <c r="F190" s="64"/>
      <c r="G190" s="64"/>
      <c r="H190" s="53"/>
      <c r="I190" s="53"/>
      <c r="J190" s="53"/>
      <c r="K190" s="53"/>
      <c r="L190" s="53"/>
      <c r="M190" s="53"/>
      <c r="N190" s="53"/>
      <c r="O190" s="53"/>
      <c r="P190" s="53">
        <f t="shared" si="18"/>
        <v>0</v>
      </c>
      <c r="Q190" s="53"/>
      <c r="S190" s="59"/>
    </row>
    <row r="191" spans="1:17">
      <c r="A191" s="25">
        <v>1</v>
      </c>
      <c r="B191" s="25" t="s">
        <v>31</v>
      </c>
      <c r="C191" s="25"/>
      <c r="D191" s="25"/>
      <c r="E191" s="64"/>
      <c r="F191" s="64"/>
      <c r="G191" s="64"/>
      <c r="H191" s="53"/>
      <c r="I191" s="53"/>
      <c r="J191" s="53"/>
      <c r="K191" s="69"/>
      <c r="L191" s="53"/>
      <c r="M191" s="53"/>
      <c r="N191" s="53">
        <f>SUM(N192:N202)</f>
        <v>7669.215366</v>
      </c>
      <c r="O191" s="53">
        <f>SUM(O192:O202)</f>
        <v>406.3302</v>
      </c>
      <c r="P191" s="53">
        <f>SUM(P192:P202)</f>
        <v>1290.50223</v>
      </c>
      <c r="Q191" s="53"/>
    </row>
    <row r="192" ht="85.5" outlineLevel="1" spans="1:17">
      <c r="A192" s="25">
        <v>1.1</v>
      </c>
      <c r="B192" s="25" t="s">
        <v>78</v>
      </c>
      <c r="C192" s="65" t="s">
        <v>79</v>
      </c>
      <c r="D192" s="66" t="s">
        <v>80</v>
      </c>
      <c r="E192" s="64">
        <v>36.58</v>
      </c>
      <c r="F192" s="64"/>
      <c r="G192" s="64"/>
      <c r="H192" s="53">
        <v>12</v>
      </c>
      <c r="I192" s="53">
        <v>60</v>
      </c>
      <c r="J192" s="53">
        <v>10</v>
      </c>
      <c r="K192" s="69">
        <f t="shared" si="13"/>
        <v>11.48</v>
      </c>
      <c r="L192" s="53">
        <f t="shared" si="14"/>
        <v>8.4132</v>
      </c>
      <c r="M192" s="53">
        <f t="shared" si="15"/>
        <v>101.8932</v>
      </c>
      <c r="N192" s="53">
        <f t="shared" si="16"/>
        <v>3727.253256</v>
      </c>
      <c r="O192" s="53">
        <f t="shared" si="17"/>
        <v>0</v>
      </c>
      <c r="P192" s="53">
        <f t="shared" si="18"/>
        <v>0</v>
      </c>
      <c r="Q192" s="78" t="s">
        <v>81</v>
      </c>
    </row>
    <row r="193" ht="34" customHeight="1" outlineLevel="1" spans="1:17">
      <c r="A193" s="25">
        <v>1.2</v>
      </c>
      <c r="B193" s="65" t="s">
        <v>82</v>
      </c>
      <c r="C193" s="65" t="s">
        <v>83</v>
      </c>
      <c r="D193" s="66" t="s">
        <v>84</v>
      </c>
      <c r="E193" s="64">
        <f>37.12-2.12</f>
        <v>35</v>
      </c>
      <c r="F193" s="64"/>
      <c r="G193" s="64"/>
      <c r="H193" s="53">
        <v>4</v>
      </c>
      <c r="I193" s="53">
        <v>4</v>
      </c>
      <c r="J193" s="53">
        <v>1</v>
      </c>
      <c r="K193" s="69">
        <f t="shared" si="13"/>
        <v>1.26</v>
      </c>
      <c r="L193" s="53">
        <f t="shared" si="14"/>
        <v>0.9234</v>
      </c>
      <c r="M193" s="53">
        <f t="shared" si="15"/>
        <v>11.1834</v>
      </c>
      <c r="N193" s="53">
        <f t="shared" si="16"/>
        <v>391.419</v>
      </c>
      <c r="O193" s="53">
        <f t="shared" si="17"/>
        <v>0</v>
      </c>
      <c r="P193" s="53">
        <f t="shared" si="18"/>
        <v>0</v>
      </c>
      <c r="Q193" s="53"/>
    </row>
    <row r="194" ht="78" customHeight="1" outlineLevel="1" spans="1:17">
      <c r="A194" s="25">
        <v>1.3</v>
      </c>
      <c r="B194" s="65" t="s">
        <v>85</v>
      </c>
      <c r="C194" s="67" t="s">
        <v>154</v>
      </c>
      <c r="D194" s="66" t="s">
        <v>80</v>
      </c>
      <c r="E194" s="64"/>
      <c r="F194" s="64"/>
      <c r="G194" s="64"/>
      <c r="H194" s="69">
        <v>20</v>
      </c>
      <c r="I194" s="69">
        <v>25</v>
      </c>
      <c r="J194" s="69">
        <v>15</v>
      </c>
      <c r="K194" s="69">
        <f t="shared" si="13"/>
        <v>8.4</v>
      </c>
      <c r="L194" s="53">
        <f t="shared" si="14"/>
        <v>6.156</v>
      </c>
      <c r="M194" s="53">
        <f t="shared" si="15"/>
        <v>74.556</v>
      </c>
      <c r="N194" s="53">
        <f t="shared" si="16"/>
        <v>0</v>
      </c>
      <c r="O194" s="53">
        <f t="shared" si="17"/>
        <v>0</v>
      </c>
      <c r="P194" s="53">
        <f t="shared" si="18"/>
        <v>0</v>
      </c>
      <c r="Q194" s="53"/>
    </row>
    <row r="195" ht="65" customHeight="1" outlineLevel="1" spans="1:17">
      <c r="A195" s="25">
        <v>1.4</v>
      </c>
      <c r="B195" s="65" t="s">
        <v>85</v>
      </c>
      <c r="C195" s="67" t="s">
        <v>178</v>
      </c>
      <c r="D195" s="66" t="s">
        <v>80</v>
      </c>
      <c r="E195" s="64">
        <f>3.4+2.05</f>
        <v>5.45</v>
      </c>
      <c r="F195" s="64">
        <f>E195</f>
        <v>5.45</v>
      </c>
      <c r="G195" s="64"/>
      <c r="H195" s="69">
        <v>20</v>
      </c>
      <c r="I195" s="69">
        <v>25</v>
      </c>
      <c r="J195" s="69">
        <v>15</v>
      </c>
      <c r="K195" s="69">
        <f t="shared" si="13"/>
        <v>8.4</v>
      </c>
      <c r="L195" s="53">
        <f t="shared" si="14"/>
        <v>6.156</v>
      </c>
      <c r="M195" s="53">
        <f t="shared" si="15"/>
        <v>74.556</v>
      </c>
      <c r="N195" s="53">
        <f t="shared" si="16"/>
        <v>406.3302</v>
      </c>
      <c r="O195" s="53">
        <f t="shared" si="17"/>
        <v>406.3302</v>
      </c>
      <c r="P195" s="53">
        <f t="shared" si="18"/>
        <v>0</v>
      </c>
      <c r="Q195" s="53"/>
    </row>
    <row r="196" ht="67" customHeight="1" outlineLevel="1" spans="1:17">
      <c r="A196" s="25">
        <v>1.5</v>
      </c>
      <c r="B196" s="65" t="s">
        <v>85</v>
      </c>
      <c r="C196" s="67" t="s">
        <v>179</v>
      </c>
      <c r="D196" s="66" t="s">
        <v>80</v>
      </c>
      <c r="E196" s="68">
        <v>3.4</v>
      </c>
      <c r="F196" s="64"/>
      <c r="G196" s="64">
        <f>E196</f>
        <v>3.4</v>
      </c>
      <c r="H196" s="69">
        <v>20</v>
      </c>
      <c r="I196" s="69">
        <v>25</v>
      </c>
      <c r="J196" s="69">
        <v>15</v>
      </c>
      <c r="K196" s="69">
        <f t="shared" si="13"/>
        <v>8.4</v>
      </c>
      <c r="L196" s="53">
        <f t="shared" si="14"/>
        <v>6.156</v>
      </c>
      <c r="M196" s="53">
        <f t="shared" si="15"/>
        <v>74.556</v>
      </c>
      <c r="N196" s="53">
        <f t="shared" si="16"/>
        <v>253.4904</v>
      </c>
      <c r="O196" s="53">
        <f t="shared" si="17"/>
        <v>0</v>
      </c>
      <c r="P196" s="53">
        <f t="shared" si="18"/>
        <v>253.4904</v>
      </c>
      <c r="Q196" s="53"/>
    </row>
    <row r="197" ht="73" customHeight="1" outlineLevel="1" spans="1:17">
      <c r="A197" s="25">
        <v>1.6</v>
      </c>
      <c r="B197" s="25" t="s">
        <v>89</v>
      </c>
      <c r="C197" s="70" t="s">
        <v>90</v>
      </c>
      <c r="D197" s="25" t="s">
        <v>80</v>
      </c>
      <c r="E197" s="64">
        <v>3.12</v>
      </c>
      <c r="F197" s="64"/>
      <c r="G197" s="64">
        <f>E197/2</f>
        <v>1.56</v>
      </c>
      <c r="H197" s="69">
        <v>55</v>
      </c>
      <c r="I197" s="69">
        <v>72</v>
      </c>
      <c r="J197" s="53">
        <v>23</v>
      </c>
      <c r="K197" s="69">
        <f t="shared" si="13"/>
        <v>21</v>
      </c>
      <c r="L197" s="53">
        <f t="shared" si="14"/>
        <v>15.39</v>
      </c>
      <c r="M197" s="53">
        <f t="shared" si="15"/>
        <v>186.39</v>
      </c>
      <c r="N197" s="53">
        <f t="shared" si="16"/>
        <v>581.5368</v>
      </c>
      <c r="O197" s="53">
        <f t="shared" si="17"/>
        <v>0</v>
      </c>
      <c r="P197" s="53">
        <f t="shared" si="18"/>
        <v>290.7684</v>
      </c>
      <c r="Q197" s="79" t="s">
        <v>91</v>
      </c>
    </row>
    <row r="198" ht="68" customHeight="1" outlineLevel="1" spans="1:17">
      <c r="A198" s="25">
        <v>1.7</v>
      </c>
      <c r="B198" s="25" t="s">
        <v>89</v>
      </c>
      <c r="C198" s="70" t="s">
        <v>180</v>
      </c>
      <c r="D198" s="25" t="s">
        <v>80</v>
      </c>
      <c r="E198" s="64">
        <f>4.26+1.27</f>
        <v>5.53</v>
      </c>
      <c r="F198" s="64"/>
      <c r="G198" s="64">
        <f>E198/2</f>
        <v>2.765</v>
      </c>
      <c r="H198" s="69">
        <v>55</v>
      </c>
      <c r="I198" s="69">
        <v>72</v>
      </c>
      <c r="J198" s="53">
        <v>23</v>
      </c>
      <c r="K198" s="69">
        <f t="shared" si="13"/>
        <v>21</v>
      </c>
      <c r="L198" s="53">
        <f t="shared" si="14"/>
        <v>15.39</v>
      </c>
      <c r="M198" s="53">
        <f t="shared" si="15"/>
        <v>186.39</v>
      </c>
      <c r="N198" s="53">
        <f t="shared" si="16"/>
        <v>1030.7367</v>
      </c>
      <c r="O198" s="53">
        <f t="shared" si="17"/>
        <v>0</v>
      </c>
      <c r="P198" s="53">
        <f t="shared" si="18"/>
        <v>515.36835</v>
      </c>
      <c r="Q198" s="79" t="s">
        <v>91</v>
      </c>
    </row>
    <row r="199" ht="51" customHeight="1" outlineLevel="1" spans="1:17">
      <c r="A199" s="25">
        <v>1.8</v>
      </c>
      <c r="B199" s="25" t="s">
        <v>93</v>
      </c>
      <c r="C199" s="70" t="s">
        <v>158</v>
      </c>
      <c r="D199" s="25" t="s">
        <v>80</v>
      </c>
      <c r="E199" s="64">
        <v>1.59</v>
      </c>
      <c r="F199" s="64"/>
      <c r="G199" s="64">
        <f>E199/2</f>
        <v>0.795</v>
      </c>
      <c r="H199" s="53">
        <v>40</v>
      </c>
      <c r="I199" s="53">
        <v>25</v>
      </c>
      <c r="J199" s="53">
        <v>5</v>
      </c>
      <c r="K199" s="69">
        <f t="shared" si="13"/>
        <v>9.8</v>
      </c>
      <c r="L199" s="53">
        <f t="shared" si="14"/>
        <v>7.182</v>
      </c>
      <c r="M199" s="53">
        <f t="shared" si="15"/>
        <v>86.982</v>
      </c>
      <c r="N199" s="53">
        <f t="shared" si="16"/>
        <v>138.30138</v>
      </c>
      <c r="O199" s="53">
        <f t="shared" si="17"/>
        <v>0</v>
      </c>
      <c r="P199" s="53">
        <f t="shared" si="18"/>
        <v>69.15069</v>
      </c>
      <c r="Q199" s="79"/>
    </row>
    <row r="200" ht="66" customHeight="1" outlineLevel="1" spans="1:17">
      <c r="A200" s="25">
        <v>1.9</v>
      </c>
      <c r="B200" s="25" t="s">
        <v>89</v>
      </c>
      <c r="C200" s="70" t="s">
        <v>95</v>
      </c>
      <c r="D200" s="25" t="s">
        <v>80</v>
      </c>
      <c r="E200" s="64"/>
      <c r="F200" s="64"/>
      <c r="G200" s="64">
        <f>E200/2</f>
        <v>0</v>
      </c>
      <c r="H200" s="69">
        <v>55</v>
      </c>
      <c r="I200" s="69">
        <v>72</v>
      </c>
      <c r="J200" s="53">
        <v>23</v>
      </c>
      <c r="K200" s="69">
        <f t="shared" ref="K200:K232" si="19">(H200+I200+J200)*$K$4</f>
        <v>21</v>
      </c>
      <c r="L200" s="53">
        <f t="shared" ref="L200:L232" si="20">(H200+I200+J200+K200)*$L$4</f>
        <v>15.39</v>
      </c>
      <c r="M200" s="53">
        <f t="shared" ref="M200:M232" si="21">SUBTOTAL(9,H200:L200)</f>
        <v>186.39</v>
      </c>
      <c r="N200" s="53">
        <f t="shared" ref="N200:N232" si="22">E200*M200</f>
        <v>0</v>
      </c>
      <c r="O200" s="53">
        <f t="shared" ref="O200:O232" si="23">F200*M200</f>
        <v>0</v>
      </c>
      <c r="P200" s="53">
        <f t="shared" ref="P200:P232" si="24">G200*M200</f>
        <v>0</v>
      </c>
      <c r="Q200" s="79" t="s">
        <v>91</v>
      </c>
    </row>
    <row r="201" ht="90" outlineLevel="1" spans="1:17">
      <c r="A201" s="64">
        <v>1.1</v>
      </c>
      <c r="B201" s="25" t="s">
        <v>96</v>
      </c>
      <c r="C201" s="70" t="s">
        <v>97</v>
      </c>
      <c r="D201" s="25" t="s">
        <v>80</v>
      </c>
      <c r="E201" s="64">
        <f>0.22+0.108+0.22</f>
        <v>0.548</v>
      </c>
      <c r="F201" s="64"/>
      <c r="G201" s="64">
        <f>E201/2</f>
        <v>0.274</v>
      </c>
      <c r="H201" s="53">
        <v>100</v>
      </c>
      <c r="I201" s="53">
        <v>350</v>
      </c>
      <c r="J201" s="53">
        <v>25</v>
      </c>
      <c r="K201" s="69">
        <f t="shared" si="19"/>
        <v>66.5</v>
      </c>
      <c r="L201" s="53">
        <f t="shared" si="20"/>
        <v>48.735</v>
      </c>
      <c r="M201" s="53">
        <f t="shared" si="21"/>
        <v>590.235</v>
      </c>
      <c r="N201" s="53">
        <f t="shared" si="22"/>
        <v>323.44878</v>
      </c>
      <c r="O201" s="53">
        <f t="shared" si="23"/>
        <v>0</v>
      </c>
      <c r="P201" s="53">
        <f t="shared" si="24"/>
        <v>161.72439</v>
      </c>
      <c r="Q201" s="79"/>
    </row>
    <row r="202" ht="114" outlineLevel="1" spans="1:17">
      <c r="A202" s="25">
        <v>1.11</v>
      </c>
      <c r="B202" s="65" t="s">
        <v>98</v>
      </c>
      <c r="C202" s="67" t="s">
        <v>99</v>
      </c>
      <c r="D202" s="66" t="s">
        <v>80</v>
      </c>
      <c r="E202" s="64">
        <v>2.39</v>
      </c>
      <c r="F202" s="64"/>
      <c r="G202" s="64"/>
      <c r="H202" s="53">
        <v>80</v>
      </c>
      <c r="I202" s="53">
        <v>150</v>
      </c>
      <c r="J202" s="53">
        <v>45</v>
      </c>
      <c r="K202" s="69">
        <f t="shared" si="19"/>
        <v>38.5</v>
      </c>
      <c r="L202" s="53">
        <f t="shared" si="20"/>
        <v>28.215</v>
      </c>
      <c r="M202" s="53">
        <f t="shared" si="21"/>
        <v>341.715</v>
      </c>
      <c r="N202" s="53">
        <f t="shared" si="22"/>
        <v>816.69885</v>
      </c>
      <c r="O202" s="53">
        <f t="shared" si="23"/>
        <v>0</v>
      </c>
      <c r="P202" s="53">
        <f t="shared" si="24"/>
        <v>0</v>
      </c>
      <c r="Q202" s="79"/>
    </row>
    <row r="203" ht="17.25" spans="1:17">
      <c r="A203" s="25">
        <v>2</v>
      </c>
      <c r="B203" s="66" t="s">
        <v>32</v>
      </c>
      <c r="C203" s="67"/>
      <c r="D203" s="66"/>
      <c r="E203" s="64"/>
      <c r="F203" s="64"/>
      <c r="G203" s="64"/>
      <c r="H203" s="53"/>
      <c r="I203" s="53"/>
      <c r="J203" s="53"/>
      <c r="K203" s="69"/>
      <c r="L203" s="53"/>
      <c r="M203" s="53"/>
      <c r="N203" s="53">
        <f>N204</f>
        <v>4608.629436</v>
      </c>
      <c r="O203" s="53">
        <f>O204</f>
        <v>4608.629436</v>
      </c>
      <c r="P203" s="53">
        <f>P204</f>
        <v>0</v>
      </c>
      <c r="Q203" s="79"/>
    </row>
    <row r="204" ht="156.75" outlineLevel="1" spans="1:17">
      <c r="A204" s="25">
        <v>2.1</v>
      </c>
      <c r="B204" s="65" t="s">
        <v>32</v>
      </c>
      <c r="C204" s="67" t="s">
        <v>160</v>
      </c>
      <c r="D204" s="66" t="s">
        <v>80</v>
      </c>
      <c r="E204" s="68">
        <f>E192+E197+E198</f>
        <v>45.23</v>
      </c>
      <c r="F204" s="64">
        <f>E204</f>
        <v>45.23</v>
      </c>
      <c r="G204" s="64"/>
      <c r="H204" s="53">
        <v>30</v>
      </c>
      <c r="I204" s="53">
        <v>40</v>
      </c>
      <c r="J204" s="53">
        <v>12</v>
      </c>
      <c r="K204" s="69">
        <f t="shared" si="19"/>
        <v>11.48</v>
      </c>
      <c r="L204" s="53">
        <f t="shared" si="20"/>
        <v>8.4132</v>
      </c>
      <c r="M204" s="53">
        <f t="shared" si="21"/>
        <v>101.8932</v>
      </c>
      <c r="N204" s="53">
        <f t="shared" si="22"/>
        <v>4608.629436</v>
      </c>
      <c r="O204" s="53">
        <f t="shared" si="23"/>
        <v>4608.629436</v>
      </c>
      <c r="P204" s="53">
        <f t="shared" si="24"/>
        <v>0</v>
      </c>
      <c r="Q204" s="79" t="s">
        <v>101</v>
      </c>
    </row>
    <row r="205" ht="26" customHeight="1" spans="1:17">
      <c r="A205" s="25">
        <v>3</v>
      </c>
      <c r="B205" s="25" t="s">
        <v>33</v>
      </c>
      <c r="C205" s="25"/>
      <c r="D205" s="25"/>
      <c r="E205" s="64"/>
      <c r="F205" s="64"/>
      <c r="G205" s="64"/>
      <c r="H205" s="53"/>
      <c r="I205" s="53"/>
      <c r="J205" s="53"/>
      <c r="K205" s="69"/>
      <c r="L205" s="53"/>
      <c r="M205" s="53"/>
      <c r="N205" s="53">
        <f>SUM(N206:N221)</f>
        <v>26038.9364904</v>
      </c>
      <c r="O205" s="53">
        <f>SUM(O206:O221)</f>
        <v>0</v>
      </c>
      <c r="P205" s="53">
        <f>SUM(P206:P221)</f>
        <v>5733.1290042</v>
      </c>
      <c r="Q205" s="53"/>
    </row>
    <row r="206" ht="57" customHeight="1" outlineLevel="1" spans="1:17">
      <c r="A206" s="25">
        <v>3.1</v>
      </c>
      <c r="B206" s="71" t="s">
        <v>102</v>
      </c>
      <c r="C206" s="72" t="s">
        <v>103</v>
      </c>
      <c r="D206" s="25" t="s">
        <v>80</v>
      </c>
      <c r="E206" s="64">
        <f>5.17+10.99-4.93+9.05+0.61+0.46+1.84+6.81-1.99+8.08+4.83+8.08+5.44+9.53+7.42-3.27+9.53+3*0.8+0.2*3</f>
        <v>80.65</v>
      </c>
      <c r="F206" s="64"/>
      <c r="G206" s="64">
        <f>E206/2</f>
        <v>40.325</v>
      </c>
      <c r="H206" s="69">
        <v>15</v>
      </c>
      <c r="I206" s="69">
        <v>20</v>
      </c>
      <c r="J206" s="64">
        <v>5</v>
      </c>
      <c r="K206" s="69">
        <f t="shared" si="19"/>
        <v>5.6</v>
      </c>
      <c r="L206" s="53">
        <f t="shared" si="20"/>
        <v>4.104</v>
      </c>
      <c r="M206" s="53">
        <f t="shared" si="21"/>
        <v>49.704</v>
      </c>
      <c r="N206" s="53">
        <f t="shared" si="22"/>
        <v>4008.6276</v>
      </c>
      <c r="O206" s="53">
        <f t="shared" si="23"/>
        <v>0</v>
      </c>
      <c r="P206" s="53">
        <f t="shared" si="24"/>
        <v>2004.3138</v>
      </c>
      <c r="Q206" s="25" t="s">
        <v>104</v>
      </c>
    </row>
    <row r="207" ht="171" outlineLevel="1" spans="1:17">
      <c r="A207" s="25">
        <v>3.2</v>
      </c>
      <c r="B207" s="71" t="s">
        <v>105</v>
      </c>
      <c r="C207" s="67" t="s">
        <v>106</v>
      </c>
      <c r="D207" s="25" t="s">
        <v>84</v>
      </c>
      <c r="E207" s="64">
        <f>3.03+1.53+2.03</f>
        <v>6.59</v>
      </c>
      <c r="F207" s="64"/>
      <c r="G207" s="64"/>
      <c r="H207" s="69">
        <v>50</v>
      </c>
      <c r="I207" s="69">
        <v>60</v>
      </c>
      <c r="J207" s="64">
        <v>10</v>
      </c>
      <c r="K207" s="69">
        <f t="shared" si="19"/>
        <v>16.8</v>
      </c>
      <c r="L207" s="53">
        <f t="shared" si="20"/>
        <v>12.312</v>
      </c>
      <c r="M207" s="53">
        <f t="shared" si="21"/>
        <v>149.112</v>
      </c>
      <c r="N207" s="53">
        <f t="shared" si="22"/>
        <v>982.64808</v>
      </c>
      <c r="O207" s="53">
        <f t="shared" si="23"/>
        <v>0</v>
      </c>
      <c r="P207" s="53">
        <f t="shared" si="24"/>
        <v>0</v>
      </c>
      <c r="Q207" s="25"/>
    </row>
    <row r="208" ht="54" customHeight="1" outlineLevel="1" spans="1:17">
      <c r="A208" s="25">
        <v>3.3</v>
      </c>
      <c r="B208" s="71" t="s">
        <v>107</v>
      </c>
      <c r="C208" s="72" t="s">
        <v>108</v>
      </c>
      <c r="D208" s="25" t="s">
        <v>109</v>
      </c>
      <c r="E208" s="64">
        <v>2</v>
      </c>
      <c r="F208" s="64"/>
      <c r="G208" s="64"/>
      <c r="H208" s="64">
        <v>100</v>
      </c>
      <c r="I208" s="64">
        <v>600</v>
      </c>
      <c r="J208" s="64">
        <v>50</v>
      </c>
      <c r="K208" s="69">
        <f t="shared" si="19"/>
        <v>105</v>
      </c>
      <c r="L208" s="53">
        <f t="shared" si="20"/>
        <v>76.95</v>
      </c>
      <c r="M208" s="53">
        <f t="shared" si="21"/>
        <v>931.95</v>
      </c>
      <c r="N208" s="53">
        <f t="shared" si="22"/>
        <v>1863.9</v>
      </c>
      <c r="O208" s="53">
        <f t="shared" si="23"/>
        <v>0</v>
      </c>
      <c r="P208" s="53">
        <f t="shared" si="24"/>
        <v>0</v>
      </c>
      <c r="Q208" s="25"/>
    </row>
    <row r="209" ht="60" customHeight="1" outlineLevel="1" spans="1:17">
      <c r="A209" s="25">
        <v>3.4</v>
      </c>
      <c r="B209" s="71" t="s">
        <v>110</v>
      </c>
      <c r="C209" s="72" t="s">
        <v>111</v>
      </c>
      <c r="D209" s="25" t="s">
        <v>80</v>
      </c>
      <c r="E209" s="64">
        <v>1.82</v>
      </c>
      <c r="F209" s="64"/>
      <c r="G209" s="64"/>
      <c r="H209" s="53">
        <v>150</v>
      </c>
      <c r="I209" s="53">
        <v>380</v>
      </c>
      <c r="J209" s="53">
        <v>50</v>
      </c>
      <c r="K209" s="69">
        <f t="shared" si="19"/>
        <v>81.2</v>
      </c>
      <c r="L209" s="53">
        <f t="shared" si="20"/>
        <v>59.508</v>
      </c>
      <c r="M209" s="53">
        <f t="shared" si="21"/>
        <v>720.708</v>
      </c>
      <c r="N209" s="53">
        <f t="shared" si="22"/>
        <v>1311.68856</v>
      </c>
      <c r="O209" s="53">
        <f t="shared" si="23"/>
        <v>0</v>
      </c>
      <c r="P209" s="53">
        <f t="shared" si="24"/>
        <v>0</v>
      </c>
      <c r="Q209" s="25"/>
    </row>
    <row r="210" ht="81" customHeight="1" outlineLevel="1" spans="1:17">
      <c r="A210" s="25">
        <v>3.5</v>
      </c>
      <c r="B210" s="71" t="s">
        <v>112</v>
      </c>
      <c r="C210" s="72" t="s">
        <v>161</v>
      </c>
      <c r="D210" s="25" t="s">
        <v>80</v>
      </c>
      <c r="E210" s="64">
        <v>8.19</v>
      </c>
      <c r="F210" s="64"/>
      <c r="G210" s="64"/>
      <c r="H210" s="64">
        <v>200</v>
      </c>
      <c r="I210" s="64">
        <v>165</v>
      </c>
      <c r="J210" s="64">
        <v>45</v>
      </c>
      <c r="K210" s="69">
        <f t="shared" si="19"/>
        <v>57.4</v>
      </c>
      <c r="L210" s="53">
        <f t="shared" si="20"/>
        <v>42.066</v>
      </c>
      <c r="M210" s="53">
        <f t="shared" si="21"/>
        <v>509.466</v>
      </c>
      <c r="N210" s="53">
        <f t="shared" si="22"/>
        <v>4172.52654</v>
      </c>
      <c r="O210" s="53">
        <f t="shared" si="23"/>
        <v>0</v>
      </c>
      <c r="P210" s="53">
        <f t="shared" si="24"/>
        <v>0</v>
      </c>
      <c r="Q210" s="25"/>
    </row>
    <row r="211" ht="33" customHeight="1" outlineLevel="1" spans="1:17">
      <c r="A211" s="25">
        <v>3.6</v>
      </c>
      <c r="B211" s="25" t="s">
        <v>114</v>
      </c>
      <c r="C211" s="70" t="s">
        <v>115</v>
      </c>
      <c r="D211" s="25" t="s">
        <v>84</v>
      </c>
      <c r="E211" s="64">
        <v>2.48</v>
      </c>
      <c r="F211" s="64"/>
      <c r="G211" s="64"/>
      <c r="H211" s="53">
        <v>10</v>
      </c>
      <c r="I211" s="53">
        <v>10</v>
      </c>
      <c r="J211" s="53">
        <v>1</v>
      </c>
      <c r="K211" s="69">
        <f t="shared" si="19"/>
        <v>2.94</v>
      </c>
      <c r="L211" s="53">
        <f t="shared" si="20"/>
        <v>2.1546</v>
      </c>
      <c r="M211" s="53">
        <f t="shared" si="21"/>
        <v>26.0946</v>
      </c>
      <c r="N211" s="53">
        <f t="shared" si="22"/>
        <v>64.714608</v>
      </c>
      <c r="O211" s="53">
        <f t="shared" si="23"/>
        <v>0</v>
      </c>
      <c r="P211" s="53">
        <f t="shared" si="24"/>
        <v>0</v>
      </c>
      <c r="Q211" s="53"/>
    </row>
    <row r="212" ht="33" customHeight="1" outlineLevel="1" spans="1:17">
      <c r="A212" s="25">
        <v>3.7</v>
      </c>
      <c r="B212" s="25" t="s">
        <v>114</v>
      </c>
      <c r="C212" s="70" t="s">
        <v>121</v>
      </c>
      <c r="D212" s="25" t="s">
        <v>84</v>
      </c>
      <c r="E212" s="64">
        <f>2.28+2.28</f>
        <v>4.56</v>
      </c>
      <c r="F212" s="64"/>
      <c r="G212" s="64"/>
      <c r="H212" s="53">
        <v>10</v>
      </c>
      <c r="I212" s="53">
        <v>10</v>
      </c>
      <c r="J212" s="53">
        <v>1</v>
      </c>
      <c r="K212" s="69">
        <f t="shared" si="19"/>
        <v>2.94</v>
      </c>
      <c r="L212" s="53">
        <f t="shared" si="20"/>
        <v>2.1546</v>
      </c>
      <c r="M212" s="53">
        <f t="shared" si="21"/>
        <v>26.0946</v>
      </c>
      <c r="N212" s="53">
        <f t="shared" si="22"/>
        <v>118.991376</v>
      </c>
      <c r="O212" s="53">
        <f t="shared" si="23"/>
        <v>0</v>
      </c>
      <c r="P212" s="53">
        <f t="shared" si="24"/>
        <v>0</v>
      </c>
      <c r="Q212" s="53"/>
    </row>
    <row r="213" ht="72" customHeight="1" outlineLevel="1" spans="1:17">
      <c r="A213" s="25">
        <v>3.8</v>
      </c>
      <c r="B213" s="25" t="s">
        <v>116</v>
      </c>
      <c r="C213" s="70" t="s">
        <v>162</v>
      </c>
      <c r="D213" s="25" t="s">
        <v>80</v>
      </c>
      <c r="E213" s="64">
        <f>1.28+0.133+0.78+1.28+3.94-1.2+4.5*0.08+4.66+3.94-1.81+5*0.08+4.66+4.14-1.2+4.5*0.08+7.78-1.84+5*0.08+4.54+5.57</f>
        <v>38.173</v>
      </c>
      <c r="F213" s="64"/>
      <c r="G213" s="64">
        <f>E213/2</f>
        <v>19.0865</v>
      </c>
      <c r="H213" s="69">
        <v>55</v>
      </c>
      <c r="I213" s="69">
        <v>60</v>
      </c>
      <c r="J213" s="53">
        <v>23</v>
      </c>
      <c r="K213" s="69">
        <f t="shared" si="19"/>
        <v>19.32</v>
      </c>
      <c r="L213" s="53">
        <f t="shared" si="20"/>
        <v>14.1588</v>
      </c>
      <c r="M213" s="53">
        <f t="shared" si="21"/>
        <v>171.4788</v>
      </c>
      <c r="N213" s="53">
        <f t="shared" si="22"/>
        <v>6545.8602324</v>
      </c>
      <c r="O213" s="53">
        <f t="shared" si="23"/>
        <v>0</v>
      </c>
      <c r="P213" s="53">
        <f t="shared" si="24"/>
        <v>3272.9301162</v>
      </c>
      <c r="Q213" s="53" t="s">
        <v>118</v>
      </c>
    </row>
    <row r="214" ht="72" customHeight="1" outlineLevel="1" spans="1:17">
      <c r="A214" s="25">
        <v>3.9</v>
      </c>
      <c r="B214" s="25" t="s">
        <v>163</v>
      </c>
      <c r="C214" s="70" t="s">
        <v>164</v>
      </c>
      <c r="D214" s="25" t="s">
        <v>80</v>
      </c>
      <c r="E214" s="64">
        <f>0.273+0.12+1.02+1.19</f>
        <v>2.603</v>
      </c>
      <c r="F214" s="64"/>
      <c r="G214" s="64">
        <f>E214/2</f>
        <v>1.3015</v>
      </c>
      <c r="H214" s="53">
        <v>20</v>
      </c>
      <c r="I214" s="53">
        <v>15</v>
      </c>
      <c r="J214" s="53">
        <v>5</v>
      </c>
      <c r="K214" s="69">
        <f t="shared" si="19"/>
        <v>5.6</v>
      </c>
      <c r="L214" s="53">
        <f t="shared" si="20"/>
        <v>4.104</v>
      </c>
      <c r="M214" s="53">
        <f t="shared" si="21"/>
        <v>49.704</v>
      </c>
      <c r="N214" s="53">
        <f t="shared" si="22"/>
        <v>129.379512</v>
      </c>
      <c r="O214" s="53">
        <f t="shared" si="23"/>
        <v>0</v>
      </c>
      <c r="P214" s="53">
        <f t="shared" si="24"/>
        <v>64.689756</v>
      </c>
      <c r="Q214" s="53"/>
    </row>
    <row r="215" ht="74" customHeight="1" outlineLevel="1" spans="1:17">
      <c r="A215" s="64">
        <v>3.1</v>
      </c>
      <c r="B215" s="25" t="s">
        <v>119</v>
      </c>
      <c r="C215" s="70" t="s">
        <v>165</v>
      </c>
      <c r="D215" s="25" t="s">
        <v>80</v>
      </c>
      <c r="E215" s="68">
        <v>6.36</v>
      </c>
      <c r="F215" s="64"/>
      <c r="G215" s="64">
        <f>E215</f>
        <v>6.36</v>
      </c>
      <c r="H215" s="69">
        <v>20</v>
      </c>
      <c r="I215" s="69">
        <v>25</v>
      </c>
      <c r="J215" s="69">
        <v>4.5</v>
      </c>
      <c r="K215" s="69">
        <f t="shared" si="19"/>
        <v>6.93</v>
      </c>
      <c r="L215" s="53">
        <f t="shared" si="20"/>
        <v>5.0787</v>
      </c>
      <c r="M215" s="53">
        <f t="shared" si="21"/>
        <v>61.5087</v>
      </c>
      <c r="N215" s="53">
        <f t="shared" si="22"/>
        <v>391.195332</v>
      </c>
      <c r="O215" s="53">
        <f t="shared" si="23"/>
        <v>0</v>
      </c>
      <c r="P215" s="53">
        <f t="shared" si="24"/>
        <v>391.195332</v>
      </c>
      <c r="Q215" s="53"/>
    </row>
    <row r="216" ht="46" customHeight="1" outlineLevel="1" spans="1:17">
      <c r="A216" s="25">
        <v>3.11</v>
      </c>
      <c r="B216" s="25" t="s">
        <v>122</v>
      </c>
      <c r="C216" s="72" t="s">
        <v>123</v>
      </c>
      <c r="D216" s="25" t="s">
        <v>109</v>
      </c>
      <c r="E216" s="64">
        <v>1</v>
      </c>
      <c r="F216" s="64"/>
      <c r="G216" s="64"/>
      <c r="H216" s="64">
        <v>100</v>
      </c>
      <c r="I216" s="64">
        <v>650</v>
      </c>
      <c r="J216" s="53">
        <v>50</v>
      </c>
      <c r="K216" s="69">
        <f t="shared" si="19"/>
        <v>112</v>
      </c>
      <c r="L216" s="53">
        <f t="shared" si="20"/>
        <v>82.08</v>
      </c>
      <c r="M216" s="53">
        <f t="shared" si="21"/>
        <v>994.08</v>
      </c>
      <c r="N216" s="53">
        <f t="shared" si="22"/>
        <v>994.08</v>
      </c>
      <c r="O216" s="53">
        <f t="shared" si="23"/>
        <v>0</v>
      </c>
      <c r="P216" s="53">
        <f t="shared" si="24"/>
        <v>0</v>
      </c>
      <c r="Q216" s="53"/>
    </row>
    <row r="217" ht="46" customHeight="1" outlineLevel="1" spans="1:17">
      <c r="A217" s="25">
        <v>3.12</v>
      </c>
      <c r="B217" s="25" t="s">
        <v>124</v>
      </c>
      <c r="C217" s="72" t="s">
        <v>125</v>
      </c>
      <c r="D217" s="25" t="s">
        <v>109</v>
      </c>
      <c r="E217" s="64">
        <v>1</v>
      </c>
      <c r="F217" s="64"/>
      <c r="G217" s="64"/>
      <c r="H217" s="64">
        <v>100</v>
      </c>
      <c r="I217" s="64">
        <v>580</v>
      </c>
      <c r="J217" s="64">
        <v>50</v>
      </c>
      <c r="K217" s="69">
        <f t="shared" si="19"/>
        <v>102.2</v>
      </c>
      <c r="L217" s="53">
        <f t="shared" si="20"/>
        <v>74.898</v>
      </c>
      <c r="M217" s="53">
        <f t="shared" si="21"/>
        <v>907.098</v>
      </c>
      <c r="N217" s="53">
        <f t="shared" si="22"/>
        <v>907.098</v>
      </c>
      <c r="O217" s="53">
        <f t="shared" si="23"/>
        <v>0</v>
      </c>
      <c r="P217" s="53">
        <f t="shared" si="24"/>
        <v>0</v>
      </c>
      <c r="Q217" s="53"/>
    </row>
    <row r="218" ht="46" customHeight="1" outlineLevel="1" spans="1:17">
      <c r="A218" s="25">
        <v>3.13</v>
      </c>
      <c r="B218" s="25" t="s">
        <v>130</v>
      </c>
      <c r="C218" s="70" t="s">
        <v>131</v>
      </c>
      <c r="D218" s="25" t="s">
        <v>84</v>
      </c>
      <c r="E218" s="64">
        <f>1.84+1.29+0.6</f>
        <v>3.73</v>
      </c>
      <c r="F218" s="64"/>
      <c r="G218" s="64"/>
      <c r="H218" s="73">
        <v>150</v>
      </c>
      <c r="I218" s="73">
        <v>500</v>
      </c>
      <c r="J218" s="53">
        <v>25</v>
      </c>
      <c r="K218" s="69">
        <f t="shared" si="19"/>
        <v>94.5</v>
      </c>
      <c r="L218" s="53">
        <f t="shared" si="20"/>
        <v>69.255</v>
      </c>
      <c r="M218" s="53">
        <f t="shared" si="21"/>
        <v>838.755</v>
      </c>
      <c r="N218" s="53">
        <f t="shared" si="22"/>
        <v>3128.55615</v>
      </c>
      <c r="O218" s="53">
        <f t="shared" si="23"/>
        <v>0</v>
      </c>
      <c r="P218" s="53">
        <f t="shared" si="24"/>
        <v>0</v>
      </c>
      <c r="Q218" s="53"/>
    </row>
    <row r="219" ht="46" customHeight="1" outlineLevel="1" spans="1:17">
      <c r="A219" s="25">
        <v>3.14</v>
      </c>
      <c r="B219" s="25" t="s">
        <v>132</v>
      </c>
      <c r="C219" s="70" t="s">
        <v>133</v>
      </c>
      <c r="D219" s="25" t="s">
        <v>84</v>
      </c>
      <c r="E219" s="64">
        <v>1.9</v>
      </c>
      <c r="F219" s="64"/>
      <c r="G219" s="64"/>
      <c r="H219" s="53">
        <v>150</v>
      </c>
      <c r="I219" s="53">
        <v>300</v>
      </c>
      <c r="J219" s="53">
        <v>25</v>
      </c>
      <c r="K219" s="69">
        <f t="shared" si="19"/>
        <v>66.5</v>
      </c>
      <c r="L219" s="53">
        <f t="shared" si="20"/>
        <v>48.735</v>
      </c>
      <c r="M219" s="53">
        <f t="shared" si="21"/>
        <v>590.235</v>
      </c>
      <c r="N219" s="53">
        <f t="shared" si="22"/>
        <v>1121.4465</v>
      </c>
      <c r="O219" s="53">
        <f t="shared" si="23"/>
        <v>0</v>
      </c>
      <c r="P219" s="53">
        <f t="shared" si="24"/>
        <v>0</v>
      </c>
      <c r="Q219" s="53"/>
    </row>
    <row r="220" ht="46" customHeight="1" outlineLevel="1" spans="1:17">
      <c r="A220" s="25">
        <v>3.15</v>
      </c>
      <c r="B220" s="25" t="s">
        <v>134</v>
      </c>
      <c r="C220" s="70" t="s">
        <v>135</v>
      </c>
      <c r="D220" s="25" t="s">
        <v>136</v>
      </c>
      <c r="E220" s="64">
        <v>1</v>
      </c>
      <c r="F220" s="64"/>
      <c r="G220" s="64"/>
      <c r="H220" s="53">
        <v>20</v>
      </c>
      <c r="I220" s="53">
        <v>40</v>
      </c>
      <c r="J220" s="53">
        <v>15</v>
      </c>
      <c r="K220" s="69">
        <f t="shared" si="19"/>
        <v>10.5</v>
      </c>
      <c r="L220" s="53">
        <f t="shared" si="20"/>
        <v>7.695</v>
      </c>
      <c r="M220" s="53">
        <f t="shared" si="21"/>
        <v>93.195</v>
      </c>
      <c r="N220" s="53">
        <f t="shared" si="22"/>
        <v>93.195</v>
      </c>
      <c r="O220" s="53">
        <f t="shared" si="23"/>
        <v>0</v>
      </c>
      <c r="P220" s="53">
        <f t="shared" si="24"/>
        <v>0</v>
      </c>
      <c r="Q220" s="53" t="s">
        <v>137</v>
      </c>
    </row>
    <row r="221" ht="46" customHeight="1" outlineLevel="1" spans="1:17">
      <c r="A221" s="25">
        <v>3.16</v>
      </c>
      <c r="B221" s="25" t="s">
        <v>138</v>
      </c>
      <c r="C221" s="70" t="s">
        <v>135</v>
      </c>
      <c r="D221" s="25" t="s">
        <v>136</v>
      </c>
      <c r="E221" s="64">
        <v>1</v>
      </c>
      <c r="F221" s="64"/>
      <c r="G221" s="64"/>
      <c r="H221" s="53">
        <v>30</v>
      </c>
      <c r="I221" s="53">
        <v>120</v>
      </c>
      <c r="J221" s="53">
        <v>15</v>
      </c>
      <c r="K221" s="69">
        <f t="shared" si="19"/>
        <v>23.1</v>
      </c>
      <c r="L221" s="53">
        <f t="shared" si="20"/>
        <v>16.929</v>
      </c>
      <c r="M221" s="53">
        <f t="shared" si="21"/>
        <v>205.029</v>
      </c>
      <c r="N221" s="53">
        <f t="shared" si="22"/>
        <v>205.029</v>
      </c>
      <c r="O221" s="53">
        <f t="shared" si="23"/>
        <v>0</v>
      </c>
      <c r="P221" s="53">
        <f t="shared" si="24"/>
        <v>0</v>
      </c>
      <c r="Q221" s="53" t="s">
        <v>137</v>
      </c>
    </row>
    <row r="222" ht="43" customHeight="1" spans="1:17">
      <c r="A222" s="25">
        <v>4</v>
      </c>
      <c r="B222" s="25" t="s">
        <v>34</v>
      </c>
      <c r="C222" s="25" t="s">
        <v>34</v>
      </c>
      <c r="D222" s="25"/>
      <c r="E222" s="64"/>
      <c r="F222" s="64"/>
      <c r="G222" s="64"/>
      <c r="H222" s="53"/>
      <c r="I222" s="53"/>
      <c r="J222" s="53"/>
      <c r="K222" s="69"/>
      <c r="L222" s="53"/>
      <c r="M222" s="53"/>
      <c r="N222" s="53">
        <f>SUM(N223:N227)</f>
        <v>4707.15519</v>
      </c>
      <c r="O222" s="53">
        <f>SUM(O223:O227)</f>
        <v>0</v>
      </c>
      <c r="P222" s="53">
        <f>SUM(P223:P227)</f>
        <v>3591.30039</v>
      </c>
      <c r="Q222" s="53"/>
    </row>
    <row r="223" ht="114" customHeight="1" outlineLevel="1" spans="1:17">
      <c r="A223" s="25">
        <v>4.1</v>
      </c>
      <c r="B223" s="25" t="s">
        <v>139</v>
      </c>
      <c r="C223" s="70" t="s">
        <v>140</v>
      </c>
      <c r="D223" s="25" t="s">
        <v>141</v>
      </c>
      <c r="E223" s="64">
        <f>5.86+3.12</f>
        <v>8.98</v>
      </c>
      <c r="F223" s="64"/>
      <c r="G223" s="64"/>
      <c r="H223" s="69">
        <v>45</v>
      </c>
      <c r="I223" s="69">
        <v>30</v>
      </c>
      <c r="J223" s="53">
        <v>25</v>
      </c>
      <c r="K223" s="69">
        <f t="shared" si="19"/>
        <v>14</v>
      </c>
      <c r="L223" s="53">
        <f t="shared" si="20"/>
        <v>10.26</v>
      </c>
      <c r="M223" s="53">
        <f t="shared" si="21"/>
        <v>124.26</v>
      </c>
      <c r="N223" s="53">
        <f t="shared" si="22"/>
        <v>1115.8548</v>
      </c>
      <c r="O223" s="53">
        <f t="shared" si="23"/>
        <v>0</v>
      </c>
      <c r="P223" s="53">
        <f t="shared" si="24"/>
        <v>0</v>
      </c>
      <c r="Q223" s="53"/>
    </row>
    <row r="224" ht="192" customHeight="1" outlineLevel="1" spans="1:17">
      <c r="A224" s="25">
        <v>4.2</v>
      </c>
      <c r="B224" s="25" t="s">
        <v>142</v>
      </c>
      <c r="C224" s="70" t="s">
        <v>168</v>
      </c>
      <c r="D224" s="25" t="s">
        <v>141</v>
      </c>
      <c r="E224" s="68">
        <f>17.1-9.3</f>
        <v>7.8</v>
      </c>
      <c r="F224" s="64"/>
      <c r="G224" s="64">
        <f>E224</f>
        <v>7.8</v>
      </c>
      <c r="H224" s="74">
        <v>70</v>
      </c>
      <c r="I224" s="74">
        <v>40</v>
      </c>
      <c r="J224" s="53">
        <v>28</v>
      </c>
      <c r="K224" s="69">
        <f t="shared" si="19"/>
        <v>19.32</v>
      </c>
      <c r="L224" s="53">
        <f t="shared" si="20"/>
        <v>14.1588</v>
      </c>
      <c r="M224" s="53">
        <f t="shared" si="21"/>
        <v>171.4788</v>
      </c>
      <c r="N224" s="53">
        <f t="shared" si="22"/>
        <v>1337.53464</v>
      </c>
      <c r="O224" s="53">
        <f t="shared" si="23"/>
        <v>0</v>
      </c>
      <c r="P224" s="53">
        <f t="shared" si="24"/>
        <v>1337.53464</v>
      </c>
      <c r="Q224" s="53"/>
    </row>
    <row r="225" ht="78" customHeight="1" outlineLevel="1" spans="1:17">
      <c r="A225" s="25">
        <v>4.4</v>
      </c>
      <c r="B225" s="25" t="s">
        <v>146</v>
      </c>
      <c r="C225" s="70" t="s">
        <v>147</v>
      </c>
      <c r="D225" s="25" t="s">
        <v>80</v>
      </c>
      <c r="E225" s="75">
        <f>9.3+8.39+9.06+3*0.2</f>
        <v>27.35</v>
      </c>
      <c r="F225" s="1"/>
      <c r="G225" s="64">
        <f>E225</f>
        <v>27.35</v>
      </c>
      <c r="H225" s="69">
        <v>22</v>
      </c>
      <c r="I225" s="69">
        <v>4</v>
      </c>
      <c r="J225" s="53">
        <v>3</v>
      </c>
      <c r="K225" s="69">
        <f t="shared" si="19"/>
        <v>4.06</v>
      </c>
      <c r="L225" s="53">
        <f t="shared" si="20"/>
        <v>2.9754</v>
      </c>
      <c r="M225" s="53">
        <f t="shared" si="21"/>
        <v>36.0354</v>
      </c>
      <c r="N225" s="53">
        <f t="shared" si="22"/>
        <v>985.56819</v>
      </c>
      <c r="O225" s="53">
        <f t="shared" si="23"/>
        <v>0</v>
      </c>
      <c r="P225" s="53">
        <f t="shared" si="24"/>
        <v>985.56819</v>
      </c>
      <c r="Q225" s="53"/>
    </row>
    <row r="226" ht="56.25" outlineLevel="1" spans="1:17">
      <c r="A226" s="25">
        <v>4.5</v>
      </c>
      <c r="B226" s="25" t="s">
        <v>148</v>
      </c>
      <c r="C226" s="70" t="s">
        <v>149</v>
      </c>
      <c r="D226" s="25" t="s">
        <v>84</v>
      </c>
      <c r="E226" s="68">
        <f>12+11.6</f>
        <v>23.6</v>
      </c>
      <c r="F226" s="64"/>
      <c r="G226" s="64">
        <f>E226</f>
        <v>23.6</v>
      </c>
      <c r="H226" s="53">
        <v>5</v>
      </c>
      <c r="I226" s="53">
        <v>5</v>
      </c>
      <c r="J226" s="53">
        <v>1</v>
      </c>
      <c r="K226" s="69">
        <f t="shared" si="19"/>
        <v>1.54</v>
      </c>
      <c r="L226" s="53">
        <f t="shared" si="20"/>
        <v>1.1286</v>
      </c>
      <c r="M226" s="53">
        <f t="shared" si="21"/>
        <v>13.6686</v>
      </c>
      <c r="N226" s="53">
        <f t="shared" si="22"/>
        <v>322.57896</v>
      </c>
      <c r="O226" s="53">
        <f t="shared" si="23"/>
        <v>0</v>
      </c>
      <c r="P226" s="53">
        <f t="shared" si="24"/>
        <v>322.57896</v>
      </c>
      <c r="Q226" s="80"/>
    </row>
    <row r="227" ht="78.75" outlineLevel="1" spans="1:17">
      <c r="A227" s="25">
        <v>4.6</v>
      </c>
      <c r="B227" s="25" t="s">
        <v>150</v>
      </c>
      <c r="C227" s="70" t="s">
        <v>151</v>
      </c>
      <c r="D227" s="25" t="s">
        <v>84</v>
      </c>
      <c r="E227" s="68">
        <f>3.03+4.58</f>
        <v>7.61</v>
      </c>
      <c r="F227" s="64"/>
      <c r="G227" s="64">
        <f>E227</f>
        <v>7.61</v>
      </c>
      <c r="H227" s="69">
        <v>70</v>
      </c>
      <c r="I227" s="69">
        <v>20</v>
      </c>
      <c r="J227" s="53">
        <v>10</v>
      </c>
      <c r="K227" s="69">
        <f t="shared" si="19"/>
        <v>14</v>
      </c>
      <c r="L227" s="53">
        <f t="shared" si="20"/>
        <v>10.26</v>
      </c>
      <c r="M227" s="53">
        <f t="shared" si="21"/>
        <v>124.26</v>
      </c>
      <c r="N227" s="53">
        <f t="shared" si="22"/>
        <v>945.6186</v>
      </c>
      <c r="O227" s="53">
        <f t="shared" si="23"/>
        <v>0</v>
      </c>
      <c r="P227" s="53">
        <f t="shared" si="24"/>
        <v>945.6186</v>
      </c>
      <c r="Q227" s="80"/>
    </row>
    <row r="228" spans="1:17">
      <c r="A228" s="25">
        <v>5</v>
      </c>
      <c r="B228" s="25" t="s">
        <v>35</v>
      </c>
      <c r="C228" s="25" t="s">
        <v>35</v>
      </c>
      <c r="D228" s="25"/>
      <c r="E228" s="64"/>
      <c r="F228" s="64"/>
      <c r="G228" s="64">
        <f>E228</f>
        <v>0</v>
      </c>
      <c r="H228" s="69"/>
      <c r="I228" s="69"/>
      <c r="J228" s="53"/>
      <c r="K228" s="69"/>
      <c r="L228" s="53"/>
      <c r="M228" s="53"/>
      <c r="N228" s="53">
        <f>SUM(N229:N232)</f>
        <v>8669.098308</v>
      </c>
      <c r="O228" s="53">
        <f>SUM(O229:O232)</f>
        <v>0</v>
      </c>
      <c r="P228" s="53">
        <f>SUM(P229:P232)</f>
        <v>7553.243508</v>
      </c>
      <c r="Q228" s="53"/>
    </row>
    <row r="229" ht="123.75" outlineLevel="1" spans="1:17">
      <c r="A229" s="25">
        <v>5.1</v>
      </c>
      <c r="B229" s="25" t="s">
        <v>139</v>
      </c>
      <c r="C229" s="70" t="s">
        <v>169</v>
      </c>
      <c r="D229" s="25" t="s">
        <v>141</v>
      </c>
      <c r="E229" s="64">
        <f>E223</f>
        <v>8.98</v>
      </c>
      <c r="F229" s="64"/>
      <c r="G229" s="64"/>
      <c r="H229" s="69">
        <v>45</v>
      </c>
      <c r="I229" s="69">
        <v>30</v>
      </c>
      <c r="J229" s="53">
        <v>25</v>
      </c>
      <c r="K229" s="69">
        <f t="shared" si="19"/>
        <v>14</v>
      </c>
      <c r="L229" s="53">
        <f t="shared" si="20"/>
        <v>10.26</v>
      </c>
      <c r="M229" s="53">
        <f t="shared" si="21"/>
        <v>124.26</v>
      </c>
      <c r="N229" s="53">
        <f t="shared" si="22"/>
        <v>1115.8548</v>
      </c>
      <c r="O229" s="53">
        <f t="shared" si="23"/>
        <v>0</v>
      </c>
      <c r="P229" s="53">
        <f t="shared" si="24"/>
        <v>0</v>
      </c>
      <c r="Q229" s="53"/>
    </row>
    <row r="230" ht="168.75" outlineLevel="1" spans="1:17">
      <c r="A230" s="25">
        <v>5.2</v>
      </c>
      <c r="B230" s="25" t="s">
        <v>142</v>
      </c>
      <c r="C230" s="70" t="s">
        <v>168</v>
      </c>
      <c r="D230" s="25" t="s">
        <v>141</v>
      </c>
      <c r="E230" s="68">
        <f>E224+E225</f>
        <v>35.15</v>
      </c>
      <c r="F230" s="64"/>
      <c r="G230" s="64">
        <f>E230</f>
        <v>35.15</v>
      </c>
      <c r="H230" s="74">
        <v>70</v>
      </c>
      <c r="I230" s="74">
        <v>42</v>
      </c>
      <c r="J230" s="53">
        <v>28</v>
      </c>
      <c r="K230" s="69">
        <f t="shared" si="19"/>
        <v>19.6</v>
      </c>
      <c r="L230" s="53">
        <f t="shared" si="20"/>
        <v>14.364</v>
      </c>
      <c r="M230" s="53">
        <f t="shared" si="21"/>
        <v>173.964</v>
      </c>
      <c r="N230" s="53">
        <f t="shared" si="22"/>
        <v>6114.8346</v>
      </c>
      <c r="O230" s="53">
        <f t="shared" si="23"/>
        <v>0</v>
      </c>
      <c r="P230" s="53">
        <f t="shared" si="24"/>
        <v>6114.8346</v>
      </c>
      <c r="Q230" s="53"/>
    </row>
    <row r="231" ht="56.25" outlineLevel="1" spans="1:17">
      <c r="A231" s="25">
        <v>5.4</v>
      </c>
      <c r="B231" s="25" t="s">
        <v>148</v>
      </c>
      <c r="C231" s="70" t="s">
        <v>149</v>
      </c>
      <c r="D231" s="25" t="s">
        <v>84</v>
      </c>
      <c r="E231" s="68">
        <f>E226</f>
        <v>23.6</v>
      </c>
      <c r="F231" s="64"/>
      <c r="G231" s="64">
        <f>E231</f>
        <v>23.6</v>
      </c>
      <c r="H231" s="53">
        <v>5</v>
      </c>
      <c r="I231" s="53">
        <v>5</v>
      </c>
      <c r="J231" s="53">
        <v>1</v>
      </c>
      <c r="K231" s="69">
        <f t="shared" si="19"/>
        <v>1.54</v>
      </c>
      <c r="L231" s="53">
        <f t="shared" si="20"/>
        <v>1.1286</v>
      </c>
      <c r="M231" s="53">
        <f t="shared" si="21"/>
        <v>13.6686</v>
      </c>
      <c r="N231" s="53">
        <f t="shared" si="22"/>
        <v>322.57896</v>
      </c>
      <c r="O231" s="53">
        <f t="shared" si="23"/>
        <v>0</v>
      </c>
      <c r="P231" s="53">
        <f t="shared" si="24"/>
        <v>322.57896</v>
      </c>
      <c r="Q231" s="80"/>
    </row>
    <row r="232" ht="78.75" outlineLevel="1" spans="1:17">
      <c r="A232" s="25">
        <v>5.5</v>
      </c>
      <c r="B232" s="25" t="s">
        <v>150</v>
      </c>
      <c r="C232" s="70" t="s">
        <v>151</v>
      </c>
      <c r="D232" s="25" t="s">
        <v>84</v>
      </c>
      <c r="E232" s="68">
        <f>E227</f>
        <v>7.61</v>
      </c>
      <c r="F232" s="64"/>
      <c r="G232" s="64">
        <f>E232</f>
        <v>7.61</v>
      </c>
      <c r="H232" s="69">
        <v>70</v>
      </c>
      <c r="I232" s="69">
        <v>28</v>
      </c>
      <c r="J232" s="69">
        <v>20</v>
      </c>
      <c r="K232" s="69">
        <f t="shared" si="19"/>
        <v>16.52</v>
      </c>
      <c r="L232" s="53">
        <f t="shared" si="20"/>
        <v>12.1068</v>
      </c>
      <c r="M232" s="53">
        <f t="shared" si="21"/>
        <v>146.6268</v>
      </c>
      <c r="N232" s="53">
        <f t="shared" si="22"/>
        <v>1115.829948</v>
      </c>
      <c r="O232" s="53">
        <f t="shared" si="23"/>
        <v>0</v>
      </c>
      <c r="P232" s="53">
        <f t="shared" si="24"/>
        <v>1115.829948</v>
      </c>
      <c r="Q232" s="80"/>
    </row>
  </sheetData>
  <autoFilter ref="A4:W232">
    <extLst/>
  </autoFilter>
  <mergeCells count="17">
    <mergeCell ref="A1:Q1"/>
    <mergeCell ref="H2:L2"/>
    <mergeCell ref="A2:A4"/>
    <mergeCell ref="B2:B4"/>
    <mergeCell ref="C2:C4"/>
    <mergeCell ref="D2:D4"/>
    <mergeCell ref="E2:E4"/>
    <mergeCell ref="F2:F4"/>
    <mergeCell ref="G2:G4"/>
    <mergeCell ref="H3:H4"/>
    <mergeCell ref="I3:I4"/>
    <mergeCell ref="J3:J4"/>
    <mergeCell ref="M2:M4"/>
    <mergeCell ref="N2:N4"/>
    <mergeCell ref="O2:O4"/>
    <mergeCell ref="P2:P4"/>
    <mergeCell ref="Q2:Q4"/>
  </mergeCells>
  <pageMargins left="0.7" right="0.7" top="0.75" bottom="0.75" header="0.3" footer="0.3"/>
  <pageSetup paperSize="9" scale="63" fitToHeight="0" orientation="landscape"/>
  <headerFooter/>
  <colBreaks count="1" manualBreakCount="1">
    <brk id="17"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88"/>
  <sheetViews>
    <sheetView view="pageBreakPreview" zoomScaleNormal="85" topLeftCell="A268" workbookViewId="0">
      <selection activeCell="H292" sqref="H292"/>
    </sheetView>
  </sheetViews>
  <sheetFormatPr defaultColWidth="9" defaultRowHeight="13.5"/>
  <cols>
    <col min="1" max="1" width="3.625" style="1" customWidth="1"/>
    <col min="2" max="2" width="16.125" style="1" customWidth="1"/>
    <col min="3" max="3" width="29.25" style="1" customWidth="1"/>
    <col min="4" max="4" width="3.625" style="1" customWidth="1"/>
    <col min="5" max="5" width="6.625" style="3" customWidth="1"/>
    <col min="6" max="6" width="9.875" style="3" customWidth="1"/>
    <col min="7" max="7" width="6.625" style="4" customWidth="1"/>
    <col min="8" max="8" width="10" style="3" customWidth="1"/>
    <col min="9" max="9" width="6.625" style="3" customWidth="1"/>
    <col min="10" max="10" width="7.125" style="5" customWidth="1"/>
    <col min="11" max="11" width="8.75" style="3" customWidth="1"/>
    <col min="12" max="12" width="12.625" style="3" customWidth="1"/>
    <col min="13" max="13" width="9.375" style="3" customWidth="1"/>
    <col min="14" max="14" width="9.625" style="6" customWidth="1"/>
    <col min="15" max="16" width="9.625" style="3" customWidth="1"/>
    <col min="17" max="17" width="8" style="1" customWidth="1"/>
    <col min="18" max="16384" width="9" style="1"/>
  </cols>
  <sheetData>
    <row r="1" s="1" customFormat="1" ht="27" customHeight="1" spans="1:17">
      <c r="A1" s="7" t="s">
        <v>181</v>
      </c>
      <c r="B1" s="7"/>
      <c r="C1" s="7"/>
      <c r="D1" s="7"/>
      <c r="E1" s="8"/>
      <c r="F1" s="8"/>
      <c r="G1" s="8"/>
      <c r="H1" s="8"/>
      <c r="I1" s="8"/>
      <c r="J1" s="42"/>
      <c r="K1" s="8"/>
      <c r="L1" s="8"/>
      <c r="M1" s="8"/>
      <c r="N1" s="8"/>
      <c r="O1" s="8"/>
      <c r="P1" s="8"/>
      <c r="Q1" s="7"/>
    </row>
    <row r="2" s="2" customFormat="1" ht="14.25" spans="1:17">
      <c r="A2" s="9" t="s">
        <v>1</v>
      </c>
      <c r="B2" s="10" t="s">
        <v>59</v>
      </c>
      <c r="C2" s="10" t="s">
        <v>60</v>
      </c>
      <c r="D2" s="10" t="s">
        <v>61</v>
      </c>
      <c r="E2" s="11" t="s">
        <v>62</v>
      </c>
      <c r="F2" s="12" t="s">
        <v>63</v>
      </c>
      <c r="G2" s="13" t="s">
        <v>65</v>
      </c>
      <c r="H2" s="14"/>
      <c r="I2" s="14"/>
      <c r="J2" s="43"/>
      <c r="K2" s="14"/>
      <c r="L2" s="14"/>
      <c r="M2" s="44"/>
      <c r="N2" s="45" t="s">
        <v>182</v>
      </c>
      <c r="O2" s="45" t="s">
        <v>67</v>
      </c>
      <c r="P2" s="12" t="s">
        <v>68</v>
      </c>
      <c r="Q2" s="19" t="s">
        <v>183</v>
      </c>
    </row>
    <row r="3" s="2" customFormat="1" ht="48" spans="1:17">
      <c r="A3" s="15"/>
      <c r="B3" s="16"/>
      <c r="C3" s="16"/>
      <c r="D3" s="16"/>
      <c r="E3" s="17"/>
      <c r="F3" s="18"/>
      <c r="G3" s="19" t="s">
        <v>70</v>
      </c>
      <c r="H3" s="19" t="s">
        <v>184</v>
      </c>
      <c r="I3" s="19" t="s">
        <v>185</v>
      </c>
      <c r="J3" s="46" t="s">
        <v>186</v>
      </c>
      <c r="K3" s="19" t="s">
        <v>72</v>
      </c>
      <c r="L3" s="19" t="s">
        <v>73</v>
      </c>
      <c r="M3" s="19" t="s">
        <v>74</v>
      </c>
      <c r="N3" s="47"/>
      <c r="O3" s="47"/>
      <c r="P3" s="18"/>
      <c r="Q3" s="19"/>
    </row>
    <row r="4" s="2" customFormat="1" ht="14.25" spans="1:17">
      <c r="A4" s="20"/>
      <c r="B4" s="21"/>
      <c r="C4" s="21"/>
      <c r="D4" s="21"/>
      <c r="E4" s="22"/>
      <c r="F4" s="23"/>
      <c r="G4" s="19"/>
      <c r="H4" s="24" t="s">
        <v>187</v>
      </c>
      <c r="I4" s="19" t="s">
        <v>188</v>
      </c>
      <c r="J4" s="46" t="s">
        <v>189</v>
      </c>
      <c r="K4" s="19"/>
      <c r="L4" s="46">
        <v>0.14</v>
      </c>
      <c r="M4" s="46">
        <v>0.09</v>
      </c>
      <c r="N4" s="48"/>
      <c r="O4" s="48"/>
      <c r="P4" s="23"/>
      <c r="Q4" s="19"/>
    </row>
    <row r="5" s="2" customFormat="1" ht="14.25" spans="1:17">
      <c r="A5" s="25" t="s">
        <v>75</v>
      </c>
      <c r="B5" s="25" t="s">
        <v>190</v>
      </c>
      <c r="C5" s="25" t="s">
        <v>191</v>
      </c>
      <c r="D5" s="25" t="s">
        <v>192</v>
      </c>
      <c r="E5" s="26"/>
      <c r="F5" s="26"/>
      <c r="G5" s="19"/>
      <c r="H5" s="19"/>
      <c r="I5" s="19"/>
      <c r="J5" s="46"/>
      <c r="K5" s="19"/>
      <c r="L5" s="19"/>
      <c r="M5" s="19"/>
      <c r="N5" s="19"/>
      <c r="O5" s="19"/>
      <c r="P5" s="19"/>
      <c r="Q5" s="53"/>
    </row>
    <row r="6" s="1" customFormat="1" ht="48" outlineLevel="1" spans="1:17">
      <c r="A6" s="27">
        <v>1</v>
      </c>
      <c r="B6" s="28" t="s">
        <v>193</v>
      </c>
      <c r="C6" s="29" t="s">
        <v>194</v>
      </c>
      <c r="D6" s="28" t="s">
        <v>136</v>
      </c>
      <c r="E6" s="30">
        <v>7</v>
      </c>
      <c r="F6" s="30"/>
      <c r="G6" s="31">
        <v>15</v>
      </c>
      <c r="H6" s="31">
        <f>I6*(1+J6)</f>
        <v>25.3</v>
      </c>
      <c r="I6" s="31">
        <v>25.3</v>
      </c>
      <c r="J6" s="49">
        <v>0</v>
      </c>
      <c r="K6" s="31">
        <v>1</v>
      </c>
      <c r="L6" s="50">
        <f>(G6+H6+K6)*$L$4</f>
        <v>5.782</v>
      </c>
      <c r="M6" s="19">
        <f>(G6+H6+K6+L6)*$M$4</f>
        <v>4.23738</v>
      </c>
      <c r="N6" s="35">
        <f t="shared" ref="N6:N43" si="0">G6+H6+K6+L6+M6</f>
        <v>51.31938</v>
      </c>
      <c r="O6" s="31">
        <f t="shared" ref="O6:O42" si="1">N6*E6</f>
        <v>359.23566</v>
      </c>
      <c r="P6" s="31">
        <f>F6*N6</f>
        <v>0</v>
      </c>
      <c r="Q6" s="53" t="s">
        <v>195</v>
      </c>
    </row>
    <row r="7" s="1" customFormat="1" ht="48" outlineLevel="1" spans="1:17">
      <c r="A7" s="27">
        <v>2</v>
      </c>
      <c r="B7" s="28" t="s">
        <v>196</v>
      </c>
      <c r="C7" s="29" t="s">
        <v>197</v>
      </c>
      <c r="D7" s="28" t="s">
        <v>136</v>
      </c>
      <c r="E7" s="30">
        <v>1</v>
      </c>
      <c r="F7" s="30"/>
      <c r="G7" s="31">
        <v>15</v>
      </c>
      <c r="H7" s="31">
        <f t="shared" ref="H7:H20" si="2">I7*(1+J7)</f>
        <v>20</v>
      </c>
      <c r="I7" s="31">
        <v>20</v>
      </c>
      <c r="J7" s="49">
        <v>0</v>
      </c>
      <c r="K7" s="31">
        <v>1</v>
      </c>
      <c r="L7" s="50">
        <f t="shared" ref="L7:L70" si="3">(G7+H7+K7)*$L$4</f>
        <v>5.04</v>
      </c>
      <c r="M7" s="19">
        <f t="shared" ref="M7:M70" si="4">(G7+H7+K7+L7)*$M$4</f>
        <v>3.6936</v>
      </c>
      <c r="N7" s="35">
        <f t="shared" si="0"/>
        <v>44.7336</v>
      </c>
      <c r="O7" s="31">
        <f t="shared" si="1"/>
        <v>44.7336</v>
      </c>
      <c r="P7" s="31">
        <f>F7*N7</f>
        <v>0</v>
      </c>
      <c r="Q7" s="53" t="s">
        <v>195</v>
      </c>
    </row>
    <row r="8" s="1" customFormat="1" ht="48" outlineLevel="1" spans="1:17">
      <c r="A8" s="27">
        <v>3</v>
      </c>
      <c r="B8" s="28" t="s">
        <v>198</v>
      </c>
      <c r="C8" s="29" t="s">
        <v>199</v>
      </c>
      <c r="D8" s="28" t="s">
        <v>136</v>
      </c>
      <c r="E8" s="30">
        <v>1</v>
      </c>
      <c r="F8" s="30"/>
      <c r="G8" s="31">
        <v>15</v>
      </c>
      <c r="H8" s="31">
        <f t="shared" si="2"/>
        <v>25</v>
      </c>
      <c r="I8" s="31">
        <v>25</v>
      </c>
      <c r="J8" s="49">
        <v>0</v>
      </c>
      <c r="K8" s="31">
        <v>1</v>
      </c>
      <c r="L8" s="50">
        <f t="shared" si="3"/>
        <v>5.74</v>
      </c>
      <c r="M8" s="19">
        <f t="shared" si="4"/>
        <v>4.2066</v>
      </c>
      <c r="N8" s="35">
        <f t="shared" si="0"/>
        <v>50.9466</v>
      </c>
      <c r="O8" s="31">
        <f t="shared" si="1"/>
        <v>50.9466</v>
      </c>
      <c r="P8" s="31">
        <f t="shared" ref="P7:P42" si="5">F8*N8</f>
        <v>0</v>
      </c>
      <c r="Q8" s="53" t="s">
        <v>195</v>
      </c>
    </row>
    <row r="9" s="1" customFormat="1" ht="48" outlineLevel="1" spans="1:17">
      <c r="A9" s="27">
        <v>4</v>
      </c>
      <c r="B9" s="28" t="s">
        <v>200</v>
      </c>
      <c r="C9" s="29" t="s">
        <v>201</v>
      </c>
      <c r="D9" s="28" t="s">
        <v>136</v>
      </c>
      <c r="E9" s="30">
        <v>1</v>
      </c>
      <c r="F9" s="30"/>
      <c r="G9" s="31">
        <v>15</v>
      </c>
      <c r="H9" s="31">
        <f t="shared" si="2"/>
        <v>55</v>
      </c>
      <c r="I9" s="31">
        <v>55</v>
      </c>
      <c r="J9" s="49">
        <v>0</v>
      </c>
      <c r="K9" s="31">
        <v>1</v>
      </c>
      <c r="L9" s="50">
        <f t="shared" si="3"/>
        <v>9.94</v>
      </c>
      <c r="M9" s="19">
        <f t="shared" si="4"/>
        <v>7.2846</v>
      </c>
      <c r="N9" s="35">
        <f t="shared" si="0"/>
        <v>88.2246</v>
      </c>
      <c r="O9" s="31">
        <f t="shared" si="1"/>
        <v>88.2246</v>
      </c>
      <c r="P9" s="31">
        <f t="shared" si="5"/>
        <v>0</v>
      </c>
      <c r="Q9" s="53" t="s">
        <v>195</v>
      </c>
    </row>
    <row r="10" s="1" customFormat="1" ht="48" outlineLevel="1" spans="1:17">
      <c r="A10" s="27">
        <v>5</v>
      </c>
      <c r="B10" s="28" t="s">
        <v>202</v>
      </c>
      <c r="C10" s="29" t="s">
        <v>203</v>
      </c>
      <c r="D10" s="28" t="s">
        <v>136</v>
      </c>
      <c r="E10" s="30">
        <v>3</v>
      </c>
      <c r="F10" s="30"/>
      <c r="G10" s="31">
        <v>18</v>
      </c>
      <c r="H10" s="31">
        <f t="shared" si="2"/>
        <v>200</v>
      </c>
      <c r="I10" s="31">
        <v>200</v>
      </c>
      <c r="J10" s="49">
        <v>0</v>
      </c>
      <c r="K10" s="31">
        <v>1</v>
      </c>
      <c r="L10" s="50">
        <f t="shared" si="3"/>
        <v>30.66</v>
      </c>
      <c r="M10" s="19">
        <f t="shared" si="4"/>
        <v>22.4694</v>
      </c>
      <c r="N10" s="35">
        <f t="shared" si="0"/>
        <v>272.1294</v>
      </c>
      <c r="O10" s="31">
        <f t="shared" si="1"/>
        <v>816.3882</v>
      </c>
      <c r="P10" s="31">
        <f t="shared" si="5"/>
        <v>0</v>
      </c>
      <c r="Q10" s="53" t="s">
        <v>195</v>
      </c>
    </row>
    <row r="11" s="1" customFormat="1" ht="48" outlineLevel="1" spans="1:17">
      <c r="A11" s="27">
        <v>6</v>
      </c>
      <c r="B11" s="28" t="s">
        <v>204</v>
      </c>
      <c r="C11" s="29" t="s">
        <v>205</v>
      </c>
      <c r="D11" s="28" t="s">
        <v>136</v>
      </c>
      <c r="E11" s="30">
        <v>1</v>
      </c>
      <c r="F11" s="30"/>
      <c r="G11" s="32">
        <v>18</v>
      </c>
      <c r="H11" s="31">
        <f t="shared" si="2"/>
        <v>110</v>
      </c>
      <c r="I11" s="31">
        <v>110</v>
      </c>
      <c r="J11" s="49">
        <v>0</v>
      </c>
      <c r="K11" s="31">
        <v>1</v>
      </c>
      <c r="L11" s="50">
        <f t="shared" si="3"/>
        <v>18.06</v>
      </c>
      <c r="M11" s="19">
        <f t="shared" si="4"/>
        <v>13.2354</v>
      </c>
      <c r="N11" s="35">
        <f t="shared" si="0"/>
        <v>160.2954</v>
      </c>
      <c r="O11" s="31">
        <f t="shared" si="1"/>
        <v>160.2954</v>
      </c>
      <c r="P11" s="31">
        <f t="shared" si="5"/>
        <v>0</v>
      </c>
      <c r="Q11" s="53" t="s">
        <v>195</v>
      </c>
    </row>
    <row r="12" s="1" customFormat="1" ht="48" outlineLevel="1" spans="1:17">
      <c r="A12" s="27">
        <v>7</v>
      </c>
      <c r="B12" s="28" t="s">
        <v>206</v>
      </c>
      <c r="C12" s="29" t="s">
        <v>207</v>
      </c>
      <c r="D12" s="28" t="s">
        <v>136</v>
      </c>
      <c r="E12" s="30">
        <v>1</v>
      </c>
      <c r="F12" s="30"/>
      <c r="G12" s="31">
        <v>30</v>
      </c>
      <c r="H12" s="31">
        <f t="shared" si="2"/>
        <v>500</v>
      </c>
      <c r="I12" s="31">
        <v>500</v>
      </c>
      <c r="J12" s="49">
        <v>0</v>
      </c>
      <c r="K12" s="31">
        <v>10</v>
      </c>
      <c r="L12" s="50">
        <f t="shared" si="3"/>
        <v>75.6</v>
      </c>
      <c r="M12" s="19">
        <f t="shared" si="4"/>
        <v>55.404</v>
      </c>
      <c r="N12" s="35">
        <f t="shared" si="0"/>
        <v>671.004</v>
      </c>
      <c r="O12" s="31">
        <f t="shared" si="1"/>
        <v>671.004</v>
      </c>
      <c r="P12" s="31">
        <f t="shared" si="5"/>
        <v>0</v>
      </c>
      <c r="Q12" s="53" t="s">
        <v>195</v>
      </c>
    </row>
    <row r="13" s="1" customFormat="1" ht="48" outlineLevel="1" spans="1:17">
      <c r="A13" s="27">
        <v>8</v>
      </c>
      <c r="B13" s="28" t="s">
        <v>208</v>
      </c>
      <c r="C13" s="29" t="s">
        <v>209</v>
      </c>
      <c r="D13" s="28" t="s">
        <v>136</v>
      </c>
      <c r="E13" s="30">
        <v>1</v>
      </c>
      <c r="F13" s="30"/>
      <c r="G13" s="31">
        <v>18</v>
      </c>
      <c r="H13" s="31">
        <f t="shared" si="2"/>
        <v>60</v>
      </c>
      <c r="I13" s="31">
        <v>60</v>
      </c>
      <c r="J13" s="49">
        <v>0</v>
      </c>
      <c r="K13" s="31">
        <v>1.5</v>
      </c>
      <c r="L13" s="50">
        <f t="shared" si="3"/>
        <v>11.13</v>
      </c>
      <c r="M13" s="19">
        <f t="shared" si="4"/>
        <v>8.1567</v>
      </c>
      <c r="N13" s="35">
        <f t="shared" si="0"/>
        <v>98.7867</v>
      </c>
      <c r="O13" s="31">
        <f t="shared" si="1"/>
        <v>98.7867</v>
      </c>
      <c r="P13" s="31">
        <f t="shared" si="5"/>
        <v>0</v>
      </c>
      <c r="Q13" s="53" t="s">
        <v>195</v>
      </c>
    </row>
    <row r="14" s="1" customFormat="1" ht="36" outlineLevel="1" spans="1:17">
      <c r="A14" s="27">
        <v>9</v>
      </c>
      <c r="B14" s="28" t="s">
        <v>210</v>
      </c>
      <c r="C14" s="29" t="s">
        <v>211</v>
      </c>
      <c r="D14" s="28" t="s">
        <v>136</v>
      </c>
      <c r="E14" s="30">
        <v>3</v>
      </c>
      <c r="F14" s="30"/>
      <c r="G14" s="31">
        <v>15</v>
      </c>
      <c r="H14" s="31">
        <f t="shared" si="2"/>
        <v>50</v>
      </c>
      <c r="I14" s="31">
        <v>50</v>
      </c>
      <c r="J14" s="49">
        <v>0</v>
      </c>
      <c r="K14" s="31">
        <v>1.5</v>
      </c>
      <c r="L14" s="50">
        <f t="shared" si="3"/>
        <v>9.31</v>
      </c>
      <c r="M14" s="19">
        <f t="shared" si="4"/>
        <v>6.8229</v>
      </c>
      <c r="N14" s="35">
        <f t="shared" si="0"/>
        <v>82.6329</v>
      </c>
      <c r="O14" s="31">
        <f t="shared" si="1"/>
        <v>247.8987</v>
      </c>
      <c r="P14" s="31">
        <f t="shared" si="5"/>
        <v>0</v>
      </c>
      <c r="Q14" s="53" t="s">
        <v>195</v>
      </c>
    </row>
    <row r="15" s="1" customFormat="1" ht="36" outlineLevel="1" spans="1:17">
      <c r="A15" s="27">
        <v>10</v>
      </c>
      <c r="B15" s="28" t="s">
        <v>212</v>
      </c>
      <c r="C15" s="29" t="s">
        <v>213</v>
      </c>
      <c r="D15" s="28" t="s">
        <v>136</v>
      </c>
      <c r="E15" s="30">
        <v>1</v>
      </c>
      <c r="F15" s="30"/>
      <c r="G15" s="31">
        <v>5</v>
      </c>
      <c r="H15" s="31">
        <f t="shared" si="2"/>
        <v>45</v>
      </c>
      <c r="I15" s="31">
        <v>45</v>
      </c>
      <c r="J15" s="49">
        <v>0</v>
      </c>
      <c r="K15" s="31">
        <v>1.5</v>
      </c>
      <c r="L15" s="50">
        <f t="shared" si="3"/>
        <v>7.21</v>
      </c>
      <c r="M15" s="19">
        <f t="shared" si="4"/>
        <v>5.2839</v>
      </c>
      <c r="N15" s="35">
        <f t="shared" si="0"/>
        <v>63.9939</v>
      </c>
      <c r="O15" s="31">
        <f t="shared" si="1"/>
        <v>63.9939</v>
      </c>
      <c r="P15" s="31">
        <f t="shared" si="5"/>
        <v>0</v>
      </c>
      <c r="Q15" s="53" t="s">
        <v>195</v>
      </c>
    </row>
    <row r="16" s="1" customFormat="1" ht="48" outlineLevel="1" spans="1:17">
      <c r="A16" s="27">
        <v>11</v>
      </c>
      <c r="B16" s="28" t="s">
        <v>214</v>
      </c>
      <c r="C16" s="29" t="s">
        <v>215</v>
      </c>
      <c r="D16" s="28" t="s">
        <v>136</v>
      </c>
      <c r="E16" s="30">
        <v>21</v>
      </c>
      <c r="F16" s="30"/>
      <c r="G16" s="31">
        <v>8</v>
      </c>
      <c r="H16" s="31">
        <f t="shared" si="2"/>
        <v>16</v>
      </c>
      <c r="I16" s="31">
        <v>16</v>
      </c>
      <c r="J16" s="49">
        <v>0</v>
      </c>
      <c r="K16" s="31">
        <v>0.5</v>
      </c>
      <c r="L16" s="50">
        <f t="shared" si="3"/>
        <v>3.43</v>
      </c>
      <c r="M16" s="19">
        <f t="shared" si="4"/>
        <v>2.5137</v>
      </c>
      <c r="N16" s="35">
        <f t="shared" si="0"/>
        <v>30.4437</v>
      </c>
      <c r="O16" s="31">
        <f t="shared" si="1"/>
        <v>639.3177</v>
      </c>
      <c r="P16" s="31">
        <f t="shared" si="5"/>
        <v>0</v>
      </c>
      <c r="Q16" s="53" t="s">
        <v>216</v>
      </c>
    </row>
    <row r="17" s="1" customFormat="1" ht="48" outlineLevel="1" spans="1:17">
      <c r="A17" s="27">
        <v>12</v>
      </c>
      <c r="B17" s="28" t="s">
        <v>217</v>
      </c>
      <c r="C17" s="29" t="s">
        <v>218</v>
      </c>
      <c r="D17" s="28" t="s">
        <v>136</v>
      </c>
      <c r="E17" s="30">
        <v>1</v>
      </c>
      <c r="F17" s="30"/>
      <c r="G17" s="31">
        <v>8</v>
      </c>
      <c r="H17" s="31">
        <f t="shared" si="2"/>
        <v>18</v>
      </c>
      <c r="I17" s="31">
        <v>18</v>
      </c>
      <c r="J17" s="49">
        <v>0</v>
      </c>
      <c r="K17" s="31">
        <v>0.5</v>
      </c>
      <c r="L17" s="50">
        <f t="shared" si="3"/>
        <v>3.71</v>
      </c>
      <c r="M17" s="19">
        <f t="shared" si="4"/>
        <v>2.7189</v>
      </c>
      <c r="N17" s="35">
        <f t="shared" si="0"/>
        <v>32.9289</v>
      </c>
      <c r="O17" s="31">
        <f t="shared" si="1"/>
        <v>32.9289</v>
      </c>
      <c r="P17" s="31">
        <f t="shared" si="5"/>
        <v>0</v>
      </c>
      <c r="Q17" s="53" t="s">
        <v>216</v>
      </c>
    </row>
    <row r="18" s="1" customFormat="1" ht="48" outlineLevel="1" spans="1:17">
      <c r="A18" s="27">
        <v>13</v>
      </c>
      <c r="B18" s="28" t="s">
        <v>219</v>
      </c>
      <c r="C18" s="29" t="s">
        <v>220</v>
      </c>
      <c r="D18" s="28" t="s">
        <v>136</v>
      </c>
      <c r="E18" s="30">
        <v>1</v>
      </c>
      <c r="F18" s="30"/>
      <c r="G18" s="31">
        <v>8</v>
      </c>
      <c r="H18" s="31">
        <f t="shared" si="2"/>
        <v>18</v>
      </c>
      <c r="I18" s="31">
        <v>18</v>
      </c>
      <c r="J18" s="49">
        <v>0</v>
      </c>
      <c r="K18" s="31">
        <v>0.5</v>
      </c>
      <c r="L18" s="50">
        <f t="shared" si="3"/>
        <v>3.71</v>
      </c>
      <c r="M18" s="19">
        <f t="shared" si="4"/>
        <v>2.7189</v>
      </c>
      <c r="N18" s="35">
        <f t="shared" si="0"/>
        <v>32.9289</v>
      </c>
      <c r="O18" s="31">
        <f t="shared" si="1"/>
        <v>32.9289</v>
      </c>
      <c r="P18" s="31">
        <f t="shared" si="5"/>
        <v>0</v>
      </c>
      <c r="Q18" s="53" t="s">
        <v>216</v>
      </c>
    </row>
    <row r="19" s="1" customFormat="1" ht="48" outlineLevel="1" spans="1:17">
      <c r="A19" s="27">
        <v>14</v>
      </c>
      <c r="B19" s="28" t="s">
        <v>221</v>
      </c>
      <c r="C19" s="29" t="s">
        <v>222</v>
      </c>
      <c r="D19" s="28" t="s">
        <v>136</v>
      </c>
      <c r="E19" s="30">
        <v>1</v>
      </c>
      <c r="F19" s="30"/>
      <c r="G19" s="31">
        <v>8</v>
      </c>
      <c r="H19" s="31">
        <f t="shared" si="2"/>
        <v>27</v>
      </c>
      <c r="I19" s="31">
        <v>27</v>
      </c>
      <c r="J19" s="49">
        <v>0</v>
      </c>
      <c r="K19" s="31">
        <v>0.5</v>
      </c>
      <c r="L19" s="50">
        <f t="shared" si="3"/>
        <v>4.97</v>
      </c>
      <c r="M19" s="19">
        <f t="shared" si="4"/>
        <v>3.6423</v>
      </c>
      <c r="N19" s="35">
        <f t="shared" si="0"/>
        <v>44.1123</v>
      </c>
      <c r="O19" s="31">
        <f t="shared" si="1"/>
        <v>44.1123</v>
      </c>
      <c r="P19" s="31">
        <f t="shared" si="5"/>
        <v>0</v>
      </c>
      <c r="Q19" s="53" t="s">
        <v>216</v>
      </c>
    </row>
    <row r="20" s="1" customFormat="1" ht="48" outlineLevel="1" spans="1:17">
      <c r="A20" s="27">
        <v>15</v>
      </c>
      <c r="B20" s="28" t="s">
        <v>223</v>
      </c>
      <c r="C20" s="29" t="s">
        <v>224</v>
      </c>
      <c r="D20" s="28" t="s">
        <v>136</v>
      </c>
      <c r="E20" s="30">
        <v>1</v>
      </c>
      <c r="F20" s="30"/>
      <c r="G20" s="31">
        <v>8</v>
      </c>
      <c r="H20" s="31">
        <f t="shared" si="2"/>
        <v>27</v>
      </c>
      <c r="I20" s="31">
        <v>27</v>
      </c>
      <c r="J20" s="49">
        <v>0</v>
      </c>
      <c r="K20" s="31">
        <v>0.5</v>
      </c>
      <c r="L20" s="50">
        <f t="shared" si="3"/>
        <v>4.97</v>
      </c>
      <c r="M20" s="19">
        <f t="shared" si="4"/>
        <v>3.6423</v>
      </c>
      <c r="N20" s="35">
        <f t="shared" si="0"/>
        <v>44.1123</v>
      </c>
      <c r="O20" s="31">
        <f t="shared" si="1"/>
        <v>44.1123</v>
      </c>
      <c r="P20" s="31">
        <f t="shared" si="5"/>
        <v>0</v>
      </c>
      <c r="Q20" s="53" t="s">
        <v>216</v>
      </c>
    </row>
    <row r="21" s="1" customFormat="1" ht="48" outlineLevel="1" spans="1:17">
      <c r="A21" s="27">
        <v>16</v>
      </c>
      <c r="B21" s="28" t="s">
        <v>225</v>
      </c>
      <c r="C21" s="29" t="s">
        <v>226</v>
      </c>
      <c r="D21" s="28" t="s">
        <v>136</v>
      </c>
      <c r="E21" s="30">
        <v>1</v>
      </c>
      <c r="F21" s="30"/>
      <c r="G21" s="31">
        <v>8</v>
      </c>
      <c r="H21" s="31">
        <f t="shared" ref="H20:H42" si="6">I21*(1+J21)</f>
        <v>46</v>
      </c>
      <c r="I21" s="31">
        <v>46</v>
      </c>
      <c r="J21" s="49">
        <v>0</v>
      </c>
      <c r="K21" s="31">
        <v>0.5</v>
      </c>
      <c r="L21" s="50">
        <f t="shared" si="3"/>
        <v>7.63</v>
      </c>
      <c r="M21" s="19">
        <f t="shared" si="4"/>
        <v>5.5917</v>
      </c>
      <c r="N21" s="35">
        <f t="shared" si="0"/>
        <v>67.7217</v>
      </c>
      <c r="O21" s="31">
        <f t="shared" si="1"/>
        <v>67.7217</v>
      </c>
      <c r="P21" s="31">
        <f t="shared" si="5"/>
        <v>0</v>
      </c>
      <c r="Q21" s="53" t="s">
        <v>216</v>
      </c>
    </row>
    <row r="22" s="1" customFormat="1" ht="48" outlineLevel="1" spans="1:17">
      <c r="A22" s="27">
        <v>17</v>
      </c>
      <c r="B22" s="28" t="s">
        <v>227</v>
      </c>
      <c r="C22" s="29" t="s">
        <v>228</v>
      </c>
      <c r="D22" s="28" t="s">
        <v>136</v>
      </c>
      <c r="E22" s="30">
        <v>1</v>
      </c>
      <c r="F22" s="30"/>
      <c r="G22" s="31">
        <v>8</v>
      </c>
      <c r="H22" s="31">
        <f t="shared" si="6"/>
        <v>27</v>
      </c>
      <c r="I22" s="31">
        <v>27</v>
      </c>
      <c r="J22" s="49">
        <v>0</v>
      </c>
      <c r="K22" s="31">
        <v>0.5</v>
      </c>
      <c r="L22" s="50">
        <f t="shared" si="3"/>
        <v>4.97</v>
      </c>
      <c r="M22" s="19">
        <f t="shared" si="4"/>
        <v>3.6423</v>
      </c>
      <c r="N22" s="35">
        <f t="shared" si="0"/>
        <v>44.1123</v>
      </c>
      <c r="O22" s="31">
        <f t="shared" si="1"/>
        <v>44.1123</v>
      </c>
      <c r="P22" s="31">
        <f t="shared" si="5"/>
        <v>0</v>
      </c>
      <c r="Q22" s="53" t="s">
        <v>216</v>
      </c>
    </row>
    <row r="23" s="1" customFormat="1" ht="48" outlineLevel="1" spans="1:21">
      <c r="A23" s="27">
        <v>18</v>
      </c>
      <c r="B23" s="28" t="s">
        <v>229</v>
      </c>
      <c r="C23" s="29" t="s">
        <v>230</v>
      </c>
      <c r="D23" s="28" t="s">
        <v>136</v>
      </c>
      <c r="E23" s="30">
        <v>1</v>
      </c>
      <c r="F23" s="30"/>
      <c r="G23" s="31">
        <v>8</v>
      </c>
      <c r="H23" s="31">
        <f t="shared" si="6"/>
        <v>18</v>
      </c>
      <c r="I23" s="31">
        <v>18</v>
      </c>
      <c r="J23" s="49">
        <v>0</v>
      </c>
      <c r="K23" s="31">
        <v>0.5</v>
      </c>
      <c r="L23" s="50">
        <f t="shared" si="3"/>
        <v>3.71</v>
      </c>
      <c r="M23" s="19">
        <f t="shared" si="4"/>
        <v>2.7189</v>
      </c>
      <c r="N23" s="35">
        <f t="shared" si="0"/>
        <v>32.9289</v>
      </c>
      <c r="O23" s="31">
        <f t="shared" si="1"/>
        <v>32.9289</v>
      </c>
      <c r="P23" s="31">
        <f t="shared" si="5"/>
        <v>0</v>
      </c>
      <c r="Q23" s="53" t="s">
        <v>216</v>
      </c>
      <c r="S23" s="54"/>
      <c r="T23" s="54"/>
      <c r="U23" s="54"/>
    </row>
    <row r="24" s="1" customFormat="1" ht="48" outlineLevel="1" spans="1:21">
      <c r="A24" s="27">
        <v>19</v>
      </c>
      <c r="B24" s="28" t="s">
        <v>231</v>
      </c>
      <c r="C24" s="29" t="s">
        <v>232</v>
      </c>
      <c r="D24" s="28" t="s">
        <v>136</v>
      </c>
      <c r="E24" s="30">
        <v>3</v>
      </c>
      <c r="F24" s="30"/>
      <c r="G24" s="31">
        <v>8</v>
      </c>
      <c r="H24" s="31">
        <f t="shared" si="6"/>
        <v>35.2</v>
      </c>
      <c r="I24" s="31">
        <v>35.2</v>
      </c>
      <c r="J24" s="49">
        <v>0</v>
      </c>
      <c r="K24" s="31">
        <v>0.5</v>
      </c>
      <c r="L24" s="50">
        <f t="shared" si="3"/>
        <v>6.118</v>
      </c>
      <c r="M24" s="19">
        <f t="shared" si="4"/>
        <v>4.48362</v>
      </c>
      <c r="N24" s="35">
        <f t="shared" si="0"/>
        <v>54.30162</v>
      </c>
      <c r="O24" s="31">
        <f t="shared" si="1"/>
        <v>162.90486</v>
      </c>
      <c r="P24" s="31">
        <f t="shared" si="5"/>
        <v>0</v>
      </c>
      <c r="Q24" s="53" t="s">
        <v>216</v>
      </c>
      <c r="S24" s="54"/>
      <c r="T24" s="55"/>
      <c r="U24" s="54"/>
    </row>
    <row r="25" s="1" customFormat="1" ht="48" outlineLevel="1" spans="1:21">
      <c r="A25" s="27">
        <v>20</v>
      </c>
      <c r="B25" s="28" t="s">
        <v>233</v>
      </c>
      <c r="C25" s="29" t="s">
        <v>234</v>
      </c>
      <c r="D25" s="28" t="s">
        <v>136</v>
      </c>
      <c r="E25" s="30">
        <v>3</v>
      </c>
      <c r="F25" s="30"/>
      <c r="G25" s="31">
        <v>8</v>
      </c>
      <c r="H25" s="31">
        <f t="shared" si="6"/>
        <v>35.2</v>
      </c>
      <c r="I25" s="31">
        <v>35.2</v>
      </c>
      <c r="J25" s="49">
        <v>0</v>
      </c>
      <c r="K25" s="31">
        <v>0.5</v>
      </c>
      <c r="L25" s="50">
        <f t="shared" si="3"/>
        <v>6.118</v>
      </c>
      <c r="M25" s="19">
        <f t="shared" si="4"/>
        <v>4.48362</v>
      </c>
      <c r="N25" s="35">
        <f t="shared" si="0"/>
        <v>54.30162</v>
      </c>
      <c r="O25" s="31">
        <f t="shared" si="1"/>
        <v>162.90486</v>
      </c>
      <c r="P25" s="31">
        <f t="shared" si="5"/>
        <v>0</v>
      </c>
      <c r="Q25" s="53" t="s">
        <v>216</v>
      </c>
      <c r="S25" s="54"/>
      <c r="T25" s="54"/>
      <c r="U25" s="54"/>
    </row>
    <row r="26" s="1" customFormat="1" ht="48" outlineLevel="1" spans="1:21">
      <c r="A26" s="27">
        <v>21</v>
      </c>
      <c r="B26" s="28" t="s">
        <v>235</v>
      </c>
      <c r="C26" s="29" t="s">
        <v>236</v>
      </c>
      <c r="D26" s="28" t="s">
        <v>136</v>
      </c>
      <c r="E26" s="30">
        <v>2</v>
      </c>
      <c r="F26" s="30"/>
      <c r="G26" s="31">
        <v>8</v>
      </c>
      <c r="H26" s="31">
        <f t="shared" si="6"/>
        <v>27</v>
      </c>
      <c r="I26" s="31">
        <v>27</v>
      </c>
      <c r="J26" s="49">
        <v>0</v>
      </c>
      <c r="K26" s="31">
        <v>0.5</v>
      </c>
      <c r="L26" s="50">
        <f t="shared" si="3"/>
        <v>4.97</v>
      </c>
      <c r="M26" s="19">
        <f t="shared" si="4"/>
        <v>3.6423</v>
      </c>
      <c r="N26" s="35">
        <f t="shared" si="0"/>
        <v>44.1123</v>
      </c>
      <c r="O26" s="31">
        <f t="shared" si="1"/>
        <v>88.2246</v>
      </c>
      <c r="P26" s="31">
        <f t="shared" si="5"/>
        <v>0</v>
      </c>
      <c r="Q26" s="53" t="s">
        <v>216</v>
      </c>
      <c r="S26" s="54"/>
      <c r="T26" s="55"/>
      <c r="U26" s="54"/>
    </row>
    <row r="27" s="1" customFormat="1" ht="48" outlineLevel="1" spans="1:21">
      <c r="A27" s="27">
        <v>22</v>
      </c>
      <c r="B27" s="28" t="s">
        <v>237</v>
      </c>
      <c r="C27" s="29" t="s">
        <v>238</v>
      </c>
      <c r="D27" s="28" t="s">
        <v>136</v>
      </c>
      <c r="E27" s="30">
        <v>1</v>
      </c>
      <c r="F27" s="30"/>
      <c r="G27" s="31">
        <v>8</v>
      </c>
      <c r="H27" s="31">
        <f t="shared" si="6"/>
        <v>27</v>
      </c>
      <c r="I27" s="31">
        <v>27</v>
      </c>
      <c r="J27" s="49">
        <v>0</v>
      </c>
      <c r="K27" s="31">
        <v>0.5</v>
      </c>
      <c r="L27" s="50">
        <f t="shared" si="3"/>
        <v>4.97</v>
      </c>
      <c r="M27" s="19">
        <f t="shared" si="4"/>
        <v>3.6423</v>
      </c>
      <c r="N27" s="35">
        <f t="shared" si="0"/>
        <v>44.1123</v>
      </c>
      <c r="O27" s="31">
        <f t="shared" si="1"/>
        <v>44.1123</v>
      </c>
      <c r="P27" s="31">
        <f t="shared" si="5"/>
        <v>0</v>
      </c>
      <c r="Q27" s="53" t="s">
        <v>216</v>
      </c>
      <c r="S27" s="54"/>
      <c r="T27" s="54"/>
      <c r="U27" s="54"/>
    </row>
    <row r="28" s="1" customFormat="1" ht="48" outlineLevel="1" spans="1:21">
      <c r="A28" s="27">
        <v>23</v>
      </c>
      <c r="B28" s="28" t="s">
        <v>239</v>
      </c>
      <c r="C28" s="29" t="s">
        <v>240</v>
      </c>
      <c r="D28" s="28" t="s">
        <v>136</v>
      </c>
      <c r="E28" s="30">
        <v>4</v>
      </c>
      <c r="F28" s="30"/>
      <c r="G28" s="31">
        <v>8</v>
      </c>
      <c r="H28" s="31">
        <f t="shared" si="6"/>
        <v>16.5</v>
      </c>
      <c r="I28" s="31">
        <v>16.5</v>
      </c>
      <c r="J28" s="49">
        <v>0</v>
      </c>
      <c r="K28" s="31">
        <v>0.5</v>
      </c>
      <c r="L28" s="50">
        <f t="shared" si="3"/>
        <v>3.5</v>
      </c>
      <c r="M28" s="19">
        <f t="shared" si="4"/>
        <v>2.565</v>
      </c>
      <c r="N28" s="35">
        <f t="shared" si="0"/>
        <v>31.065</v>
      </c>
      <c r="O28" s="31">
        <f t="shared" si="1"/>
        <v>124.26</v>
      </c>
      <c r="P28" s="31">
        <f t="shared" si="5"/>
        <v>0</v>
      </c>
      <c r="Q28" s="53" t="s">
        <v>216</v>
      </c>
      <c r="S28" s="54"/>
      <c r="T28" s="55"/>
      <c r="U28" s="54"/>
    </row>
    <row r="29" s="1" customFormat="1" ht="48" outlineLevel="1" spans="1:21">
      <c r="A29" s="27">
        <v>24</v>
      </c>
      <c r="B29" s="28" t="s">
        <v>241</v>
      </c>
      <c r="C29" s="29" t="s">
        <v>242</v>
      </c>
      <c r="D29" s="28" t="s">
        <v>136</v>
      </c>
      <c r="E29" s="30">
        <v>4</v>
      </c>
      <c r="F29" s="30"/>
      <c r="G29" s="31">
        <v>8</v>
      </c>
      <c r="H29" s="31">
        <f t="shared" si="6"/>
        <v>18.2</v>
      </c>
      <c r="I29" s="31">
        <v>18.2</v>
      </c>
      <c r="J29" s="49">
        <v>0</v>
      </c>
      <c r="K29" s="31">
        <v>0.5</v>
      </c>
      <c r="L29" s="50">
        <f t="shared" si="3"/>
        <v>3.738</v>
      </c>
      <c r="M29" s="19">
        <f t="shared" si="4"/>
        <v>2.73942</v>
      </c>
      <c r="N29" s="35">
        <f t="shared" si="0"/>
        <v>33.17742</v>
      </c>
      <c r="O29" s="31">
        <f t="shared" si="1"/>
        <v>132.70968</v>
      </c>
      <c r="P29" s="31">
        <f t="shared" si="5"/>
        <v>0</v>
      </c>
      <c r="Q29" s="53" t="s">
        <v>216</v>
      </c>
      <c r="S29" s="54"/>
      <c r="T29" s="55"/>
      <c r="U29" s="54"/>
    </row>
    <row r="30" s="1" customFormat="1" ht="48" outlineLevel="1" spans="1:21">
      <c r="A30" s="27">
        <v>25</v>
      </c>
      <c r="B30" s="28" t="s">
        <v>243</v>
      </c>
      <c r="C30" s="29" t="s">
        <v>244</v>
      </c>
      <c r="D30" s="28" t="s">
        <v>136</v>
      </c>
      <c r="E30" s="30">
        <v>2</v>
      </c>
      <c r="F30" s="30"/>
      <c r="G30" s="31">
        <v>8</v>
      </c>
      <c r="H30" s="31">
        <f t="shared" si="6"/>
        <v>30.25</v>
      </c>
      <c r="I30" s="31">
        <v>30.25</v>
      </c>
      <c r="J30" s="49">
        <v>0</v>
      </c>
      <c r="K30" s="31">
        <v>0.5</v>
      </c>
      <c r="L30" s="50">
        <f t="shared" si="3"/>
        <v>5.425</v>
      </c>
      <c r="M30" s="19">
        <f t="shared" si="4"/>
        <v>3.97575</v>
      </c>
      <c r="N30" s="35">
        <f t="shared" si="0"/>
        <v>48.15075</v>
      </c>
      <c r="O30" s="31">
        <f t="shared" si="1"/>
        <v>96.3015</v>
      </c>
      <c r="P30" s="31">
        <f t="shared" si="5"/>
        <v>0</v>
      </c>
      <c r="Q30" s="53" t="s">
        <v>216</v>
      </c>
      <c r="S30" s="54"/>
      <c r="T30" s="55"/>
      <c r="U30" s="54"/>
    </row>
    <row r="31" s="1" customFormat="1" ht="48" outlineLevel="1" spans="1:21">
      <c r="A31" s="27">
        <v>26</v>
      </c>
      <c r="B31" s="28" t="s">
        <v>245</v>
      </c>
      <c r="C31" s="29" t="s">
        <v>246</v>
      </c>
      <c r="D31" s="28" t="s">
        <v>136</v>
      </c>
      <c r="E31" s="30">
        <v>1</v>
      </c>
      <c r="F31" s="30"/>
      <c r="G31" s="31">
        <v>10</v>
      </c>
      <c r="H31" s="31">
        <f t="shared" si="6"/>
        <v>63.8</v>
      </c>
      <c r="I31" s="31">
        <v>63.8</v>
      </c>
      <c r="J31" s="49">
        <v>0</v>
      </c>
      <c r="K31" s="31">
        <v>0.5</v>
      </c>
      <c r="L31" s="50">
        <f t="shared" si="3"/>
        <v>10.402</v>
      </c>
      <c r="M31" s="19">
        <f t="shared" si="4"/>
        <v>7.62318</v>
      </c>
      <c r="N31" s="35">
        <f t="shared" si="0"/>
        <v>92.32518</v>
      </c>
      <c r="O31" s="31">
        <f t="shared" si="1"/>
        <v>92.32518</v>
      </c>
      <c r="P31" s="31">
        <f t="shared" si="5"/>
        <v>0</v>
      </c>
      <c r="Q31" s="53" t="s">
        <v>247</v>
      </c>
      <c r="S31" s="54"/>
      <c r="T31" s="54"/>
      <c r="U31" s="54"/>
    </row>
    <row r="32" s="1" customFormat="1" ht="60" outlineLevel="1" spans="1:21">
      <c r="A32" s="27">
        <v>27</v>
      </c>
      <c r="B32" s="28" t="s">
        <v>248</v>
      </c>
      <c r="C32" s="29" t="s">
        <v>249</v>
      </c>
      <c r="D32" s="28" t="s">
        <v>136</v>
      </c>
      <c r="E32" s="30">
        <v>1</v>
      </c>
      <c r="F32" s="30"/>
      <c r="G32" s="31">
        <v>10</v>
      </c>
      <c r="H32" s="31">
        <f t="shared" si="6"/>
        <v>5</v>
      </c>
      <c r="I32" s="31">
        <v>5</v>
      </c>
      <c r="J32" s="49">
        <v>0</v>
      </c>
      <c r="K32" s="31">
        <v>0.5</v>
      </c>
      <c r="L32" s="50">
        <f t="shared" si="3"/>
        <v>2.17</v>
      </c>
      <c r="M32" s="19">
        <f t="shared" si="4"/>
        <v>1.5903</v>
      </c>
      <c r="N32" s="35">
        <f t="shared" si="0"/>
        <v>19.2603</v>
      </c>
      <c r="O32" s="31">
        <f t="shared" si="1"/>
        <v>19.2603</v>
      </c>
      <c r="P32" s="31">
        <f t="shared" si="5"/>
        <v>0</v>
      </c>
      <c r="Q32" s="53" t="s">
        <v>250</v>
      </c>
      <c r="S32" s="54"/>
      <c r="T32" s="55"/>
      <c r="U32" s="54"/>
    </row>
    <row r="33" s="1" customFormat="1" ht="48" outlineLevel="1" spans="1:21">
      <c r="A33" s="27">
        <v>28</v>
      </c>
      <c r="B33" s="28" t="s">
        <v>251</v>
      </c>
      <c r="C33" s="29" t="s">
        <v>252</v>
      </c>
      <c r="D33" s="28" t="s">
        <v>136</v>
      </c>
      <c r="E33" s="30">
        <v>1</v>
      </c>
      <c r="F33" s="30"/>
      <c r="G33" s="31">
        <v>30</v>
      </c>
      <c r="H33" s="31">
        <f t="shared" si="6"/>
        <v>45</v>
      </c>
      <c r="I33" s="31">
        <v>45</v>
      </c>
      <c r="J33" s="49">
        <v>0</v>
      </c>
      <c r="K33" s="31">
        <v>0.5</v>
      </c>
      <c r="L33" s="50">
        <f t="shared" si="3"/>
        <v>10.57</v>
      </c>
      <c r="M33" s="19">
        <f t="shared" si="4"/>
        <v>7.7463</v>
      </c>
      <c r="N33" s="35">
        <f t="shared" si="0"/>
        <v>93.8163</v>
      </c>
      <c r="O33" s="31">
        <f t="shared" si="1"/>
        <v>93.8163</v>
      </c>
      <c r="P33" s="31">
        <f t="shared" si="5"/>
        <v>0</v>
      </c>
      <c r="Q33" s="53" t="s">
        <v>195</v>
      </c>
      <c r="S33" s="54"/>
      <c r="T33" s="54"/>
      <c r="U33" s="54"/>
    </row>
    <row r="34" s="1" customFormat="1" ht="36" outlineLevel="1" spans="1:21">
      <c r="A34" s="27">
        <v>29</v>
      </c>
      <c r="B34" s="28" t="s">
        <v>253</v>
      </c>
      <c r="C34" s="29" t="s">
        <v>254</v>
      </c>
      <c r="D34" s="28" t="s">
        <v>136</v>
      </c>
      <c r="E34" s="30">
        <v>5</v>
      </c>
      <c r="F34" s="30"/>
      <c r="G34" s="31">
        <v>8</v>
      </c>
      <c r="H34" s="31">
        <f t="shared" si="6"/>
        <v>10.78</v>
      </c>
      <c r="I34" s="31">
        <v>10.78</v>
      </c>
      <c r="J34" s="49">
        <v>0</v>
      </c>
      <c r="K34" s="31">
        <v>0.5</v>
      </c>
      <c r="L34" s="50">
        <f t="shared" si="3"/>
        <v>2.6992</v>
      </c>
      <c r="M34" s="19">
        <f t="shared" si="4"/>
        <v>1.978128</v>
      </c>
      <c r="N34" s="35">
        <f t="shared" si="0"/>
        <v>23.957328</v>
      </c>
      <c r="O34" s="31">
        <f t="shared" si="1"/>
        <v>119.78664</v>
      </c>
      <c r="P34" s="31">
        <f t="shared" si="5"/>
        <v>0</v>
      </c>
      <c r="Q34" s="53" t="s">
        <v>216</v>
      </c>
      <c r="S34" s="54"/>
      <c r="T34" s="54"/>
      <c r="U34" s="54"/>
    </row>
    <row r="35" s="1" customFormat="1" ht="36" outlineLevel="1" spans="1:21">
      <c r="A35" s="27">
        <v>30</v>
      </c>
      <c r="B35" s="28" t="s">
        <v>255</v>
      </c>
      <c r="C35" s="29" t="s">
        <v>256</v>
      </c>
      <c r="D35" s="28" t="s">
        <v>136</v>
      </c>
      <c r="E35" s="30">
        <v>1</v>
      </c>
      <c r="F35" s="30"/>
      <c r="G35" s="31">
        <v>8</v>
      </c>
      <c r="H35" s="31">
        <f t="shared" si="6"/>
        <v>30.25</v>
      </c>
      <c r="I35" s="31">
        <v>30.25</v>
      </c>
      <c r="J35" s="49">
        <v>0</v>
      </c>
      <c r="K35" s="31">
        <v>0.5</v>
      </c>
      <c r="L35" s="50">
        <f t="shared" si="3"/>
        <v>5.425</v>
      </c>
      <c r="M35" s="19">
        <f t="shared" si="4"/>
        <v>3.97575</v>
      </c>
      <c r="N35" s="35">
        <f t="shared" si="0"/>
        <v>48.15075</v>
      </c>
      <c r="O35" s="31">
        <f t="shared" si="1"/>
        <v>48.15075</v>
      </c>
      <c r="P35" s="31">
        <f t="shared" si="5"/>
        <v>0</v>
      </c>
      <c r="Q35" s="53" t="s">
        <v>216</v>
      </c>
      <c r="S35" s="54"/>
      <c r="T35" s="55"/>
      <c r="U35" s="54"/>
    </row>
    <row r="36" s="1" customFormat="1" ht="36" outlineLevel="1" spans="1:21">
      <c r="A36" s="27">
        <v>31</v>
      </c>
      <c r="B36" s="28" t="s">
        <v>257</v>
      </c>
      <c r="C36" s="29" t="s">
        <v>258</v>
      </c>
      <c r="D36" s="28" t="s">
        <v>136</v>
      </c>
      <c r="E36" s="30">
        <v>1</v>
      </c>
      <c r="F36" s="30"/>
      <c r="G36" s="31">
        <v>8</v>
      </c>
      <c r="H36" s="31">
        <f t="shared" si="6"/>
        <v>22</v>
      </c>
      <c r="I36" s="31">
        <v>22</v>
      </c>
      <c r="J36" s="49">
        <v>0</v>
      </c>
      <c r="K36" s="31">
        <v>0.5</v>
      </c>
      <c r="L36" s="50">
        <f t="shared" si="3"/>
        <v>4.27</v>
      </c>
      <c r="M36" s="19">
        <f t="shared" si="4"/>
        <v>3.1293</v>
      </c>
      <c r="N36" s="35">
        <f t="shared" si="0"/>
        <v>37.8993</v>
      </c>
      <c r="O36" s="31">
        <f t="shared" si="1"/>
        <v>37.8993</v>
      </c>
      <c r="P36" s="31">
        <f t="shared" si="5"/>
        <v>0</v>
      </c>
      <c r="Q36" s="53" t="s">
        <v>216</v>
      </c>
      <c r="S36" s="54"/>
      <c r="T36" s="55"/>
      <c r="U36" s="54"/>
    </row>
    <row r="37" s="1" customFormat="1" ht="36" outlineLevel="1" spans="1:17">
      <c r="A37" s="27">
        <v>32</v>
      </c>
      <c r="B37" s="28" t="s">
        <v>259</v>
      </c>
      <c r="C37" s="29" t="s">
        <v>260</v>
      </c>
      <c r="D37" s="28" t="s">
        <v>136</v>
      </c>
      <c r="E37" s="30">
        <v>4</v>
      </c>
      <c r="F37" s="30"/>
      <c r="G37" s="31">
        <v>8</v>
      </c>
      <c r="H37" s="31">
        <f t="shared" si="6"/>
        <v>33.55</v>
      </c>
      <c r="I37" s="31">
        <v>33.55</v>
      </c>
      <c r="J37" s="49">
        <v>0</v>
      </c>
      <c r="K37" s="31">
        <v>0.5</v>
      </c>
      <c r="L37" s="50">
        <f t="shared" si="3"/>
        <v>5.887</v>
      </c>
      <c r="M37" s="19">
        <f t="shared" si="4"/>
        <v>4.31433</v>
      </c>
      <c r="N37" s="35">
        <f t="shared" si="0"/>
        <v>52.25133</v>
      </c>
      <c r="O37" s="31">
        <f t="shared" si="1"/>
        <v>209.00532</v>
      </c>
      <c r="P37" s="31">
        <f t="shared" si="5"/>
        <v>0</v>
      </c>
      <c r="Q37" s="53" t="s">
        <v>216</v>
      </c>
    </row>
    <row r="38" s="1" customFormat="1" ht="48" outlineLevel="1" spans="1:17">
      <c r="A38" s="27">
        <v>33</v>
      </c>
      <c r="B38" s="33" t="s">
        <v>261</v>
      </c>
      <c r="C38" s="34" t="s">
        <v>262</v>
      </c>
      <c r="D38" s="35" t="s">
        <v>84</v>
      </c>
      <c r="E38" s="35">
        <v>193.74</v>
      </c>
      <c r="F38" s="35">
        <f>E38</f>
        <v>193.74</v>
      </c>
      <c r="G38" s="31">
        <v>3</v>
      </c>
      <c r="H38" s="31">
        <f t="shared" si="6"/>
        <v>1.575</v>
      </c>
      <c r="I38" s="31">
        <v>1.5</v>
      </c>
      <c r="J38" s="49">
        <v>0.05</v>
      </c>
      <c r="K38" s="31">
        <v>0.3</v>
      </c>
      <c r="L38" s="50">
        <f t="shared" si="3"/>
        <v>0.6825</v>
      </c>
      <c r="M38" s="19">
        <f t="shared" si="4"/>
        <v>0.500175</v>
      </c>
      <c r="N38" s="35">
        <f t="shared" si="0"/>
        <v>6.057675</v>
      </c>
      <c r="O38" s="31">
        <f t="shared" si="1"/>
        <v>1173.6139545</v>
      </c>
      <c r="P38" s="31">
        <f t="shared" si="5"/>
        <v>1173.6139545</v>
      </c>
      <c r="Q38" s="53" t="s">
        <v>263</v>
      </c>
    </row>
    <row r="39" s="1" customFormat="1" ht="48" outlineLevel="1" spans="1:17">
      <c r="A39" s="27">
        <v>34</v>
      </c>
      <c r="B39" s="33" t="s">
        <v>261</v>
      </c>
      <c r="C39" s="34" t="s">
        <v>264</v>
      </c>
      <c r="D39" s="35" t="s">
        <v>84</v>
      </c>
      <c r="E39" s="35">
        <v>411.67</v>
      </c>
      <c r="F39" s="35">
        <f>E39</f>
        <v>411.67</v>
      </c>
      <c r="G39" s="31">
        <v>3</v>
      </c>
      <c r="H39" s="31">
        <f t="shared" si="6"/>
        <v>2.415</v>
      </c>
      <c r="I39" s="31">
        <v>2.3</v>
      </c>
      <c r="J39" s="49">
        <v>0.05</v>
      </c>
      <c r="K39" s="31">
        <v>0.3</v>
      </c>
      <c r="L39" s="50">
        <f t="shared" si="3"/>
        <v>0.8001</v>
      </c>
      <c r="M39" s="19">
        <f t="shared" si="4"/>
        <v>0.586359</v>
      </c>
      <c r="N39" s="35">
        <f t="shared" si="0"/>
        <v>7.101459</v>
      </c>
      <c r="O39" s="31">
        <f t="shared" si="1"/>
        <v>2923.45762653</v>
      </c>
      <c r="P39" s="31">
        <f t="shared" si="5"/>
        <v>2923.45762653</v>
      </c>
      <c r="Q39" s="53" t="s">
        <v>263</v>
      </c>
    </row>
    <row r="40" s="1" customFormat="1" ht="48" outlineLevel="1" spans="1:17">
      <c r="A40" s="27">
        <v>35</v>
      </c>
      <c r="B40" s="33" t="s">
        <v>265</v>
      </c>
      <c r="C40" s="34" t="s">
        <v>266</v>
      </c>
      <c r="D40" s="35" t="s">
        <v>84</v>
      </c>
      <c r="E40" s="35">
        <v>20.09</v>
      </c>
      <c r="F40" s="35">
        <f>E40</f>
        <v>20.09</v>
      </c>
      <c r="G40" s="31">
        <v>5</v>
      </c>
      <c r="H40" s="31">
        <f t="shared" si="6"/>
        <v>2.625</v>
      </c>
      <c r="I40" s="31">
        <v>2.5</v>
      </c>
      <c r="J40" s="49">
        <v>0.05</v>
      </c>
      <c r="K40" s="31">
        <v>0.5</v>
      </c>
      <c r="L40" s="50">
        <f t="shared" si="3"/>
        <v>1.1375</v>
      </c>
      <c r="M40" s="19">
        <f t="shared" si="4"/>
        <v>0.833625</v>
      </c>
      <c r="N40" s="35">
        <f t="shared" si="0"/>
        <v>10.096125</v>
      </c>
      <c r="O40" s="31">
        <f t="shared" si="1"/>
        <v>202.83115125</v>
      </c>
      <c r="P40" s="31">
        <f t="shared" si="5"/>
        <v>202.83115125</v>
      </c>
      <c r="Q40" s="53" t="s">
        <v>267</v>
      </c>
    </row>
    <row r="41" s="1" customFormat="1" ht="48" outlineLevel="1" spans="1:17">
      <c r="A41" s="27">
        <v>36</v>
      </c>
      <c r="B41" s="33" t="s">
        <v>268</v>
      </c>
      <c r="C41" s="34" t="s">
        <v>269</v>
      </c>
      <c r="D41" s="35" t="s">
        <v>84</v>
      </c>
      <c r="E41" s="35">
        <v>3.79</v>
      </c>
      <c r="F41" s="35">
        <f>E41</f>
        <v>3.79</v>
      </c>
      <c r="G41" s="31">
        <v>5</v>
      </c>
      <c r="H41" s="31">
        <f t="shared" si="6"/>
        <v>1.575</v>
      </c>
      <c r="I41" s="31">
        <v>1.5</v>
      </c>
      <c r="J41" s="49">
        <v>0.05</v>
      </c>
      <c r="K41" s="31">
        <v>0.5</v>
      </c>
      <c r="L41" s="50">
        <f t="shared" si="3"/>
        <v>0.9905</v>
      </c>
      <c r="M41" s="19">
        <f t="shared" si="4"/>
        <v>0.725895</v>
      </c>
      <c r="N41" s="35">
        <f t="shared" si="0"/>
        <v>8.791395</v>
      </c>
      <c r="O41" s="31">
        <f t="shared" si="1"/>
        <v>33.31938705</v>
      </c>
      <c r="P41" s="31">
        <f t="shared" si="5"/>
        <v>33.31938705</v>
      </c>
      <c r="Q41" s="53"/>
    </row>
    <row r="42" s="1" customFormat="1" ht="48" outlineLevel="1" spans="1:17">
      <c r="A42" s="27">
        <v>37</v>
      </c>
      <c r="B42" s="33" t="s">
        <v>270</v>
      </c>
      <c r="C42" s="34" t="s">
        <v>271</v>
      </c>
      <c r="D42" s="35" t="s">
        <v>84</v>
      </c>
      <c r="E42" s="35">
        <v>4.8</v>
      </c>
      <c r="F42" s="35">
        <f>E42</f>
        <v>4.8</v>
      </c>
      <c r="G42" s="31">
        <v>5</v>
      </c>
      <c r="H42" s="31">
        <f t="shared" si="6"/>
        <v>3.675</v>
      </c>
      <c r="I42" s="31">
        <v>3.5</v>
      </c>
      <c r="J42" s="49">
        <v>0.05</v>
      </c>
      <c r="K42" s="31">
        <v>0.5</v>
      </c>
      <c r="L42" s="50">
        <f t="shared" si="3"/>
        <v>1.2845</v>
      </c>
      <c r="M42" s="19">
        <f t="shared" si="4"/>
        <v>0.941355</v>
      </c>
      <c r="N42" s="35">
        <f t="shared" si="0"/>
        <v>11.400855</v>
      </c>
      <c r="O42" s="31">
        <f t="shared" si="1"/>
        <v>54.724104</v>
      </c>
      <c r="P42" s="31">
        <f t="shared" si="5"/>
        <v>54.724104</v>
      </c>
      <c r="Q42" s="53"/>
    </row>
    <row r="43" s="1" customFormat="1" spans="1:17">
      <c r="A43" s="27">
        <v>38</v>
      </c>
      <c r="B43" s="36" t="s">
        <v>54</v>
      </c>
      <c r="C43" s="36"/>
      <c r="D43" s="36" t="s">
        <v>272</v>
      </c>
      <c r="E43" s="37"/>
      <c r="F43" s="37"/>
      <c r="G43" s="27"/>
      <c r="H43" s="37"/>
      <c r="I43" s="37"/>
      <c r="J43" s="51"/>
      <c r="K43" s="37"/>
      <c r="L43" s="50"/>
      <c r="M43" s="19"/>
      <c r="N43" s="35"/>
      <c r="O43" s="31">
        <f>SUM(O6:O42)</f>
        <v>9359.27817333</v>
      </c>
      <c r="P43" s="31">
        <f>SUM(P6:P42)</f>
        <v>4387.94622333</v>
      </c>
      <c r="Q43" s="53"/>
    </row>
    <row r="44" s="1" customFormat="1" spans="1:17">
      <c r="A44" s="27" t="s">
        <v>273</v>
      </c>
      <c r="B44" s="25" t="s">
        <v>274</v>
      </c>
      <c r="C44" s="25" t="s">
        <v>191</v>
      </c>
      <c r="D44" s="25" t="s">
        <v>192</v>
      </c>
      <c r="E44" s="37"/>
      <c r="F44" s="37"/>
      <c r="G44" s="27"/>
      <c r="H44" s="37"/>
      <c r="I44" s="37"/>
      <c r="J44" s="51"/>
      <c r="K44" s="37"/>
      <c r="L44" s="50"/>
      <c r="M44" s="19"/>
      <c r="N44" s="35"/>
      <c r="O44" s="31"/>
      <c r="P44" s="31"/>
      <c r="Q44" s="53"/>
    </row>
    <row r="45" s="1" customFormat="1" ht="48" outlineLevel="1" spans="1:17">
      <c r="A45" s="27">
        <v>1</v>
      </c>
      <c r="B45" s="28" t="s">
        <v>275</v>
      </c>
      <c r="C45" s="29" t="s">
        <v>276</v>
      </c>
      <c r="D45" s="28" t="s">
        <v>277</v>
      </c>
      <c r="E45" s="27">
        <v>1</v>
      </c>
      <c r="F45" s="27"/>
      <c r="G45" s="27">
        <v>80</v>
      </c>
      <c r="H45" s="27">
        <f t="shared" ref="H45:H54" si="7">I45*(1+J45)</f>
        <v>650</v>
      </c>
      <c r="I45" s="27">
        <v>650</v>
      </c>
      <c r="J45" s="51">
        <v>0</v>
      </c>
      <c r="K45" s="27">
        <v>15</v>
      </c>
      <c r="L45" s="50">
        <f t="shared" si="3"/>
        <v>104.3</v>
      </c>
      <c r="M45" s="19">
        <f t="shared" si="4"/>
        <v>76.437</v>
      </c>
      <c r="N45" s="35">
        <f t="shared" ref="N45:N61" si="8">G45+H45+K45+L45+M45</f>
        <v>925.737</v>
      </c>
      <c r="O45" s="31">
        <f t="shared" ref="O45:O61" si="9">N45*E45</f>
        <v>925.737</v>
      </c>
      <c r="P45" s="31">
        <f>F45*N45</f>
        <v>0</v>
      </c>
      <c r="Q45" s="53" t="s">
        <v>137</v>
      </c>
    </row>
    <row r="46" s="1" customFormat="1" ht="48" outlineLevel="1" spans="1:17">
      <c r="A46" s="27">
        <v>2</v>
      </c>
      <c r="B46" s="28" t="s">
        <v>278</v>
      </c>
      <c r="C46" s="29" t="s">
        <v>279</v>
      </c>
      <c r="D46" s="28" t="s">
        <v>277</v>
      </c>
      <c r="E46" s="27">
        <v>1</v>
      </c>
      <c r="F46" s="27"/>
      <c r="G46" s="27">
        <v>300</v>
      </c>
      <c r="H46" s="27">
        <f t="shared" si="7"/>
        <v>750</v>
      </c>
      <c r="I46" s="27">
        <v>750</v>
      </c>
      <c r="J46" s="52">
        <v>0</v>
      </c>
      <c r="K46" s="27">
        <v>10</v>
      </c>
      <c r="L46" s="50">
        <f t="shared" si="3"/>
        <v>148.4</v>
      </c>
      <c r="M46" s="19">
        <f t="shared" si="4"/>
        <v>108.756</v>
      </c>
      <c r="N46" s="35">
        <f t="shared" si="8"/>
        <v>1317.156</v>
      </c>
      <c r="O46" s="31">
        <f t="shared" si="9"/>
        <v>1317.156</v>
      </c>
      <c r="P46" s="31">
        <f>F46*N46</f>
        <v>0</v>
      </c>
      <c r="Q46" s="53" t="s">
        <v>280</v>
      </c>
    </row>
    <row r="47" s="1" customFormat="1" ht="48" outlineLevel="1" spans="1:17">
      <c r="A47" s="27">
        <v>3</v>
      </c>
      <c r="B47" s="28" t="s">
        <v>281</v>
      </c>
      <c r="C47" s="29" t="s">
        <v>282</v>
      </c>
      <c r="D47" s="28" t="s">
        <v>277</v>
      </c>
      <c r="E47" s="27">
        <v>1</v>
      </c>
      <c r="F47" s="27"/>
      <c r="G47" s="27">
        <v>80</v>
      </c>
      <c r="H47" s="27">
        <f t="shared" si="7"/>
        <v>580</v>
      </c>
      <c r="I47" s="27">
        <v>580</v>
      </c>
      <c r="J47" s="52">
        <v>0</v>
      </c>
      <c r="K47" s="27">
        <v>20</v>
      </c>
      <c r="L47" s="50">
        <f t="shared" si="3"/>
        <v>95.2</v>
      </c>
      <c r="M47" s="19">
        <f t="shared" si="4"/>
        <v>69.768</v>
      </c>
      <c r="N47" s="35">
        <f t="shared" si="8"/>
        <v>844.968</v>
      </c>
      <c r="O47" s="31">
        <f t="shared" si="9"/>
        <v>844.968</v>
      </c>
      <c r="P47" s="31">
        <f t="shared" ref="P46:P61" si="10">F47*N47</f>
        <v>0</v>
      </c>
      <c r="Q47" s="53" t="s">
        <v>137</v>
      </c>
    </row>
    <row r="48" s="1" customFormat="1" ht="60" outlineLevel="1" spans="1:17">
      <c r="A48" s="27">
        <v>4</v>
      </c>
      <c r="B48" s="28" t="s">
        <v>283</v>
      </c>
      <c r="C48" s="29" t="s">
        <v>284</v>
      </c>
      <c r="D48" s="28" t="s">
        <v>277</v>
      </c>
      <c r="E48" s="27">
        <v>1</v>
      </c>
      <c r="F48" s="27"/>
      <c r="G48" s="27">
        <v>100</v>
      </c>
      <c r="H48" s="27">
        <f t="shared" si="7"/>
        <v>1580</v>
      </c>
      <c r="I48" s="27">
        <v>1580</v>
      </c>
      <c r="J48" s="52">
        <v>0</v>
      </c>
      <c r="K48" s="27">
        <v>30</v>
      </c>
      <c r="L48" s="50">
        <f t="shared" si="3"/>
        <v>239.4</v>
      </c>
      <c r="M48" s="19">
        <f t="shared" si="4"/>
        <v>175.446</v>
      </c>
      <c r="N48" s="35">
        <f t="shared" si="8"/>
        <v>2124.846</v>
      </c>
      <c r="O48" s="31">
        <f t="shared" si="9"/>
        <v>2124.846</v>
      </c>
      <c r="P48" s="31">
        <f t="shared" si="10"/>
        <v>0</v>
      </c>
      <c r="Q48" s="53" t="s">
        <v>137</v>
      </c>
    </row>
    <row r="49" s="1" customFormat="1" ht="48" outlineLevel="1" spans="1:17">
      <c r="A49" s="27">
        <v>5</v>
      </c>
      <c r="B49" s="28" t="s">
        <v>285</v>
      </c>
      <c r="C49" s="29" t="s">
        <v>286</v>
      </c>
      <c r="D49" s="28" t="s">
        <v>277</v>
      </c>
      <c r="E49" s="27">
        <v>1</v>
      </c>
      <c r="F49" s="27"/>
      <c r="G49" s="27">
        <v>15</v>
      </c>
      <c r="H49" s="27">
        <f t="shared" si="7"/>
        <v>40</v>
      </c>
      <c r="I49" s="27">
        <v>40</v>
      </c>
      <c r="J49" s="52">
        <v>0</v>
      </c>
      <c r="K49" s="27">
        <v>5</v>
      </c>
      <c r="L49" s="50">
        <f t="shared" si="3"/>
        <v>8.4</v>
      </c>
      <c r="M49" s="19">
        <f t="shared" si="4"/>
        <v>6.156</v>
      </c>
      <c r="N49" s="35">
        <f t="shared" si="8"/>
        <v>74.556</v>
      </c>
      <c r="O49" s="31">
        <f t="shared" si="9"/>
        <v>74.556</v>
      </c>
      <c r="P49" s="31">
        <f t="shared" si="10"/>
        <v>0</v>
      </c>
      <c r="Q49" s="53" t="s">
        <v>137</v>
      </c>
    </row>
    <row r="50" s="1" customFormat="1" ht="48" outlineLevel="1" spans="1:17">
      <c r="A50" s="27">
        <v>6</v>
      </c>
      <c r="B50" s="28" t="s">
        <v>287</v>
      </c>
      <c r="C50" s="29" t="s">
        <v>288</v>
      </c>
      <c r="D50" s="28" t="s">
        <v>277</v>
      </c>
      <c r="E50" s="27">
        <v>1</v>
      </c>
      <c r="F50" s="27"/>
      <c r="G50" s="27">
        <v>15</v>
      </c>
      <c r="H50" s="27">
        <f t="shared" si="7"/>
        <v>30</v>
      </c>
      <c r="I50" s="27">
        <v>30</v>
      </c>
      <c r="J50" s="52">
        <v>0</v>
      </c>
      <c r="K50" s="27">
        <v>2</v>
      </c>
      <c r="L50" s="50">
        <f t="shared" si="3"/>
        <v>6.58</v>
      </c>
      <c r="M50" s="19">
        <f t="shared" si="4"/>
        <v>4.8222</v>
      </c>
      <c r="N50" s="35">
        <f t="shared" si="8"/>
        <v>58.4022</v>
      </c>
      <c r="O50" s="31">
        <f t="shared" si="9"/>
        <v>58.4022</v>
      </c>
      <c r="P50" s="31">
        <f t="shared" si="10"/>
        <v>0</v>
      </c>
      <c r="Q50" s="53" t="s">
        <v>137</v>
      </c>
    </row>
    <row r="51" s="1" customFormat="1" ht="33.75" outlineLevel="1" spans="1:17">
      <c r="A51" s="27">
        <v>7</v>
      </c>
      <c r="B51" s="38" t="s">
        <v>289</v>
      </c>
      <c r="C51" s="39" t="s">
        <v>290</v>
      </c>
      <c r="D51" s="38" t="s">
        <v>277</v>
      </c>
      <c r="E51" s="27">
        <v>2</v>
      </c>
      <c r="F51" s="27"/>
      <c r="G51" s="27">
        <v>15</v>
      </c>
      <c r="H51" s="27">
        <f t="shared" si="7"/>
        <v>30</v>
      </c>
      <c r="I51" s="27">
        <v>30</v>
      </c>
      <c r="J51" s="52">
        <v>0</v>
      </c>
      <c r="K51" s="27">
        <v>2</v>
      </c>
      <c r="L51" s="50">
        <f t="shared" si="3"/>
        <v>6.58</v>
      </c>
      <c r="M51" s="19">
        <f t="shared" si="4"/>
        <v>4.8222</v>
      </c>
      <c r="N51" s="35">
        <f t="shared" si="8"/>
        <v>58.4022</v>
      </c>
      <c r="O51" s="31">
        <f t="shared" si="9"/>
        <v>116.8044</v>
      </c>
      <c r="P51" s="31">
        <f t="shared" si="10"/>
        <v>0</v>
      </c>
      <c r="Q51" s="53" t="s">
        <v>137</v>
      </c>
    </row>
    <row r="52" s="1" customFormat="1" ht="36" outlineLevel="1" spans="1:17">
      <c r="A52" s="27">
        <v>8</v>
      </c>
      <c r="B52" s="28" t="s">
        <v>291</v>
      </c>
      <c r="C52" s="29" t="s">
        <v>292</v>
      </c>
      <c r="D52" s="28" t="s">
        <v>277</v>
      </c>
      <c r="E52" s="27">
        <v>1</v>
      </c>
      <c r="F52" s="27"/>
      <c r="G52" s="27">
        <v>100</v>
      </c>
      <c r="H52" s="27">
        <f t="shared" si="7"/>
        <v>1500</v>
      </c>
      <c r="I52" s="27">
        <v>1500</v>
      </c>
      <c r="J52" s="52">
        <v>0</v>
      </c>
      <c r="K52" s="27">
        <v>20</v>
      </c>
      <c r="L52" s="50">
        <f t="shared" si="3"/>
        <v>226.8</v>
      </c>
      <c r="M52" s="19">
        <f t="shared" si="4"/>
        <v>166.212</v>
      </c>
      <c r="N52" s="35">
        <f t="shared" si="8"/>
        <v>2013.012</v>
      </c>
      <c r="O52" s="31">
        <f t="shared" si="9"/>
        <v>2013.012</v>
      </c>
      <c r="P52" s="31">
        <f t="shared" si="10"/>
        <v>0</v>
      </c>
      <c r="Q52" s="53" t="s">
        <v>293</v>
      </c>
    </row>
    <row r="53" s="1" customFormat="1" ht="36" outlineLevel="1" spans="1:17">
      <c r="A53" s="27">
        <v>9</v>
      </c>
      <c r="B53" s="28" t="s">
        <v>294</v>
      </c>
      <c r="C53" s="29" t="s">
        <v>295</v>
      </c>
      <c r="D53" s="28" t="s">
        <v>277</v>
      </c>
      <c r="E53" s="27">
        <v>1</v>
      </c>
      <c r="F53" s="27"/>
      <c r="G53" s="27">
        <v>100</v>
      </c>
      <c r="H53" s="27">
        <f t="shared" si="7"/>
        <v>600</v>
      </c>
      <c r="I53" s="27">
        <v>600</v>
      </c>
      <c r="J53" s="52">
        <v>0</v>
      </c>
      <c r="K53" s="27">
        <v>30</v>
      </c>
      <c r="L53" s="50">
        <f t="shared" si="3"/>
        <v>102.2</v>
      </c>
      <c r="M53" s="19">
        <f t="shared" si="4"/>
        <v>74.898</v>
      </c>
      <c r="N53" s="35">
        <f t="shared" si="8"/>
        <v>907.098</v>
      </c>
      <c r="O53" s="31">
        <f t="shared" si="9"/>
        <v>907.098</v>
      </c>
      <c r="P53" s="31">
        <f t="shared" si="10"/>
        <v>0</v>
      </c>
      <c r="Q53" s="53" t="s">
        <v>293</v>
      </c>
    </row>
    <row r="54" s="1" customFormat="1" ht="60" outlineLevel="1" spans="1:17">
      <c r="A54" s="27">
        <v>10</v>
      </c>
      <c r="B54" s="28" t="s">
        <v>296</v>
      </c>
      <c r="C54" s="29" t="s">
        <v>297</v>
      </c>
      <c r="D54" s="28" t="s">
        <v>277</v>
      </c>
      <c r="E54" s="27">
        <v>1</v>
      </c>
      <c r="F54" s="27"/>
      <c r="G54" s="27">
        <v>80</v>
      </c>
      <c r="H54" s="27">
        <f t="shared" si="7"/>
        <v>650</v>
      </c>
      <c r="I54" s="27">
        <v>650</v>
      </c>
      <c r="J54" s="52">
        <v>0</v>
      </c>
      <c r="K54" s="27">
        <v>10</v>
      </c>
      <c r="L54" s="50">
        <f t="shared" si="3"/>
        <v>103.6</v>
      </c>
      <c r="M54" s="19">
        <f t="shared" si="4"/>
        <v>75.924</v>
      </c>
      <c r="N54" s="35">
        <f t="shared" si="8"/>
        <v>919.524</v>
      </c>
      <c r="O54" s="31">
        <f t="shared" si="9"/>
        <v>919.524</v>
      </c>
      <c r="P54" s="31">
        <f t="shared" si="10"/>
        <v>0</v>
      </c>
      <c r="Q54" s="53" t="s">
        <v>137</v>
      </c>
    </row>
    <row r="55" s="1" customFormat="1" ht="48" outlineLevel="1" spans="1:17">
      <c r="A55" s="27">
        <v>11</v>
      </c>
      <c r="B55" s="28" t="s">
        <v>298</v>
      </c>
      <c r="C55" s="29" t="s">
        <v>299</v>
      </c>
      <c r="D55" s="28" t="s">
        <v>136</v>
      </c>
      <c r="E55" s="27">
        <v>1</v>
      </c>
      <c r="F55" s="27">
        <v>1</v>
      </c>
      <c r="G55" s="27">
        <v>5</v>
      </c>
      <c r="H55" s="27">
        <f t="shared" ref="H55:H61" si="11">I55*(1+J55)</f>
        <v>22</v>
      </c>
      <c r="I55" s="27">
        <v>22</v>
      </c>
      <c r="J55" s="52">
        <v>0</v>
      </c>
      <c r="K55" s="27">
        <v>2</v>
      </c>
      <c r="L55" s="50">
        <f t="shared" si="3"/>
        <v>4.06</v>
      </c>
      <c r="M55" s="19">
        <f t="shared" si="4"/>
        <v>2.9754</v>
      </c>
      <c r="N55" s="35">
        <f t="shared" si="8"/>
        <v>36.0354</v>
      </c>
      <c r="O55" s="31">
        <f t="shared" si="9"/>
        <v>36.0354</v>
      </c>
      <c r="P55" s="31">
        <f t="shared" si="10"/>
        <v>36.0354</v>
      </c>
      <c r="Q55" s="53" t="s">
        <v>300</v>
      </c>
    </row>
    <row r="56" s="1" customFormat="1" ht="48" outlineLevel="1" spans="1:17">
      <c r="A56" s="27">
        <v>12</v>
      </c>
      <c r="B56" s="28" t="s">
        <v>298</v>
      </c>
      <c r="C56" s="29" t="s">
        <v>301</v>
      </c>
      <c r="D56" s="28" t="s">
        <v>136</v>
      </c>
      <c r="E56" s="27">
        <v>1</v>
      </c>
      <c r="F56" s="27">
        <v>1</v>
      </c>
      <c r="G56" s="27">
        <v>5</v>
      </c>
      <c r="H56" s="27">
        <f t="shared" si="11"/>
        <v>20</v>
      </c>
      <c r="I56" s="27">
        <v>20</v>
      </c>
      <c r="J56" s="52">
        <v>0</v>
      </c>
      <c r="K56" s="27">
        <v>2</v>
      </c>
      <c r="L56" s="50">
        <f t="shared" si="3"/>
        <v>3.78</v>
      </c>
      <c r="M56" s="19">
        <f t="shared" si="4"/>
        <v>2.7702</v>
      </c>
      <c r="N56" s="35">
        <f t="shared" si="8"/>
        <v>33.5502</v>
      </c>
      <c r="O56" s="31">
        <f t="shared" si="9"/>
        <v>33.5502</v>
      </c>
      <c r="P56" s="31">
        <f t="shared" si="10"/>
        <v>33.5502</v>
      </c>
      <c r="Q56" s="53" t="s">
        <v>300</v>
      </c>
    </row>
    <row r="57" s="1" customFormat="1" ht="51" customHeight="1" outlineLevel="1" spans="1:17">
      <c r="A57" s="27">
        <v>13</v>
      </c>
      <c r="B57" s="28" t="s">
        <v>302</v>
      </c>
      <c r="C57" s="29" t="s">
        <v>303</v>
      </c>
      <c r="D57" s="28" t="s">
        <v>136</v>
      </c>
      <c r="E57" s="27">
        <v>1</v>
      </c>
      <c r="F57" s="27"/>
      <c r="G57" s="27">
        <v>15</v>
      </c>
      <c r="H57" s="27">
        <f t="shared" si="11"/>
        <v>50</v>
      </c>
      <c r="I57" s="27">
        <v>50</v>
      </c>
      <c r="J57" s="52">
        <v>0</v>
      </c>
      <c r="K57" s="27">
        <v>5</v>
      </c>
      <c r="L57" s="50">
        <f t="shared" si="3"/>
        <v>9.8</v>
      </c>
      <c r="M57" s="19">
        <f t="shared" si="4"/>
        <v>7.182</v>
      </c>
      <c r="N57" s="35">
        <f t="shared" si="8"/>
        <v>86.982</v>
      </c>
      <c r="O57" s="31">
        <f t="shared" si="9"/>
        <v>86.982</v>
      </c>
      <c r="P57" s="31">
        <f t="shared" si="10"/>
        <v>0</v>
      </c>
      <c r="Q57" s="53"/>
    </row>
    <row r="58" s="1" customFormat="1" ht="48" outlineLevel="1" spans="1:17">
      <c r="A58" s="27">
        <v>14</v>
      </c>
      <c r="B58" s="28" t="s">
        <v>304</v>
      </c>
      <c r="C58" s="40" t="s">
        <v>305</v>
      </c>
      <c r="D58" s="35" t="s">
        <v>84</v>
      </c>
      <c r="E58" s="41">
        <v>8.16</v>
      </c>
      <c r="F58" s="41">
        <f>E58</f>
        <v>8.16</v>
      </c>
      <c r="G58" s="27">
        <v>12</v>
      </c>
      <c r="H58" s="27">
        <f t="shared" si="11"/>
        <v>7.35</v>
      </c>
      <c r="I58" s="27">
        <v>7</v>
      </c>
      <c r="J58" s="52">
        <v>0.05</v>
      </c>
      <c r="K58" s="27">
        <v>1</v>
      </c>
      <c r="L58" s="50">
        <f t="shared" si="3"/>
        <v>2.849</v>
      </c>
      <c r="M58" s="19">
        <f t="shared" si="4"/>
        <v>2.08791</v>
      </c>
      <c r="N58" s="35">
        <f t="shared" si="8"/>
        <v>25.28691</v>
      </c>
      <c r="O58" s="31">
        <f t="shared" si="9"/>
        <v>206.3411856</v>
      </c>
      <c r="P58" s="31">
        <f t="shared" si="10"/>
        <v>206.3411856</v>
      </c>
      <c r="Q58" s="53" t="s">
        <v>300</v>
      </c>
    </row>
    <row r="59" s="1" customFormat="1" ht="48" outlineLevel="1" spans="1:17">
      <c r="A59" s="27">
        <v>15</v>
      </c>
      <c r="B59" s="28" t="s">
        <v>304</v>
      </c>
      <c r="C59" s="40" t="s">
        <v>306</v>
      </c>
      <c r="D59" s="35" t="s">
        <v>84</v>
      </c>
      <c r="E59" s="41">
        <v>15.77</v>
      </c>
      <c r="F59" s="41">
        <f>E59</f>
        <v>15.77</v>
      </c>
      <c r="G59" s="27">
        <v>12</v>
      </c>
      <c r="H59" s="27">
        <f t="shared" si="11"/>
        <v>5.25</v>
      </c>
      <c r="I59" s="27">
        <v>5</v>
      </c>
      <c r="J59" s="52">
        <v>0.05</v>
      </c>
      <c r="K59" s="27">
        <v>1</v>
      </c>
      <c r="L59" s="50">
        <f t="shared" si="3"/>
        <v>2.555</v>
      </c>
      <c r="M59" s="19">
        <f t="shared" si="4"/>
        <v>1.87245</v>
      </c>
      <c r="N59" s="35">
        <f t="shared" si="8"/>
        <v>22.67745</v>
      </c>
      <c r="O59" s="31">
        <f t="shared" si="9"/>
        <v>357.6233865</v>
      </c>
      <c r="P59" s="31">
        <f t="shared" si="10"/>
        <v>357.6233865</v>
      </c>
      <c r="Q59" s="53" t="s">
        <v>300</v>
      </c>
    </row>
    <row r="60" s="1" customFormat="1" ht="48" outlineLevel="1" spans="1:17">
      <c r="A60" s="27">
        <v>16</v>
      </c>
      <c r="B60" s="28" t="s">
        <v>304</v>
      </c>
      <c r="C60" s="40" t="s">
        <v>307</v>
      </c>
      <c r="D60" s="35" t="s">
        <v>84</v>
      </c>
      <c r="E60" s="41">
        <v>3.2</v>
      </c>
      <c r="F60" s="41">
        <f>E60</f>
        <v>3.2</v>
      </c>
      <c r="G60" s="27">
        <v>12</v>
      </c>
      <c r="H60" s="27">
        <f t="shared" si="11"/>
        <v>8.4</v>
      </c>
      <c r="I60" s="27">
        <v>8</v>
      </c>
      <c r="J60" s="52">
        <v>0.05</v>
      </c>
      <c r="K60" s="27">
        <v>1</v>
      </c>
      <c r="L60" s="50">
        <f t="shared" si="3"/>
        <v>2.996</v>
      </c>
      <c r="M60" s="19">
        <f t="shared" si="4"/>
        <v>2.19564</v>
      </c>
      <c r="N60" s="35">
        <f t="shared" si="8"/>
        <v>26.59164</v>
      </c>
      <c r="O60" s="31">
        <f t="shared" si="9"/>
        <v>85.093248</v>
      </c>
      <c r="P60" s="31">
        <f t="shared" si="10"/>
        <v>85.093248</v>
      </c>
      <c r="Q60" s="53" t="s">
        <v>300</v>
      </c>
    </row>
    <row r="61" s="1" customFormat="1" ht="48" outlineLevel="1" spans="1:17">
      <c r="A61" s="27">
        <v>17</v>
      </c>
      <c r="B61" s="28" t="s">
        <v>304</v>
      </c>
      <c r="C61" s="40" t="s">
        <v>308</v>
      </c>
      <c r="D61" s="35" t="s">
        <v>84</v>
      </c>
      <c r="E61" s="41">
        <v>5.12</v>
      </c>
      <c r="F61" s="41">
        <f>E61</f>
        <v>5.12</v>
      </c>
      <c r="G61" s="27">
        <v>12</v>
      </c>
      <c r="H61" s="27">
        <f t="shared" si="11"/>
        <v>6.3</v>
      </c>
      <c r="I61" s="27">
        <v>6</v>
      </c>
      <c r="J61" s="52">
        <v>0.05</v>
      </c>
      <c r="K61" s="27">
        <v>1</v>
      </c>
      <c r="L61" s="50">
        <f t="shared" si="3"/>
        <v>2.702</v>
      </c>
      <c r="M61" s="19">
        <f t="shared" si="4"/>
        <v>1.98018</v>
      </c>
      <c r="N61" s="35">
        <f t="shared" si="8"/>
        <v>23.98218</v>
      </c>
      <c r="O61" s="31">
        <f t="shared" si="9"/>
        <v>122.7887616</v>
      </c>
      <c r="P61" s="31">
        <f t="shared" si="10"/>
        <v>122.7887616</v>
      </c>
      <c r="Q61" s="53" t="s">
        <v>300</v>
      </c>
    </row>
    <row r="62" s="1" customFormat="1" spans="1:17">
      <c r="A62" s="27">
        <v>18</v>
      </c>
      <c r="B62" s="36" t="s">
        <v>54</v>
      </c>
      <c r="C62" s="36"/>
      <c r="D62" s="36" t="s">
        <v>272</v>
      </c>
      <c r="E62" s="37"/>
      <c r="F62" s="37"/>
      <c r="G62" s="27"/>
      <c r="H62" s="37"/>
      <c r="I62" s="37"/>
      <c r="J62" s="51"/>
      <c r="K62" s="37"/>
      <c r="L62" s="50"/>
      <c r="M62" s="19"/>
      <c r="N62" s="35"/>
      <c r="O62" s="31">
        <f>SUM(O45:O61)</f>
        <v>10230.5177817</v>
      </c>
      <c r="P62" s="31">
        <f>SUM(P45:P61)</f>
        <v>841.4321817</v>
      </c>
      <c r="Q62" s="53"/>
    </row>
    <row r="63" s="1" customFormat="1" spans="1:17">
      <c r="A63" s="27" t="s">
        <v>152</v>
      </c>
      <c r="B63" s="36" t="s">
        <v>309</v>
      </c>
      <c r="C63" s="36" t="s">
        <v>191</v>
      </c>
      <c r="D63" s="36" t="s">
        <v>272</v>
      </c>
      <c r="E63" s="37"/>
      <c r="F63" s="37"/>
      <c r="G63" s="27"/>
      <c r="H63" s="37"/>
      <c r="I63" s="37"/>
      <c r="J63" s="51"/>
      <c r="K63" s="37"/>
      <c r="L63" s="50"/>
      <c r="M63" s="19"/>
      <c r="N63" s="35"/>
      <c r="O63" s="31">
        <f>O62+O43</f>
        <v>19589.79595503</v>
      </c>
      <c r="P63" s="31">
        <f>P62+P43</f>
        <v>5229.37840503</v>
      </c>
      <c r="Q63" s="53"/>
    </row>
    <row r="64" s="1" customFormat="1" spans="1:17">
      <c r="A64" s="25" t="s">
        <v>75</v>
      </c>
      <c r="B64" s="25" t="s">
        <v>310</v>
      </c>
      <c r="C64" s="25" t="s">
        <v>191</v>
      </c>
      <c r="D64" s="25" t="s">
        <v>192</v>
      </c>
      <c r="E64" s="26"/>
      <c r="F64" s="26"/>
      <c r="G64" s="19"/>
      <c r="H64" s="19"/>
      <c r="I64" s="19"/>
      <c r="J64" s="46"/>
      <c r="K64" s="19"/>
      <c r="L64" s="50"/>
      <c r="M64" s="19"/>
      <c r="N64" s="19"/>
      <c r="O64" s="19"/>
      <c r="P64" s="19"/>
      <c r="Q64" s="53"/>
    </row>
    <row r="65" s="1" customFormat="1" ht="48" outlineLevel="1" spans="1:17">
      <c r="A65" s="27">
        <v>1</v>
      </c>
      <c r="B65" s="28" t="s">
        <v>193</v>
      </c>
      <c r="C65" s="29" t="s">
        <v>194</v>
      </c>
      <c r="D65" s="28" t="s">
        <v>136</v>
      </c>
      <c r="E65" s="30">
        <v>4</v>
      </c>
      <c r="F65" s="30"/>
      <c r="G65" s="31">
        <v>15</v>
      </c>
      <c r="H65" s="31">
        <f t="shared" ref="H65:H72" si="12">I65*(1+J65)</f>
        <v>25.3</v>
      </c>
      <c r="I65" s="31">
        <v>25.3</v>
      </c>
      <c r="J65" s="49">
        <v>0</v>
      </c>
      <c r="K65" s="31">
        <v>1</v>
      </c>
      <c r="L65" s="50">
        <f t="shared" si="3"/>
        <v>5.782</v>
      </c>
      <c r="M65" s="19">
        <f t="shared" si="4"/>
        <v>4.23738</v>
      </c>
      <c r="N65" s="35">
        <f t="shared" ref="N63:N99" si="13">G65+H65+K65+L65+M65</f>
        <v>51.31938</v>
      </c>
      <c r="O65" s="31">
        <f t="shared" ref="O65:O98" si="14">N65*E65</f>
        <v>205.27752</v>
      </c>
      <c r="P65" s="31">
        <f>F65*N65</f>
        <v>0</v>
      </c>
      <c r="Q65" s="53" t="s">
        <v>195</v>
      </c>
    </row>
    <row r="66" s="1" customFormat="1" ht="48" outlineLevel="1" spans="1:17">
      <c r="A66" s="27">
        <v>2</v>
      </c>
      <c r="B66" s="28" t="s">
        <v>200</v>
      </c>
      <c r="C66" s="29" t="s">
        <v>201</v>
      </c>
      <c r="D66" s="28" t="s">
        <v>136</v>
      </c>
      <c r="E66" s="30">
        <v>1</v>
      </c>
      <c r="F66" s="30"/>
      <c r="G66" s="31">
        <v>15</v>
      </c>
      <c r="H66" s="31">
        <f t="shared" si="12"/>
        <v>55</v>
      </c>
      <c r="I66" s="31">
        <v>55</v>
      </c>
      <c r="J66" s="49">
        <v>0</v>
      </c>
      <c r="K66" s="31">
        <v>1</v>
      </c>
      <c r="L66" s="50">
        <f t="shared" si="3"/>
        <v>9.94</v>
      </c>
      <c r="M66" s="19">
        <f t="shared" si="4"/>
        <v>7.2846</v>
      </c>
      <c r="N66" s="35">
        <f t="shared" si="13"/>
        <v>88.2246</v>
      </c>
      <c r="O66" s="31">
        <f t="shared" si="14"/>
        <v>88.2246</v>
      </c>
      <c r="P66" s="31">
        <f>F66*N66</f>
        <v>0</v>
      </c>
      <c r="Q66" s="53" t="s">
        <v>195</v>
      </c>
    </row>
    <row r="67" s="1" customFormat="1" ht="48" outlineLevel="1" spans="1:17">
      <c r="A67" s="27">
        <v>3</v>
      </c>
      <c r="B67" s="28" t="s">
        <v>202</v>
      </c>
      <c r="C67" s="29" t="s">
        <v>203</v>
      </c>
      <c r="D67" s="28" t="s">
        <v>136</v>
      </c>
      <c r="E67" s="30">
        <v>3</v>
      </c>
      <c r="F67" s="30"/>
      <c r="G67" s="31">
        <v>18</v>
      </c>
      <c r="H67" s="31">
        <f t="shared" si="12"/>
        <v>200</v>
      </c>
      <c r="I67" s="31">
        <v>200</v>
      </c>
      <c r="J67" s="49">
        <v>0</v>
      </c>
      <c r="K67" s="31">
        <v>1</v>
      </c>
      <c r="L67" s="50">
        <f t="shared" si="3"/>
        <v>30.66</v>
      </c>
      <c r="M67" s="19">
        <f t="shared" si="4"/>
        <v>22.4694</v>
      </c>
      <c r="N67" s="35">
        <f t="shared" si="13"/>
        <v>272.1294</v>
      </c>
      <c r="O67" s="31">
        <f t="shared" si="14"/>
        <v>816.3882</v>
      </c>
      <c r="P67" s="31">
        <f t="shared" ref="P66:P98" si="15">F67*N67</f>
        <v>0</v>
      </c>
      <c r="Q67" s="53" t="s">
        <v>195</v>
      </c>
    </row>
    <row r="68" s="1" customFormat="1" ht="48" outlineLevel="1" spans="1:17">
      <c r="A68" s="27">
        <v>4</v>
      </c>
      <c r="B68" s="28" t="s">
        <v>204</v>
      </c>
      <c r="C68" s="29" t="s">
        <v>205</v>
      </c>
      <c r="D68" s="28" t="s">
        <v>136</v>
      </c>
      <c r="E68" s="30">
        <v>1</v>
      </c>
      <c r="F68" s="30"/>
      <c r="G68" s="32">
        <v>18</v>
      </c>
      <c r="H68" s="31">
        <f t="shared" si="12"/>
        <v>110</v>
      </c>
      <c r="I68" s="31">
        <v>110</v>
      </c>
      <c r="J68" s="49">
        <v>0</v>
      </c>
      <c r="K68" s="31">
        <v>1</v>
      </c>
      <c r="L68" s="50">
        <f t="shared" si="3"/>
        <v>18.06</v>
      </c>
      <c r="M68" s="19">
        <f t="shared" si="4"/>
        <v>13.2354</v>
      </c>
      <c r="N68" s="35">
        <f t="shared" si="13"/>
        <v>160.2954</v>
      </c>
      <c r="O68" s="31">
        <f t="shared" si="14"/>
        <v>160.2954</v>
      </c>
      <c r="P68" s="31">
        <f t="shared" si="15"/>
        <v>0</v>
      </c>
      <c r="Q68" s="53" t="s">
        <v>195</v>
      </c>
    </row>
    <row r="69" s="1" customFormat="1" ht="48" outlineLevel="1" spans="1:17">
      <c r="A69" s="27">
        <v>5</v>
      </c>
      <c r="B69" s="28" t="s">
        <v>206</v>
      </c>
      <c r="C69" s="29" t="s">
        <v>207</v>
      </c>
      <c r="D69" s="28" t="s">
        <v>136</v>
      </c>
      <c r="E69" s="30">
        <v>1</v>
      </c>
      <c r="F69" s="30"/>
      <c r="G69" s="31">
        <v>30</v>
      </c>
      <c r="H69" s="31">
        <f t="shared" si="12"/>
        <v>500</v>
      </c>
      <c r="I69" s="31">
        <v>500</v>
      </c>
      <c r="J69" s="49">
        <v>0</v>
      </c>
      <c r="K69" s="31">
        <v>10</v>
      </c>
      <c r="L69" s="50">
        <f t="shared" si="3"/>
        <v>75.6</v>
      </c>
      <c r="M69" s="19">
        <f t="shared" si="4"/>
        <v>55.404</v>
      </c>
      <c r="N69" s="35">
        <f t="shared" si="13"/>
        <v>671.004</v>
      </c>
      <c r="O69" s="31">
        <f t="shared" si="14"/>
        <v>671.004</v>
      </c>
      <c r="P69" s="31">
        <f t="shared" si="15"/>
        <v>0</v>
      </c>
      <c r="Q69" s="53"/>
    </row>
    <row r="70" s="1" customFormat="1" ht="48" outlineLevel="1" spans="1:17">
      <c r="A70" s="27">
        <v>6</v>
      </c>
      <c r="B70" s="28" t="s">
        <v>208</v>
      </c>
      <c r="C70" s="29" t="s">
        <v>209</v>
      </c>
      <c r="D70" s="28" t="s">
        <v>136</v>
      </c>
      <c r="E70" s="30">
        <v>1</v>
      </c>
      <c r="F70" s="30"/>
      <c r="G70" s="31">
        <v>18</v>
      </c>
      <c r="H70" s="31">
        <f t="shared" si="12"/>
        <v>60</v>
      </c>
      <c r="I70" s="31">
        <v>60</v>
      </c>
      <c r="J70" s="49">
        <v>0</v>
      </c>
      <c r="K70" s="31">
        <v>1.5</v>
      </c>
      <c r="L70" s="50">
        <f t="shared" si="3"/>
        <v>11.13</v>
      </c>
      <c r="M70" s="19">
        <f t="shared" si="4"/>
        <v>8.1567</v>
      </c>
      <c r="N70" s="35">
        <f t="shared" si="13"/>
        <v>98.7867</v>
      </c>
      <c r="O70" s="31">
        <f t="shared" si="14"/>
        <v>98.7867</v>
      </c>
      <c r="P70" s="31">
        <f t="shared" si="15"/>
        <v>0</v>
      </c>
      <c r="Q70" s="53" t="s">
        <v>195</v>
      </c>
    </row>
    <row r="71" s="1" customFormat="1" ht="36" outlineLevel="1" spans="1:21">
      <c r="A71" s="27">
        <v>7</v>
      </c>
      <c r="B71" s="28" t="s">
        <v>210</v>
      </c>
      <c r="C71" s="29" t="s">
        <v>211</v>
      </c>
      <c r="D71" s="28" t="s">
        <v>136</v>
      </c>
      <c r="E71" s="30">
        <v>1</v>
      </c>
      <c r="F71" s="30"/>
      <c r="G71" s="31">
        <v>15</v>
      </c>
      <c r="H71" s="31">
        <f t="shared" si="12"/>
        <v>50</v>
      </c>
      <c r="I71" s="31">
        <v>50</v>
      </c>
      <c r="J71" s="49">
        <v>0</v>
      </c>
      <c r="K71" s="31">
        <v>1.5</v>
      </c>
      <c r="L71" s="50">
        <f t="shared" ref="L71:L134" si="16">(G71+H71+K71)*$L$4</f>
        <v>9.31</v>
      </c>
      <c r="M71" s="19">
        <f t="shared" ref="M71:M134" si="17">(G71+H71+K71+L71)*$M$4</f>
        <v>6.8229</v>
      </c>
      <c r="N71" s="35">
        <f t="shared" si="13"/>
        <v>82.6329</v>
      </c>
      <c r="O71" s="31">
        <f t="shared" si="14"/>
        <v>82.6329</v>
      </c>
      <c r="P71" s="31">
        <f t="shared" si="15"/>
        <v>0</v>
      </c>
      <c r="Q71" s="53" t="s">
        <v>195</v>
      </c>
      <c r="S71" s="54"/>
      <c r="T71" s="54"/>
      <c r="U71" s="54"/>
    </row>
    <row r="72" s="1" customFormat="1" ht="48" outlineLevel="1" spans="1:21">
      <c r="A72" s="27">
        <v>8</v>
      </c>
      <c r="B72" s="28" t="s">
        <v>214</v>
      </c>
      <c r="C72" s="29" t="s">
        <v>215</v>
      </c>
      <c r="D72" s="28" t="s">
        <v>136</v>
      </c>
      <c r="E72" s="30">
        <v>17</v>
      </c>
      <c r="F72" s="30"/>
      <c r="G72" s="31">
        <v>8</v>
      </c>
      <c r="H72" s="31">
        <f t="shared" si="12"/>
        <v>16</v>
      </c>
      <c r="I72" s="31">
        <v>16</v>
      </c>
      <c r="J72" s="49">
        <v>0</v>
      </c>
      <c r="K72" s="31">
        <v>0.5</v>
      </c>
      <c r="L72" s="50">
        <f t="shared" si="16"/>
        <v>3.43</v>
      </c>
      <c r="M72" s="19">
        <f t="shared" si="17"/>
        <v>2.5137</v>
      </c>
      <c r="N72" s="35">
        <f t="shared" si="13"/>
        <v>30.4437</v>
      </c>
      <c r="O72" s="31">
        <f t="shared" si="14"/>
        <v>517.5429</v>
      </c>
      <c r="P72" s="31">
        <f t="shared" si="15"/>
        <v>0</v>
      </c>
      <c r="Q72" s="53" t="s">
        <v>216</v>
      </c>
      <c r="S72" s="54"/>
      <c r="T72" s="55"/>
      <c r="U72" s="54"/>
    </row>
    <row r="73" s="1" customFormat="1" ht="48" outlineLevel="1" spans="1:21">
      <c r="A73" s="27">
        <v>9</v>
      </c>
      <c r="B73" s="28" t="s">
        <v>217</v>
      </c>
      <c r="C73" s="29" t="s">
        <v>218</v>
      </c>
      <c r="D73" s="28" t="s">
        <v>136</v>
      </c>
      <c r="E73" s="30">
        <v>1</v>
      </c>
      <c r="F73" s="30"/>
      <c r="G73" s="31">
        <v>8</v>
      </c>
      <c r="H73" s="31">
        <f t="shared" ref="H73:H98" si="18">I73*(1+J73)</f>
        <v>18</v>
      </c>
      <c r="I73" s="31">
        <v>18</v>
      </c>
      <c r="J73" s="49">
        <v>0</v>
      </c>
      <c r="K73" s="31">
        <v>0.5</v>
      </c>
      <c r="L73" s="50">
        <f t="shared" si="16"/>
        <v>3.71</v>
      </c>
      <c r="M73" s="19">
        <f t="shared" si="17"/>
        <v>2.7189</v>
      </c>
      <c r="N73" s="35">
        <f t="shared" si="13"/>
        <v>32.9289</v>
      </c>
      <c r="O73" s="31">
        <f t="shared" si="14"/>
        <v>32.9289</v>
      </c>
      <c r="P73" s="31">
        <f t="shared" si="15"/>
        <v>0</v>
      </c>
      <c r="Q73" s="53" t="s">
        <v>216</v>
      </c>
      <c r="S73" s="54"/>
      <c r="T73" s="54"/>
      <c r="U73" s="54"/>
    </row>
    <row r="74" s="1" customFormat="1" ht="48" outlineLevel="1" spans="1:17">
      <c r="A74" s="27">
        <v>10</v>
      </c>
      <c r="B74" s="28" t="s">
        <v>219</v>
      </c>
      <c r="C74" s="29" t="s">
        <v>220</v>
      </c>
      <c r="D74" s="28" t="s">
        <v>136</v>
      </c>
      <c r="E74" s="30">
        <v>1</v>
      </c>
      <c r="F74" s="30"/>
      <c r="G74" s="31">
        <v>8</v>
      </c>
      <c r="H74" s="31">
        <f t="shared" si="18"/>
        <v>18</v>
      </c>
      <c r="I74" s="31">
        <v>18</v>
      </c>
      <c r="J74" s="49">
        <v>0</v>
      </c>
      <c r="K74" s="31">
        <v>0.5</v>
      </c>
      <c r="L74" s="50">
        <f t="shared" si="16"/>
        <v>3.71</v>
      </c>
      <c r="M74" s="19">
        <f t="shared" si="17"/>
        <v>2.7189</v>
      </c>
      <c r="N74" s="35">
        <f t="shared" si="13"/>
        <v>32.9289</v>
      </c>
      <c r="O74" s="31">
        <f t="shared" si="14"/>
        <v>32.9289</v>
      </c>
      <c r="P74" s="31">
        <f t="shared" si="15"/>
        <v>0</v>
      </c>
      <c r="Q74" s="53" t="s">
        <v>216</v>
      </c>
    </row>
    <row r="75" s="1" customFormat="1" ht="48" outlineLevel="1" spans="1:17">
      <c r="A75" s="27">
        <v>11</v>
      </c>
      <c r="B75" s="28" t="s">
        <v>221</v>
      </c>
      <c r="C75" s="29" t="s">
        <v>222</v>
      </c>
      <c r="D75" s="28" t="s">
        <v>136</v>
      </c>
      <c r="E75" s="30">
        <v>1</v>
      </c>
      <c r="F75" s="30"/>
      <c r="G75" s="31">
        <v>8</v>
      </c>
      <c r="H75" s="31">
        <f t="shared" si="18"/>
        <v>27</v>
      </c>
      <c r="I75" s="31">
        <v>27</v>
      </c>
      <c r="J75" s="49">
        <v>0</v>
      </c>
      <c r="K75" s="31">
        <v>0.5</v>
      </c>
      <c r="L75" s="50">
        <f t="shared" si="16"/>
        <v>4.97</v>
      </c>
      <c r="M75" s="19">
        <f t="shared" si="17"/>
        <v>3.6423</v>
      </c>
      <c r="N75" s="35">
        <f t="shared" si="13"/>
        <v>44.1123</v>
      </c>
      <c r="O75" s="31">
        <f t="shared" si="14"/>
        <v>44.1123</v>
      </c>
      <c r="P75" s="31">
        <f t="shared" si="15"/>
        <v>0</v>
      </c>
      <c r="Q75" s="53" t="s">
        <v>216</v>
      </c>
    </row>
    <row r="76" s="1" customFormat="1" ht="48" outlineLevel="1" spans="1:17">
      <c r="A76" s="27">
        <v>12</v>
      </c>
      <c r="B76" s="28" t="s">
        <v>223</v>
      </c>
      <c r="C76" s="29" t="s">
        <v>224</v>
      </c>
      <c r="D76" s="28" t="s">
        <v>136</v>
      </c>
      <c r="E76" s="30">
        <v>1</v>
      </c>
      <c r="F76" s="30"/>
      <c r="G76" s="31">
        <v>8</v>
      </c>
      <c r="H76" s="31">
        <f t="shared" si="18"/>
        <v>27</v>
      </c>
      <c r="I76" s="31">
        <v>27</v>
      </c>
      <c r="J76" s="49">
        <v>0</v>
      </c>
      <c r="K76" s="31">
        <v>0.5</v>
      </c>
      <c r="L76" s="50">
        <f t="shared" si="16"/>
        <v>4.97</v>
      </c>
      <c r="M76" s="19">
        <f t="shared" si="17"/>
        <v>3.6423</v>
      </c>
      <c r="N76" s="35">
        <f t="shared" si="13"/>
        <v>44.1123</v>
      </c>
      <c r="O76" s="31">
        <f t="shared" si="14"/>
        <v>44.1123</v>
      </c>
      <c r="P76" s="31">
        <f t="shared" si="15"/>
        <v>0</v>
      </c>
      <c r="Q76" s="53" t="s">
        <v>216</v>
      </c>
    </row>
    <row r="77" s="1" customFormat="1" ht="48" outlineLevel="1" spans="1:20">
      <c r="A77" s="27">
        <v>13</v>
      </c>
      <c r="B77" s="28" t="s">
        <v>225</v>
      </c>
      <c r="C77" s="29" t="s">
        <v>226</v>
      </c>
      <c r="D77" s="28" t="s">
        <v>136</v>
      </c>
      <c r="E77" s="30">
        <v>1</v>
      </c>
      <c r="F77" s="30"/>
      <c r="G77" s="31">
        <v>8</v>
      </c>
      <c r="H77" s="31">
        <f t="shared" si="18"/>
        <v>46</v>
      </c>
      <c r="I77" s="31">
        <v>46</v>
      </c>
      <c r="J77" s="49">
        <v>0</v>
      </c>
      <c r="K77" s="31">
        <v>0.5</v>
      </c>
      <c r="L77" s="50">
        <f t="shared" si="16"/>
        <v>7.63</v>
      </c>
      <c r="M77" s="19">
        <f t="shared" si="17"/>
        <v>5.5917</v>
      </c>
      <c r="N77" s="35">
        <f t="shared" si="13"/>
        <v>67.7217</v>
      </c>
      <c r="O77" s="31">
        <f t="shared" si="14"/>
        <v>67.7217</v>
      </c>
      <c r="P77" s="31">
        <f t="shared" si="15"/>
        <v>0</v>
      </c>
      <c r="Q77" s="53" t="s">
        <v>216</v>
      </c>
      <c r="T77" s="55"/>
    </row>
    <row r="78" s="1" customFormat="1" ht="48" outlineLevel="1" spans="1:17">
      <c r="A78" s="27">
        <v>14</v>
      </c>
      <c r="B78" s="28" t="s">
        <v>227</v>
      </c>
      <c r="C78" s="29" t="s">
        <v>228</v>
      </c>
      <c r="D78" s="28" t="s">
        <v>136</v>
      </c>
      <c r="E78" s="30">
        <v>1</v>
      </c>
      <c r="F78" s="30"/>
      <c r="G78" s="31">
        <v>8</v>
      </c>
      <c r="H78" s="31">
        <f t="shared" si="18"/>
        <v>27</v>
      </c>
      <c r="I78" s="31">
        <v>27</v>
      </c>
      <c r="J78" s="49">
        <v>0</v>
      </c>
      <c r="K78" s="31">
        <v>0.5</v>
      </c>
      <c r="L78" s="50">
        <f t="shared" si="16"/>
        <v>4.97</v>
      </c>
      <c r="M78" s="19">
        <f t="shared" si="17"/>
        <v>3.6423</v>
      </c>
      <c r="N78" s="35">
        <f t="shared" si="13"/>
        <v>44.1123</v>
      </c>
      <c r="O78" s="31">
        <f t="shared" si="14"/>
        <v>44.1123</v>
      </c>
      <c r="P78" s="31">
        <f t="shared" si="15"/>
        <v>0</v>
      </c>
      <c r="Q78" s="53" t="s">
        <v>216</v>
      </c>
    </row>
    <row r="79" s="1" customFormat="1" ht="48" outlineLevel="1" spans="1:17">
      <c r="A79" s="27">
        <v>15</v>
      </c>
      <c r="B79" s="28" t="s">
        <v>229</v>
      </c>
      <c r="C79" s="29" t="s">
        <v>230</v>
      </c>
      <c r="D79" s="28" t="s">
        <v>136</v>
      </c>
      <c r="E79" s="30">
        <v>1</v>
      </c>
      <c r="F79" s="30"/>
      <c r="G79" s="31">
        <v>8</v>
      </c>
      <c r="H79" s="31">
        <f t="shared" si="18"/>
        <v>18</v>
      </c>
      <c r="I79" s="31">
        <v>18</v>
      </c>
      <c r="J79" s="49">
        <v>0</v>
      </c>
      <c r="K79" s="31">
        <v>0.5</v>
      </c>
      <c r="L79" s="50">
        <f t="shared" si="16"/>
        <v>3.71</v>
      </c>
      <c r="M79" s="19">
        <f t="shared" si="17"/>
        <v>2.7189</v>
      </c>
      <c r="N79" s="35">
        <f t="shared" si="13"/>
        <v>32.9289</v>
      </c>
      <c r="O79" s="31">
        <f t="shared" si="14"/>
        <v>32.9289</v>
      </c>
      <c r="P79" s="31">
        <f t="shared" si="15"/>
        <v>0</v>
      </c>
      <c r="Q79" s="53" t="s">
        <v>216</v>
      </c>
    </row>
    <row r="80" s="1" customFormat="1" ht="48" outlineLevel="1" spans="1:17">
      <c r="A80" s="27">
        <v>16</v>
      </c>
      <c r="B80" s="28" t="s">
        <v>231</v>
      </c>
      <c r="C80" s="29" t="s">
        <v>232</v>
      </c>
      <c r="D80" s="28" t="s">
        <v>136</v>
      </c>
      <c r="E80" s="30">
        <v>2</v>
      </c>
      <c r="F80" s="30"/>
      <c r="G80" s="31">
        <v>8</v>
      </c>
      <c r="H80" s="31">
        <f t="shared" si="18"/>
        <v>35.2</v>
      </c>
      <c r="I80" s="31">
        <v>35.2</v>
      </c>
      <c r="J80" s="49">
        <v>0</v>
      </c>
      <c r="K80" s="31">
        <v>0.5</v>
      </c>
      <c r="L80" s="50">
        <f t="shared" si="16"/>
        <v>6.118</v>
      </c>
      <c r="M80" s="19">
        <f t="shared" si="17"/>
        <v>4.48362</v>
      </c>
      <c r="N80" s="35">
        <f t="shared" si="13"/>
        <v>54.30162</v>
      </c>
      <c r="O80" s="31">
        <f t="shared" si="14"/>
        <v>108.60324</v>
      </c>
      <c r="P80" s="31">
        <f t="shared" si="15"/>
        <v>0</v>
      </c>
      <c r="Q80" s="53" t="s">
        <v>216</v>
      </c>
    </row>
    <row r="81" s="1" customFormat="1" ht="48" outlineLevel="1" spans="1:17">
      <c r="A81" s="27">
        <v>17</v>
      </c>
      <c r="B81" s="28" t="s">
        <v>233</v>
      </c>
      <c r="C81" s="29" t="s">
        <v>234</v>
      </c>
      <c r="D81" s="28" t="s">
        <v>136</v>
      </c>
      <c r="E81" s="30">
        <v>3</v>
      </c>
      <c r="F81" s="30"/>
      <c r="G81" s="31">
        <v>8</v>
      </c>
      <c r="H81" s="31">
        <f t="shared" si="18"/>
        <v>35.2</v>
      </c>
      <c r="I81" s="31">
        <v>35.2</v>
      </c>
      <c r="J81" s="49">
        <v>0</v>
      </c>
      <c r="K81" s="31">
        <v>0.5</v>
      </c>
      <c r="L81" s="50">
        <f t="shared" si="16"/>
        <v>6.118</v>
      </c>
      <c r="M81" s="19">
        <f t="shared" si="17"/>
        <v>4.48362</v>
      </c>
      <c r="N81" s="35">
        <f t="shared" si="13"/>
        <v>54.30162</v>
      </c>
      <c r="O81" s="31">
        <f t="shared" si="14"/>
        <v>162.90486</v>
      </c>
      <c r="P81" s="31">
        <f t="shared" si="15"/>
        <v>0</v>
      </c>
      <c r="Q81" s="53" t="s">
        <v>216</v>
      </c>
    </row>
    <row r="82" s="1" customFormat="1" ht="48" outlineLevel="1" spans="1:17">
      <c r="A82" s="27">
        <v>18</v>
      </c>
      <c r="B82" s="28" t="s">
        <v>235</v>
      </c>
      <c r="C82" s="29" t="s">
        <v>236</v>
      </c>
      <c r="D82" s="28" t="s">
        <v>136</v>
      </c>
      <c r="E82" s="30">
        <v>2</v>
      </c>
      <c r="F82" s="30"/>
      <c r="G82" s="31">
        <v>8</v>
      </c>
      <c r="H82" s="31">
        <f t="shared" si="18"/>
        <v>27</v>
      </c>
      <c r="I82" s="31">
        <v>27</v>
      </c>
      <c r="J82" s="49">
        <v>0</v>
      </c>
      <c r="K82" s="31">
        <v>0.5</v>
      </c>
      <c r="L82" s="50">
        <f t="shared" si="16"/>
        <v>4.97</v>
      </c>
      <c r="M82" s="19">
        <f t="shared" si="17"/>
        <v>3.6423</v>
      </c>
      <c r="N82" s="35">
        <f t="shared" si="13"/>
        <v>44.1123</v>
      </c>
      <c r="O82" s="31">
        <f t="shared" si="14"/>
        <v>88.2246</v>
      </c>
      <c r="P82" s="31">
        <f t="shared" si="15"/>
        <v>0</v>
      </c>
      <c r="Q82" s="53" t="s">
        <v>216</v>
      </c>
    </row>
    <row r="83" s="1" customFormat="1" ht="48" outlineLevel="1" spans="1:17">
      <c r="A83" s="27">
        <v>19</v>
      </c>
      <c r="B83" s="28" t="s">
        <v>237</v>
      </c>
      <c r="C83" s="29" t="s">
        <v>238</v>
      </c>
      <c r="D83" s="28" t="s">
        <v>136</v>
      </c>
      <c r="E83" s="30">
        <v>1</v>
      </c>
      <c r="F83" s="30"/>
      <c r="G83" s="31">
        <v>8</v>
      </c>
      <c r="H83" s="31">
        <f t="shared" si="18"/>
        <v>27</v>
      </c>
      <c r="I83" s="31">
        <v>27</v>
      </c>
      <c r="J83" s="49">
        <v>0</v>
      </c>
      <c r="K83" s="31">
        <v>0.5</v>
      </c>
      <c r="L83" s="50">
        <f t="shared" si="16"/>
        <v>4.97</v>
      </c>
      <c r="M83" s="19">
        <f t="shared" si="17"/>
        <v>3.6423</v>
      </c>
      <c r="N83" s="35">
        <f t="shared" si="13"/>
        <v>44.1123</v>
      </c>
      <c r="O83" s="31">
        <f t="shared" si="14"/>
        <v>44.1123</v>
      </c>
      <c r="P83" s="31">
        <f t="shared" si="15"/>
        <v>0</v>
      </c>
      <c r="Q83" s="53" t="s">
        <v>216</v>
      </c>
    </row>
    <row r="84" s="1" customFormat="1" ht="48" outlineLevel="1" spans="1:17">
      <c r="A84" s="27">
        <v>20</v>
      </c>
      <c r="B84" s="28" t="s">
        <v>239</v>
      </c>
      <c r="C84" s="29" t="s">
        <v>240</v>
      </c>
      <c r="D84" s="28" t="s">
        <v>136</v>
      </c>
      <c r="E84" s="30">
        <v>3</v>
      </c>
      <c r="F84" s="30"/>
      <c r="G84" s="31">
        <v>8</v>
      </c>
      <c r="H84" s="31">
        <f t="shared" si="18"/>
        <v>16.5</v>
      </c>
      <c r="I84" s="31">
        <v>16.5</v>
      </c>
      <c r="J84" s="49">
        <v>0</v>
      </c>
      <c r="K84" s="31">
        <v>0.5</v>
      </c>
      <c r="L84" s="50">
        <f t="shared" si="16"/>
        <v>3.5</v>
      </c>
      <c r="M84" s="19">
        <f t="shared" si="17"/>
        <v>2.565</v>
      </c>
      <c r="N84" s="35">
        <f t="shared" si="13"/>
        <v>31.065</v>
      </c>
      <c r="O84" s="31">
        <f t="shared" si="14"/>
        <v>93.195</v>
      </c>
      <c r="P84" s="31">
        <f t="shared" si="15"/>
        <v>0</v>
      </c>
      <c r="Q84" s="53" t="s">
        <v>216</v>
      </c>
    </row>
    <row r="85" s="1" customFormat="1" ht="48" outlineLevel="1" spans="1:17">
      <c r="A85" s="27">
        <v>21</v>
      </c>
      <c r="B85" s="28" t="s">
        <v>241</v>
      </c>
      <c r="C85" s="29" t="s">
        <v>242</v>
      </c>
      <c r="D85" s="28" t="s">
        <v>136</v>
      </c>
      <c r="E85" s="30">
        <v>2</v>
      </c>
      <c r="F85" s="30"/>
      <c r="G85" s="31">
        <v>8</v>
      </c>
      <c r="H85" s="31">
        <f t="shared" si="18"/>
        <v>18.2</v>
      </c>
      <c r="I85" s="31">
        <v>18.2</v>
      </c>
      <c r="J85" s="49">
        <v>0</v>
      </c>
      <c r="K85" s="31">
        <v>0.5</v>
      </c>
      <c r="L85" s="50">
        <f t="shared" si="16"/>
        <v>3.738</v>
      </c>
      <c r="M85" s="19">
        <f t="shared" si="17"/>
        <v>2.73942</v>
      </c>
      <c r="N85" s="35">
        <f t="shared" si="13"/>
        <v>33.17742</v>
      </c>
      <c r="O85" s="31">
        <f t="shared" si="14"/>
        <v>66.35484</v>
      </c>
      <c r="P85" s="31">
        <f t="shared" si="15"/>
        <v>0</v>
      </c>
      <c r="Q85" s="53" t="s">
        <v>216</v>
      </c>
    </row>
    <row r="86" s="1" customFormat="1" ht="48" outlineLevel="1" spans="1:17">
      <c r="A86" s="27">
        <v>22</v>
      </c>
      <c r="B86" s="28" t="s">
        <v>243</v>
      </c>
      <c r="C86" s="29" t="s">
        <v>244</v>
      </c>
      <c r="D86" s="28" t="s">
        <v>136</v>
      </c>
      <c r="E86" s="30">
        <v>2</v>
      </c>
      <c r="F86" s="30"/>
      <c r="G86" s="31">
        <v>8</v>
      </c>
      <c r="H86" s="31">
        <f t="shared" si="18"/>
        <v>30.25</v>
      </c>
      <c r="I86" s="31">
        <v>30.25</v>
      </c>
      <c r="J86" s="49">
        <v>0</v>
      </c>
      <c r="K86" s="31">
        <v>0.5</v>
      </c>
      <c r="L86" s="50">
        <f t="shared" si="16"/>
        <v>5.425</v>
      </c>
      <c r="M86" s="19">
        <f t="shared" si="17"/>
        <v>3.97575</v>
      </c>
      <c r="N86" s="35">
        <f t="shared" si="13"/>
        <v>48.15075</v>
      </c>
      <c r="O86" s="31">
        <f t="shared" si="14"/>
        <v>96.3015</v>
      </c>
      <c r="P86" s="31">
        <f t="shared" si="15"/>
        <v>0</v>
      </c>
      <c r="Q86" s="53" t="s">
        <v>216</v>
      </c>
    </row>
    <row r="87" s="1" customFormat="1" ht="48" outlineLevel="1" spans="1:17">
      <c r="A87" s="27">
        <v>23</v>
      </c>
      <c r="B87" s="28" t="s">
        <v>245</v>
      </c>
      <c r="C87" s="29" t="s">
        <v>246</v>
      </c>
      <c r="D87" s="28" t="s">
        <v>136</v>
      </c>
      <c r="E87" s="30">
        <v>1</v>
      </c>
      <c r="F87" s="30"/>
      <c r="G87" s="31">
        <v>10</v>
      </c>
      <c r="H87" s="31">
        <f t="shared" si="18"/>
        <v>63.8</v>
      </c>
      <c r="I87" s="31">
        <v>63.8</v>
      </c>
      <c r="J87" s="49">
        <v>0</v>
      </c>
      <c r="K87" s="31">
        <v>0.5</v>
      </c>
      <c r="L87" s="50">
        <f t="shared" si="16"/>
        <v>10.402</v>
      </c>
      <c r="M87" s="19">
        <f t="shared" si="17"/>
        <v>7.62318</v>
      </c>
      <c r="N87" s="35">
        <f t="shared" si="13"/>
        <v>92.32518</v>
      </c>
      <c r="O87" s="31">
        <f t="shared" si="14"/>
        <v>92.32518</v>
      </c>
      <c r="P87" s="31">
        <f t="shared" si="15"/>
        <v>0</v>
      </c>
      <c r="Q87" s="53" t="s">
        <v>247</v>
      </c>
    </row>
    <row r="88" s="1" customFormat="1" ht="60" outlineLevel="1" spans="1:17">
      <c r="A88" s="27">
        <v>24</v>
      </c>
      <c r="B88" s="28" t="s">
        <v>248</v>
      </c>
      <c r="C88" s="29" t="s">
        <v>249</v>
      </c>
      <c r="D88" s="28" t="s">
        <v>136</v>
      </c>
      <c r="E88" s="30">
        <v>1</v>
      </c>
      <c r="F88" s="30"/>
      <c r="G88" s="31">
        <v>10</v>
      </c>
      <c r="H88" s="31">
        <f t="shared" si="18"/>
        <v>5</v>
      </c>
      <c r="I88" s="31">
        <v>5</v>
      </c>
      <c r="J88" s="49">
        <v>0</v>
      </c>
      <c r="K88" s="31">
        <v>0.5</v>
      </c>
      <c r="L88" s="50">
        <f t="shared" si="16"/>
        <v>2.17</v>
      </c>
      <c r="M88" s="19">
        <f t="shared" si="17"/>
        <v>1.5903</v>
      </c>
      <c r="N88" s="35">
        <f t="shared" si="13"/>
        <v>19.2603</v>
      </c>
      <c r="O88" s="31">
        <f t="shared" si="14"/>
        <v>19.2603</v>
      </c>
      <c r="P88" s="31">
        <f t="shared" si="15"/>
        <v>0</v>
      </c>
      <c r="Q88" s="53" t="s">
        <v>250</v>
      </c>
    </row>
    <row r="89" s="1" customFormat="1" ht="48" outlineLevel="1" spans="1:17">
      <c r="A89" s="27">
        <v>25</v>
      </c>
      <c r="B89" s="28" t="s">
        <v>251</v>
      </c>
      <c r="C89" s="29" t="s">
        <v>252</v>
      </c>
      <c r="D89" s="28" t="s">
        <v>136</v>
      </c>
      <c r="E89" s="30">
        <v>1</v>
      </c>
      <c r="F89" s="30"/>
      <c r="G89" s="31">
        <v>30</v>
      </c>
      <c r="H89" s="31">
        <f t="shared" si="18"/>
        <v>45</v>
      </c>
      <c r="I89" s="31">
        <v>45</v>
      </c>
      <c r="J89" s="49">
        <v>0</v>
      </c>
      <c r="K89" s="31">
        <v>0.5</v>
      </c>
      <c r="L89" s="50">
        <f t="shared" si="16"/>
        <v>10.57</v>
      </c>
      <c r="M89" s="19">
        <f t="shared" si="17"/>
        <v>7.7463</v>
      </c>
      <c r="N89" s="35">
        <f t="shared" si="13"/>
        <v>93.8163</v>
      </c>
      <c r="O89" s="31">
        <f t="shared" si="14"/>
        <v>93.8163</v>
      </c>
      <c r="P89" s="31">
        <f t="shared" si="15"/>
        <v>0</v>
      </c>
      <c r="Q89" s="53" t="s">
        <v>195</v>
      </c>
    </row>
    <row r="90" s="1" customFormat="1" ht="36" outlineLevel="1" spans="1:17">
      <c r="A90" s="27">
        <v>26</v>
      </c>
      <c r="B90" s="28" t="s">
        <v>253</v>
      </c>
      <c r="C90" s="29" t="s">
        <v>254</v>
      </c>
      <c r="D90" s="28" t="s">
        <v>136</v>
      </c>
      <c r="E90" s="30">
        <v>5</v>
      </c>
      <c r="F90" s="30"/>
      <c r="G90" s="31">
        <v>8</v>
      </c>
      <c r="H90" s="31">
        <f t="shared" si="18"/>
        <v>10.78</v>
      </c>
      <c r="I90" s="31">
        <v>10.78</v>
      </c>
      <c r="J90" s="49">
        <v>0</v>
      </c>
      <c r="K90" s="31">
        <v>0.5</v>
      </c>
      <c r="L90" s="50">
        <f t="shared" si="16"/>
        <v>2.6992</v>
      </c>
      <c r="M90" s="19">
        <f t="shared" si="17"/>
        <v>1.978128</v>
      </c>
      <c r="N90" s="35">
        <f t="shared" si="13"/>
        <v>23.957328</v>
      </c>
      <c r="O90" s="31">
        <f t="shared" si="14"/>
        <v>119.78664</v>
      </c>
      <c r="P90" s="31">
        <f t="shared" si="15"/>
        <v>0</v>
      </c>
      <c r="Q90" s="53" t="s">
        <v>216</v>
      </c>
    </row>
    <row r="91" s="1" customFormat="1" ht="36" outlineLevel="1" spans="1:17">
      <c r="A91" s="27">
        <v>27</v>
      </c>
      <c r="B91" s="28" t="s">
        <v>255</v>
      </c>
      <c r="C91" s="29" t="s">
        <v>256</v>
      </c>
      <c r="D91" s="28" t="s">
        <v>136</v>
      </c>
      <c r="E91" s="30">
        <v>1</v>
      </c>
      <c r="F91" s="30"/>
      <c r="G91" s="31">
        <v>8</v>
      </c>
      <c r="H91" s="31">
        <f t="shared" si="18"/>
        <v>30.25</v>
      </c>
      <c r="I91" s="31">
        <v>30.25</v>
      </c>
      <c r="J91" s="49">
        <v>0</v>
      </c>
      <c r="K91" s="31">
        <v>0.5</v>
      </c>
      <c r="L91" s="50">
        <f t="shared" si="16"/>
        <v>5.425</v>
      </c>
      <c r="M91" s="19">
        <f t="shared" si="17"/>
        <v>3.97575</v>
      </c>
      <c r="N91" s="35">
        <f t="shared" si="13"/>
        <v>48.15075</v>
      </c>
      <c r="O91" s="31">
        <f t="shared" si="14"/>
        <v>48.15075</v>
      </c>
      <c r="P91" s="31">
        <f t="shared" si="15"/>
        <v>0</v>
      </c>
      <c r="Q91" s="53" t="s">
        <v>216</v>
      </c>
    </row>
    <row r="92" s="1" customFormat="1" ht="36" outlineLevel="1" spans="1:17">
      <c r="A92" s="27">
        <v>28</v>
      </c>
      <c r="B92" s="28" t="s">
        <v>257</v>
      </c>
      <c r="C92" s="29" t="s">
        <v>258</v>
      </c>
      <c r="D92" s="28" t="s">
        <v>136</v>
      </c>
      <c r="E92" s="30">
        <v>1</v>
      </c>
      <c r="F92" s="30"/>
      <c r="G92" s="31">
        <v>8</v>
      </c>
      <c r="H92" s="31">
        <f t="shared" si="18"/>
        <v>22</v>
      </c>
      <c r="I92" s="31">
        <v>22</v>
      </c>
      <c r="J92" s="49">
        <v>0</v>
      </c>
      <c r="K92" s="31">
        <v>0.5</v>
      </c>
      <c r="L92" s="50">
        <f t="shared" si="16"/>
        <v>4.27</v>
      </c>
      <c r="M92" s="19">
        <f t="shared" si="17"/>
        <v>3.1293</v>
      </c>
      <c r="N92" s="35">
        <f t="shared" si="13"/>
        <v>37.8993</v>
      </c>
      <c r="O92" s="31">
        <f t="shared" si="14"/>
        <v>37.8993</v>
      </c>
      <c r="P92" s="31">
        <f t="shared" si="15"/>
        <v>0</v>
      </c>
      <c r="Q92" s="53" t="s">
        <v>216</v>
      </c>
    </row>
    <row r="93" s="1" customFormat="1" ht="36" outlineLevel="1" spans="1:17">
      <c r="A93" s="27">
        <v>29</v>
      </c>
      <c r="B93" s="28" t="s">
        <v>259</v>
      </c>
      <c r="C93" s="29" t="s">
        <v>260</v>
      </c>
      <c r="D93" s="28" t="s">
        <v>136</v>
      </c>
      <c r="E93" s="30">
        <f>1+2</f>
        <v>3</v>
      </c>
      <c r="F93" s="30"/>
      <c r="G93" s="31">
        <v>8</v>
      </c>
      <c r="H93" s="31">
        <f t="shared" si="18"/>
        <v>33.55</v>
      </c>
      <c r="I93" s="31">
        <v>33.55</v>
      </c>
      <c r="J93" s="49">
        <v>0</v>
      </c>
      <c r="K93" s="31">
        <v>0.5</v>
      </c>
      <c r="L93" s="50">
        <f t="shared" si="16"/>
        <v>5.887</v>
      </c>
      <c r="M93" s="19">
        <f t="shared" si="17"/>
        <v>4.31433</v>
      </c>
      <c r="N93" s="35">
        <f t="shared" si="13"/>
        <v>52.25133</v>
      </c>
      <c r="O93" s="31">
        <f t="shared" si="14"/>
        <v>156.75399</v>
      </c>
      <c r="P93" s="31">
        <f t="shared" si="15"/>
        <v>0</v>
      </c>
      <c r="Q93" s="53" t="s">
        <v>216</v>
      </c>
    </row>
    <row r="94" s="1" customFormat="1" ht="48" outlineLevel="1" spans="1:17">
      <c r="A94" s="27">
        <v>30</v>
      </c>
      <c r="B94" s="33" t="s">
        <v>261</v>
      </c>
      <c r="C94" s="34" t="s">
        <v>262</v>
      </c>
      <c r="D94" s="35" t="s">
        <v>84</v>
      </c>
      <c r="E94" s="35">
        <v>174.92</v>
      </c>
      <c r="F94" s="35">
        <f>E94</f>
        <v>174.92</v>
      </c>
      <c r="G94" s="31">
        <v>3</v>
      </c>
      <c r="H94" s="31">
        <f t="shared" si="18"/>
        <v>1.575</v>
      </c>
      <c r="I94" s="31">
        <v>1.5</v>
      </c>
      <c r="J94" s="49">
        <v>0.05</v>
      </c>
      <c r="K94" s="31">
        <v>0.3</v>
      </c>
      <c r="L94" s="50">
        <f t="shared" si="16"/>
        <v>0.6825</v>
      </c>
      <c r="M94" s="19">
        <f t="shared" si="17"/>
        <v>0.500175</v>
      </c>
      <c r="N94" s="35">
        <f t="shared" si="13"/>
        <v>6.057675</v>
      </c>
      <c r="O94" s="31">
        <f t="shared" si="14"/>
        <v>1059.608511</v>
      </c>
      <c r="P94" s="31">
        <f t="shared" si="15"/>
        <v>1059.608511</v>
      </c>
      <c r="Q94" s="53" t="s">
        <v>263</v>
      </c>
    </row>
    <row r="95" s="1" customFormat="1" ht="48" outlineLevel="1" spans="1:17">
      <c r="A95" s="27">
        <v>31</v>
      </c>
      <c r="B95" s="33" t="s">
        <v>261</v>
      </c>
      <c r="C95" s="34" t="s">
        <v>264</v>
      </c>
      <c r="D95" s="35" t="s">
        <v>84</v>
      </c>
      <c r="E95" s="35">
        <v>305.46</v>
      </c>
      <c r="F95" s="35">
        <f>E95</f>
        <v>305.46</v>
      </c>
      <c r="G95" s="31">
        <v>3</v>
      </c>
      <c r="H95" s="31">
        <f t="shared" si="18"/>
        <v>2.415</v>
      </c>
      <c r="I95" s="31">
        <v>2.3</v>
      </c>
      <c r="J95" s="49">
        <v>0.05</v>
      </c>
      <c r="K95" s="31">
        <v>0.3</v>
      </c>
      <c r="L95" s="50">
        <f t="shared" si="16"/>
        <v>0.8001</v>
      </c>
      <c r="M95" s="19">
        <f t="shared" si="17"/>
        <v>0.586359</v>
      </c>
      <c r="N95" s="35">
        <f t="shared" si="13"/>
        <v>7.101459</v>
      </c>
      <c r="O95" s="31">
        <f t="shared" si="14"/>
        <v>2169.21166614</v>
      </c>
      <c r="P95" s="31">
        <f t="shared" si="15"/>
        <v>2169.21166614</v>
      </c>
      <c r="Q95" s="53" t="s">
        <v>263</v>
      </c>
    </row>
    <row r="96" s="1" customFormat="1" ht="48" outlineLevel="1" spans="1:17">
      <c r="A96" s="27">
        <v>32</v>
      </c>
      <c r="B96" s="33" t="s">
        <v>265</v>
      </c>
      <c r="C96" s="34" t="s">
        <v>266</v>
      </c>
      <c r="D96" s="35" t="s">
        <v>84</v>
      </c>
      <c r="E96" s="35">
        <v>16.06</v>
      </c>
      <c r="F96" s="35">
        <f>E96</f>
        <v>16.06</v>
      </c>
      <c r="G96" s="31">
        <v>5</v>
      </c>
      <c r="H96" s="31">
        <f t="shared" si="18"/>
        <v>2.625</v>
      </c>
      <c r="I96" s="31">
        <v>2.5</v>
      </c>
      <c r="J96" s="49">
        <v>0.05</v>
      </c>
      <c r="K96" s="31">
        <v>0.5</v>
      </c>
      <c r="L96" s="50">
        <f t="shared" si="16"/>
        <v>1.1375</v>
      </c>
      <c r="M96" s="19">
        <f t="shared" si="17"/>
        <v>0.833625</v>
      </c>
      <c r="N96" s="35">
        <f t="shared" si="13"/>
        <v>10.096125</v>
      </c>
      <c r="O96" s="31">
        <f t="shared" si="14"/>
        <v>162.1437675</v>
      </c>
      <c r="P96" s="31">
        <f t="shared" si="15"/>
        <v>162.1437675</v>
      </c>
      <c r="Q96" s="53" t="s">
        <v>267</v>
      </c>
    </row>
    <row r="97" s="1" customFormat="1" ht="48" outlineLevel="1" spans="1:17">
      <c r="A97" s="27">
        <v>33</v>
      </c>
      <c r="B97" s="33" t="s">
        <v>268</v>
      </c>
      <c r="C97" s="34" t="s">
        <v>269</v>
      </c>
      <c r="D97" s="35" t="s">
        <v>84</v>
      </c>
      <c r="E97" s="35">
        <v>3.56</v>
      </c>
      <c r="F97" s="35">
        <f>E97</f>
        <v>3.56</v>
      </c>
      <c r="G97" s="31">
        <v>5</v>
      </c>
      <c r="H97" s="31">
        <f t="shared" si="18"/>
        <v>1.575</v>
      </c>
      <c r="I97" s="31">
        <v>1.5</v>
      </c>
      <c r="J97" s="49">
        <v>0.05</v>
      </c>
      <c r="K97" s="31">
        <v>0.5</v>
      </c>
      <c r="L97" s="50">
        <f t="shared" si="16"/>
        <v>0.9905</v>
      </c>
      <c r="M97" s="19">
        <f t="shared" si="17"/>
        <v>0.725895</v>
      </c>
      <c r="N97" s="35">
        <f t="shared" si="13"/>
        <v>8.791395</v>
      </c>
      <c r="O97" s="31">
        <f t="shared" si="14"/>
        <v>31.2973662</v>
      </c>
      <c r="P97" s="31">
        <f t="shared" si="15"/>
        <v>31.2973662</v>
      </c>
      <c r="Q97" s="53"/>
    </row>
    <row r="98" s="1" customFormat="1" ht="48" outlineLevel="1" spans="1:17">
      <c r="A98" s="27">
        <v>34</v>
      </c>
      <c r="B98" s="33" t="s">
        <v>270</v>
      </c>
      <c r="C98" s="34" t="s">
        <v>271</v>
      </c>
      <c r="D98" s="35" t="s">
        <v>84</v>
      </c>
      <c r="E98" s="35">
        <v>4.79</v>
      </c>
      <c r="F98" s="35">
        <f>E98</f>
        <v>4.79</v>
      </c>
      <c r="G98" s="31">
        <v>5</v>
      </c>
      <c r="H98" s="31">
        <f t="shared" si="18"/>
        <v>3.675</v>
      </c>
      <c r="I98" s="31">
        <v>3.5</v>
      </c>
      <c r="J98" s="49">
        <v>0.05</v>
      </c>
      <c r="K98" s="31">
        <v>0.5</v>
      </c>
      <c r="L98" s="50">
        <f t="shared" si="16"/>
        <v>1.2845</v>
      </c>
      <c r="M98" s="19">
        <f t="shared" si="17"/>
        <v>0.941355</v>
      </c>
      <c r="N98" s="35">
        <f t="shared" si="13"/>
        <v>11.400855</v>
      </c>
      <c r="O98" s="31">
        <f t="shared" si="14"/>
        <v>54.61009545</v>
      </c>
      <c r="P98" s="31">
        <f t="shared" si="15"/>
        <v>54.61009545</v>
      </c>
      <c r="Q98" s="53"/>
    </row>
    <row r="99" s="1" customFormat="1" spans="1:17">
      <c r="A99" s="27">
        <v>35</v>
      </c>
      <c r="B99" s="36" t="s">
        <v>54</v>
      </c>
      <c r="C99" s="36"/>
      <c r="D99" s="36" t="s">
        <v>272</v>
      </c>
      <c r="E99" s="37"/>
      <c r="F99" s="37"/>
      <c r="G99" s="27"/>
      <c r="H99" s="37"/>
      <c r="I99" s="37"/>
      <c r="J99" s="51"/>
      <c r="K99" s="37"/>
      <c r="L99" s="50"/>
      <c r="M99" s="19"/>
      <c r="N99" s="35"/>
      <c r="O99" s="31">
        <f>SUM(O65:O98)</f>
        <v>7643.55772629</v>
      </c>
      <c r="P99" s="31">
        <f>SUM(P65:P98)</f>
        <v>3476.87140629</v>
      </c>
      <c r="Q99" s="53"/>
    </row>
    <row r="100" s="1" customFormat="1" spans="1:17">
      <c r="A100" s="27" t="s">
        <v>273</v>
      </c>
      <c r="B100" s="25" t="s">
        <v>311</v>
      </c>
      <c r="C100" s="25" t="s">
        <v>191</v>
      </c>
      <c r="D100" s="25" t="s">
        <v>192</v>
      </c>
      <c r="E100" s="37"/>
      <c r="F100" s="37"/>
      <c r="G100" s="27"/>
      <c r="H100" s="37"/>
      <c r="I100" s="37"/>
      <c r="J100" s="51"/>
      <c r="K100" s="37"/>
      <c r="L100" s="50"/>
      <c r="M100" s="19"/>
      <c r="N100" s="35"/>
      <c r="O100" s="31"/>
      <c r="P100" s="31"/>
      <c r="Q100" s="53"/>
    </row>
    <row r="101" s="1" customFormat="1" ht="48" outlineLevel="1" spans="1:17">
      <c r="A101" s="27">
        <v>1</v>
      </c>
      <c r="B101" s="28" t="s">
        <v>275</v>
      </c>
      <c r="C101" s="29" t="s">
        <v>276</v>
      </c>
      <c r="D101" s="28" t="s">
        <v>277</v>
      </c>
      <c r="E101" s="27">
        <v>1</v>
      </c>
      <c r="F101" s="27"/>
      <c r="G101" s="27">
        <v>80</v>
      </c>
      <c r="H101" s="27">
        <f>I101*(1+J101)</f>
        <v>650</v>
      </c>
      <c r="I101" s="27">
        <v>650</v>
      </c>
      <c r="J101" s="51">
        <v>0</v>
      </c>
      <c r="K101" s="27">
        <v>15</v>
      </c>
      <c r="L101" s="50">
        <f t="shared" si="16"/>
        <v>104.3</v>
      </c>
      <c r="M101" s="19">
        <f t="shared" si="17"/>
        <v>76.437</v>
      </c>
      <c r="N101" s="35">
        <f t="shared" ref="N101:N117" si="19">G101+H101+K101+L101+M101</f>
        <v>925.737</v>
      </c>
      <c r="O101" s="31">
        <f t="shared" ref="O101:O117" si="20">N101*E101</f>
        <v>925.737</v>
      </c>
      <c r="P101" s="31">
        <f>F101*N101</f>
        <v>0</v>
      </c>
      <c r="Q101" s="53" t="s">
        <v>137</v>
      </c>
    </row>
    <row r="102" s="1" customFormat="1" ht="48" outlineLevel="1" spans="1:17">
      <c r="A102" s="27">
        <v>2</v>
      </c>
      <c r="B102" s="28" t="s">
        <v>278</v>
      </c>
      <c r="C102" s="29" t="s">
        <v>312</v>
      </c>
      <c r="D102" s="28" t="s">
        <v>277</v>
      </c>
      <c r="E102" s="27">
        <v>1</v>
      </c>
      <c r="F102" s="27"/>
      <c r="G102" s="27">
        <v>300</v>
      </c>
      <c r="H102" s="27">
        <f>I102*(1+J102)</f>
        <v>750</v>
      </c>
      <c r="I102" s="27">
        <v>750</v>
      </c>
      <c r="J102" s="52">
        <v>0</v>
      </c>
      <c r="K102" s="27">
        <v>10</v>
      </c>
      <c r="L102" s="50">
        <f t="shared" si="16"/>
        <v>148.4</v>
      </c>
      <c r="M102" s="19">
        <f t="shared" si="17"/>
        <v>108.756</v>
      </c>
      <c r="N102" s="35">
        <f t="shared" si="19"/>
        <v>1317.156</v>
      </c>
      <c r="O102" s="31">
        <f t="shared" si="20"/>
        <v>1317.156</v>
      </c>
      <c r="P102" s="31">
        <f>F102*N102</f>
        <v>0</v>
      </c>
      <c r="Q102" s="53" t="s">
        <v>280</v>
      </c>
    </row>
    <row r="103" s="1" customFormat="1" ht="48" outlineLevel="1" spans="1:17">
      <c r="A103" s="27">
        <v>3</v>
      </c>
      <c r="B103" s="28" t="s">
        <v>281</v>
      </c>
      <c r="C103" s="29" t="s">
        <v>282</v>
      </c>
      <c r="D103" s="28" t="s">
        <v>277</v>
      </c>
      <c r="E103" s="27">
        <v>1</v>
      </c>
      <c r="F103" s="27"/>
      <c r="G103" s="27">
        <v>80</v>
      </c>
      <c r="H103" s="27">
        <f>I103*(1+J103)</f>
        <v>580</v>
      </c>
      <c r="I103" s="27">
        <v>580</v>
      </c>
      <c r="J103" s="52">
        <v>0</v>
      </c>
      <c r="K103" s="27">
        <v>20</v>
      </c>
      <c r="L103" s="50">
        <f t="shared" si="16"/>
        <v>95.2</v>
      </c>
      <c r="M103" s="19">
        <f t="shared" si="17"/>
        <v>69.768</v>
      </c>
      <c r="N103" s="35">
        <f t="shared" si="19"/>
        <v>844.968</v>
      </c>
      <c r="O103" s="31">
        <f t="shared" si="20"/>
        <v>844.968</v>
      </c>
      <c r="P103" s="31">
        <f t="shared" ref="P102:P117" si="21">F103*N103</f>
        <v>0</v>
      </c>
      <c r="Q103" s="53" t="s">
        <v>137</v>
      </c>
    </row>
    <row r="104" s="1" customFormat="1" ht="60" outlineLevel="1" spans="1:17">
      <c r="A104" s="27">
        <v>4</v>
      </c>
      <c r="B104" s="28" t="s">
        <v>283</v>
      </c>
      <c r="C104" s="29" t="s">
        <v>284</v>
      </c>
      <c r="D104" s="28" t="s">
        <v>277</v>
      </c>
      <c r="E104" s="27">
        <v>1</v>
      </c>
      <c r="F104" s="27"/>
      <c r="G104" s="27">
        <v>100</v>
      </c>
      <c r="H104" s="27">
        <f>I104*(1+J104)</f>
        <v>1580</v>
      </c>
      <c r="I104" s="27">
        <v>1580</v>
      </c>
      <c r="J104" s="52">
        <v>0</v>
      </c>
      <c r="K104" s="27">
        <v>30</v>
      </c>
      <c r="L104" s="50">
        <f t="shared" si="16"/>
        <v>239.4</v>
      </c>
      <c r="M104" s="19">
        <f t="shared" si="17"/>
        <v>175.446</v>
      </c>
      <c r="N104" s="35">
        <f t="shared" si="19"/>
        <v>2124.846</v>
      </c>
      <c r="O104" s="31">
        <f t="shared" si="20"/>
        <v>2124.846</v>
      </c>
      <c r="P104" s="31">
        <f t="shared" si="21"/>
        <v>0</v>
      </c>
      <c r="Q104" s="53" t="s">
        <v>137</v>
      </c>
    </row>
    <row r="105" s="1" customFormat="1" ht="48" outlineLevel="1" spans="1:17">
      <c r="A105" s="27">
        <v>5</v>
      </c>
      <c r="B105" s="28" t="s">
        <v>285</v>
      </c>
      <c r="C105" s="29" t="s">
        <v>286</v>
      </c>
      <c r="D105" s="28" t="s">
        <v>277</v>
      </c>
      <c r="E105" s="27">
        <v>1</v>
      </c>
      <c r="F105" s="27"/>
      <c r="G105" s="27">
        <v>15</v>
      </c>
      <c r="H105" s="27">
        <f>I105*(1+J105)</f>
        <v>40</v>
      </c>
      <c r="I105" s="27">
        <v>40</v>
      </c>
      <c r="J105" s="52">
        <v>0</v>
      </c>
      <c r="K105" s="27">
        <v>5</v>
      </c>
      <c r="L105" s="50">
        <f t="shared" si="16"/>
        <v>8.4</v>
      </c>
      <c r="M105" s="19">
        <f t="shared" si="17"/>
        <v>6.156</v>
      </c>
      <c r="N105" s="35">
        <f t="shared" si="19"/>
        <v>74.556</v>
      </c>
      <c r="O105" s="31">
        <f t="shared" si="20"/>
        <v>74.556</v>
      </c>
      <c r="P105" s="31">
        <f t="shared" si="21"/>
        <v>0</v>
      </c>
      <c r="Q105" s="53" t="s">
        <v>137</v>
      </c>
    </row>
    <row r="106" s="1" customFormat="1" ht="48" outlineLevel="1" spans="1:17">
      <c r="A106" s="27">
        <v>6</v>
      </c>
      <c r="B106" s="28" t="s">
        <v>287</v>
      </c>
      <c r="C106" s="29" t="s">
        <v>288</v>
      </c>
      <c r="D106" s="28" t="s">
        <v>277</v>
      </c>
      <c r="E106" s="27">
        <v>1</v>
      </c>
      <c r="F106" s="27"/>
      <c r="G106" s="27">
        <v>15</v>
      </c>
      <c r="H106" s="27">
        <f t="shared" ref="H106:H117" si="22">I106*(1+J106)</f>
        <v>30</v>
      </c>
      <c r="I106" s="27">
        <v>30</v>
      </c>
      <c r="J106" s="52">
        <v>0</v>
      </c>
      <c r="K106" s="27">
        <v>2</v>
      </c>
      <c r="L106" s="50">
        <f t="shared" si="16"/>
        <v>6.58</v>
      </c>
      <c r="M106" s="19">
        <f t="shared" si="17"/>
        <v>4.8222</v>
      </c>
      <c r="N106" s="35">
        <f t="shared" si="19"/>
        <v>58.4022</v>
      </c>
      <c r="O106" s="31">
        <f t="shared" si="20"/>
        <v>58.4022</v>
      </c>
      <c r="P106" s="31">
        <f t="shared" si="21"/>
        <v>0</v>
      </c>
      <c r="Q106" s="53" t="s">
        <v>137</v>
      </c>
    </row>
    <row r="107" s="1" customFormat="1" ht="33.75" outlineLevel="1" spans="1:17">
      <c r="A107" s="27">
        <v>7</v>
      </c>
      <c r="B107" s="38" t="s">
        <v>289</v>
      </c>
      <c r="C107" s="39" t="s">
        <v>290</v>
      </c>
      <c r="D107" s="38" t="s">
        <v>277</v>
      </c>
      <c r="E107" s="27">
        <v>2</v>
      </c>
      <c r="F107" s="27"/>
      <c r="G107" s="27">
        <v>15</v>
      </c>
      <c r="H107" s="27">
        <f t="shared" si="22"/>
        <v>30</v>
      </c>
      <c r="I107" s="27">
        <v>30</v>
      </c>
      <c r="J107" s="52">
        <v>0</v>
      </c>
      <c r="K107" s="27">
        <v>2</v>
      </c>
      <c r="L107" s="50">
        <f t="shared" si="16"/>
        <v>6.58</v>
      </c>
      <c r="M107" s="19">
        <f t="shared" si="17"/>
        <v>4.8222</v>
      </c>
      <c r="N107" s="35">
        <f t="shared" si="19"/>
        <v>58.4022</v>
      </c>
      <c r="O107" s="31">
        <f t="shared" si="20"/>
        <v>116.8044</v>
      </c>
      <c r="P107" s="31">
        <f t="shared" si="21"/>
        <v>0</v>
      </c>
      <c r="Q107" s="53" t="s">
        <v>137</v>
      </c>
    </row>
    <row r="108" s="1" customFormat="1" ht="36" outlineLevel="1" spans="1:17">
      <c r="A108" s="27">
        <v>8</v>
      </c>
      <c r="B108" s="28" t="s">
        <v>291</v>
      </c>
      <c r="C108" s="29" t="s">
        <v>292</v>
      </c>
      <c r="D108" s="28" t="s">
        <v>277</v>
      </c>
      <c r="E108" s="27">
        <v>1</v>
      </c>
      <c r="F108" s="27"/>
      <c r="G108" s="27">
        <v>100</v>
      </c>
      <c r="H108" s="27">
        <f t="shared" si="22"/>
        <v>1500</v>
      </c>
      <c r="I108" s="27">
        <v>1500</v>
      </c>
      <c r="J108" s="52">
        <v>0</v>
      </c>
      <c r="K108" s="27">
        <v>20</v>
      </c>
      <c r="L108" s="50">
        <f t="shared" si="16"/>
        <v>226.8</v>
      </c>
      <c r="M108" s="19">
        <f t="shared" si="17"/>
        <v>166.212</v>
      </c>
      <c r="N108" s="35">
        <f t="shared" si="19"/>
        <v>2013.012</v>
      </c>
      <c r="O108" s="31">
        <f t="shared" si="20"/>
        <v>2013.012</v>
      </c>
      <c r="P108" s="31">
        <f t="shared" si="21"/>
        <v>0</v>
      </c>
      <c r="Q108" s="53" t="s">
        <v>293</v>
      </c>
    </row>
    <row r="109" s="1" customFormat="1" ht="36" outlineLevel="1" spans="1:17">
      <c r="A109" s="27">
        <v>9</v>
      </c>
      <c r="B109" s="28" t="s">
        <v>294</v>
      </c>
      <c r="C109" s="29" t="s">
        <v>295</v>
      </c>
      <c r="D109" s="28" t="s">
        <v>277</v>
      </c>
      <c r="E109" s="27">
        <v>1</v>
      </c>
      <c r="F109" s="27"/>
      <c r="G109" s="27">
        <v>300</v>
      </c>
      <c r="H109" s="27">
        <f t="shared" si="22"/>
        <v>600</v>
      </c>
      <c r="I109" s="27">
        <v>600</v>
      </c>
      <c r="J109" s="52">
        <v>0</v>
      </c>
      <c r="K109" s="27">
        <v>30</v>
      </c>
      <c r="L109" s="50">
        <f t="shared" si="16"/>
        <v>130.2</v>
      </c>
      <c r="M109" s="19">
        <f t="shared" si="17"/>
        <v>95.418</v>
      </c>
      <c r="N109" s="35">
        <f t="shared" si="19"/>
        <v>1155.618</v>
      </c>
      <c r="O109" s="31">
        <f t="shared" si="20"/>
        <v>1155.618</v>
      </c>
      <c r="P109" s="31">
        <f t="shared" si="21"/>
        <v>0</v>
      </c>
      <c r="Q109" s="53" t="s">
        <v>293</v>
      </c>
    </row>
    <row r="110" s="1" customFormat="1" ht="60" outlineLevel="1" spans="1:17">
      <c r="A110" s="27">
        <v>10</v>
      </c>
      <c r="B110" s="28" t="s">
        <v>296</v>
      </c>
      <c r="C110" s="29" t="s">
        <v>297</v>
      </c>
      <c r="D110" s="28" t="s">
        <v>277</v>
      </c>
      <c r="E110" s="27">
        <v>1</v>
      </c>
      <c r="F110" s="27"/>
      <c r="G110" s="27">
        <v>80</v>
      </c>
      <c r="H110" s="27">
        <f t="shared" si="22"/>
        <v>650</v>
      </c>
      <c r="I110" s="27">
        <v>650</v>
      </c>
      <c r="J110" s="52">
        <v>0</v>
      </c>
      <c r="K110" s="27">
        <v>10</v>
      </c>
      <c r="L110" s="50">
        <f t="shared" si="16"/>
        <v>103.6</v>
      </c>
      <c r="M110" s="19">
        <f t="shared" si="17"/>
        <v>75.924</v>
      </c>
      <c r="N110" s="35">
        <f t="shared" si="19"/>
        <v>919.524</v>
      </c>
      <c r="O110" s="31">
        <f t="shared" si="20"/>
        <v>919.524</v>
      </c>
      <c r="P110" s="31">
        <f t="shared" si="21"/>
        <v>0</v>
      </c>
      <c r="Q110" s="53" t="s">
        <v>137</v>
      </c>
    </row>
    <row r="111" s="1" customFormat="1" ht="48" outlineLevel="1" spans="1:17">
      <c r="A111" s="27">
        <v>11</v>
      </c>
      <c r="B111" s="28" t="s">
        <v>298</v>
      </c>
      <c r="C111" s="29" t="s">
        <v>299</v>
      </c>
      <c r="D111" s="28" t="s">
        <v>136</v>
      </c>
      <c r="E111" s="27">
        <v>1</v>
      </c>
      <c r="F111" s="27">
        <v>1</v>
      </c>
      <c r="G111" s="27">
        <v>5</v>
      </c>
      <c r="H111" s="27">
        <f t="shared" si="22"/>
        <v>22</v>
      </c>
      <c r="I111" s="27">
        <v>22</v>
      </c>
      <c r="J111" s="52">
        <v>0</v>
      </c>
      <c r="K111" s="27">
        <v>2</v>
      </c>
      <c r="L111" s="50">
        <f t="shared" si="16"/>
        <v>4.06</v>
      </c>
      <c r="M111" s="19">
        <f t="shared" si="17"/>
        <v>2.9754</v>
      </c>
      <c r="N111" s="35">
        <f t="shared" si="19"/>
        <v>36.0354</v>
      </c>
      <c r="O111" s="31">
        <f t="shared" si="20"/>
        <v>36.0354</v>
      </c>
      <c r="P111" s="31">
        <f t="shared" si="21"/>
        <v>36.0354</v>
      </c>
      <c r="Q111" s="53" t="s">
        <v>300</v>
      </c>
    </row>
    <row r="112" s="1" customFormat="1" ht="48" outlineLevel="1" spans="1:17">
      <c r="A112" s="27">
        <v>12</v>
      </c>
      <c r="B112" s="28" t="s">
        <v>298</v>
      </c>
      <c r="C112" s="29" t="s">
        <v>301</v>
      </c>
      <c r="D112" s="28" t="s">
        <v>136</v>
      </c>
      <c r="E112" s="27">
        <v>1</v>
      </c>
      <c r="F112" s="27">
        <v>1</v>
      </c>
      <c r="G112" s="27">
        <v>5</v>
      </c>
      <c r="H112" s="27">
        <f t="shared" si="22"/>
        <v>20</v>
      </c>
      <c r="I112" s="27">
        <v>20</v>
      </c>
      <c r="J112" s="52">
        <v>0</v>
      </c>
      <c r="K112" s="27">
        <v>2</v>
      </c>
      <c r="L112" s="50">
        <f t="shared" si="16"/>
        <v>3.78</v>
      </c>
      <c r="M112" s="19">
        <f t="shared" si="17"/>
        <v>2.7702</v>
      </c>
      <c r="N112" s="35">
        <f t="shared" si="19"/>
        <v>33.5502</v>
      </c>
      <c r="O112" s="31">
        <f t="shared" si="20"/>
        <v>33.5502</v>
      </c>
      <c r="P112" s="31">
        <f t="shared" si="21"/>
        <v>33.5502</v>
      </c>
      <c r="Q112" s="53" t="s">
        <v>300</v>
      </c>
    </row>
    <row r="113" s="1" customFormat="1" ht="36" outlineLevel="1" spans="1:17">
      <c r="A113" s="27">
        <v>13</v>
      </c>
      <c r="B113" s="28" t="s">
        <v>302</v>
      </c>
      <c r="C113" s="29" t="s">
        <v>303</v>
      </c>
      <c r="D113" s="28" t="s">
        <v>136</v>
      </c>
      <c r="E113" s="27">
        <v>1</v>
      </c>
      <c r="F113" s="27"/>
      <c r="G113" s="27">
        <v>15</v>
      </c>
      <c r="H113" s="27">
        <f t="shared" si="22"/>
        <v>50</v>
      </c>
      <c r="I113" s="27">
        <v>50</v>
      </c>
      <c r="J113" s="52">
        <v>0</v>
      </c>
      <c r="K113" s="27">
        <v>5</v>
      </c>
      <c r="L113" s="50">
        <f t="shared" si="16"/>
        <v>9.8</v>
      </c>
      <c r="M113" s="19">
        <f t="shared" si="17"/>
        <v>7.182</v>
      </c>
      <c r="N113" s="35">
        <f t="shared" si="19"/>
        <v>86.982</v>
      </c>
      <c r="O113" s="31">
        <f t="shared" si="20"/>
        <v>86.982</v>
      </c>
      <c r="P113" s="31">
        <f t="shared" si="21"/>
        <v>0</v>
      </c>
      <c r="Q113" s="53"/>
    </row>
    <row r="114" s="1" customFormat="1" ht="48" outlineLevel="1" spans="1:17">
      <c r="A114" s="27">
        <v>14</v>
      </c>
      <c r="B114" s="28" t="s">
        <v>304</v>
      </c>
      <c r="C114" s="40" t="s">
        <v>305</v>
      </c>
      <c r="D114" s="35" t="s">
        <v>84</v>
      </c>
      <c r="E114" s="41">
        <v>4.3</v>
      </c>
      <c r="F114" s="41">
        <f>E114</f>
        <v>4.3</v>
      </c>
      <c r="G114" s="27">
        <v>12</v>
      </c>
      <c r="H114" s="27">
        <f t="shared" si="22"/>
        <v>7.35</v>
      </c>
      <c r="I114" s="27">
        <v>7</v>
      </c>
      <c r="J114" s="52">
        <v>0.05</v>
      </c>
      <c r="K114" s="27">
        <v>1</v>
      </c>
      <c r="L114" s="50">
        <f t="shared" si="16"/>
        <v>2.849</v>
      </c>
      <c r="M114" s="19">
        <f t="shared" si="17"/>
        <v>2.08791</v>
      </c>
      <c r="N114" s="35">
        <f t="shared" si="19"/>
        <v>25.28691</v>
      </c>
      <c r="O114" s="31">
        <f t="shared" si="20"/>
        <v>108.733713</v>
      </c>
      <c r="P114" s="31">
        <f t="shared" si="21"/>
        <v>108.733713</v>
      </c>
      <c r="Q114" s="53" t="s">
        <v>300</v>
      </c>
    </row>
    <row r="115" s="1" customFormat="1" ht="48" outlineLevel="1" spans="1:17">
      <c r="A115" s="27">
        <v>15</v>
      </c>
      <c r="B115" s="28" t="s">
        <v>304</v>
      </c>
      <c r="C115" s="40" t="s">
        <v>306</v>
      </c>
      <c r="D115" s="35" t="s">
        <v>84</v>
      </c>
      <c r="E115" s="41">
        <v>10.58</v>
      </c>
      <c r="F115" s="41">
        <f>E115</f>
        <v>10.58</v>
      </c>
      <c r="G115" s="27">
        <v>12</v>
      </c>
      <c r="H115" s="27">
        <f t="shared" si="22"/>
        <v>5.25</v>
      </c>
      <c r="I115" s="27">
        <v>5</v>
      </c>
      <c r="J115" s="52">
        <v>0.05</v>
      </c>
      <c r="K115" s="27">
        <v>1</v>
      </c>
      <c r="L115" s="50">
        <f t="shared" si="16"/>
        <v>2.555</v>
      </c>
      <c r="M115" s="19">
        <f t="shared" si="17"/>
        <v>1.87245</v>
      </c>
      <c r="N115" s="35">
        <f t="shared" si="19"/>
        <v>22.67745</v>
      </c>
      <c r="O115" s="31">
        <f t="shared" si="20"/>
        <v>239.927421</v>
      </c>
      <c r="P115" s="31">
        <f t="shared" si="21"/>
        <v>239.927421</v>
      </c>
      <c r="Q115" s="53" t="s">
        <v>300</v>
      </c>
    </row>
    <row r="116" s="1" customFormat="1" ht="48" outlineLevel="1" spans="1:17">
      <c r="A116" s="27">
        <v>16</v>
      </c>
      <c r="B116" s="28" t="s">
        <v>304</v>
      </c>
      <c r="C116" s="40" t="s">
        <v>307</v>
      </c>
      <c r="D116" s="35" t="s">
        <v>84</v>
      </c>
      <c r="E116" s="41">
        <v>0.5</v>
      </c>
      <c r="F116" s="41">
        <f>E116</f>
        <v>0.5</v>
      </c>
      <c r="G116" s="27">
        <v>12</v>
      </c>
      <c r="H116" s="27">
        <f t="shared" si="22"/>
        <v>8.4</v>
      </c>
      <c r="I116" s="27">
        <v>8</v>
      </c>
      <c r="J116" s="52">
        <v>0.05</v>
      </c>
      <c r="K116" s="27">
        <v>1</v>
      </c>
      <c r="L116" s="50">
        <f t="shared" si="16"/>
        <v>2.996</v>
      </c>
      <c r="M116" s="19">
        <f t="shared" si="17"/>
        <v>2.19564</v>
      </c>
      <c r="N116" s="35">
        <f t="shared" si="19"/>
        <v>26.59164</v>
      </c>
      <c r="O116" s="31">
        <f t="shared" si="20"/>
        <v>13.29582</v>
      </c>
      <c r="P116" s="31">
        <f t="shared" si="21"/>
        <v>13.29582</v>
      </c>
      <c r="Q116" s="53" t="s">
        <v>300</v>
      </c>
    </row>
    <row r="117" s="1" customFormat="1" ht="48" outlineLevel="1" spans="1:17">
      <c r="A117" s="27">
        <v>17</v>
      </c>
      <c r="B117" s="28" t="s">
        <v>304</v>
      </c>
      <c r="C117" s="40" t="s">
        <v>308</v>
      </c>
      <c r="D117" s="35" t="s">
        <v>84</v>
      </c>
      <c r="E117" s="41">
        <v>6.91</v>
      </c>
      <c r="F117" s="41">
        <f>E117</f>
        <v>6.91</v>
      </c>
      <c r="G117" s="27">
        <v>12</v>
      </c>
      <c r="H117" s="27">
        <f t="shared" si="22"/>
        <v>6.3</v>
      </c>
      <c r="I117" s="27">
        <v>6</v>
      </c>
      <c r="J117" s="52">
        <v>0.05</v>
      </c>
      <c r="K117" s="27">
        <v>1</v>
      </c>
      <c r="L117" s="50">
        <f t="shared" si="16"/>
        <v>2.702</v>
      </c>
      <c r="M117" s="19">
        <f t="shared" si="17"/>
        <v>1.98018</v>
      </c>
      <c r="N117" s="35">
        <f t="shared" si="19"/>
        <v>23.98218</v>
      </c>
      <c r="O117" s="31">
        <f t="shared" si="20"/>
        <v>165.7168638</v>
      </c>
      <c r="P117" s="31">
        <f t="shared" si="21"/>
        <v>165.7168638</v>
      </c>
      <c r="Q117" s="53" t="s">
        <v>300</v>
      </c>
    </row>
    <row r="118" s="1" customFormat="1" spans="1:17">
      <c r="A118" s="27">
        <v>18</v>
      </c>
      <c r="B118" s="36" t="s">
        <v>54</v>
      </c>
      <c r="C118" s="36"/>
      <c r="D118" s="36" t="s">
        <v>272</v>
      </c>
      <c r="E118" s="37"/>
      <c r="F118" s="37"/>
      <c r="G118" s="27"/>
      <c r="H118" s="37"/>
      <c r="I118" s="37"/>
      <c r="J118" s="51"/>
      <c r="K118" s="37"/>
      <c r="L118" s="50"/>
      <c r="M118" s="19"/>
      <c r="N118" s="35"/>
      <c r="O118" s="31">
        <f>SUM(O101:O117)</f>
        <v>10234.8650178</v>
      </c>
      <c r="P118" s="31">
        <f>SUM(P101:P117)</f>
        <v>597.2594178</v>
      </c>
      <c r="Q118" s="53"/>
    </row>
    <row r="119" s="1" customFormat="1" spans="1:17">
      <c r="A119" s="27" t="s">
        <v>152</v>
      </c>
      <c r="B119" s="36" t="s">
        <v>313</v>
      </c>
      <c r="C119" s="36" t="s">
        <v>191</v>
      </c>
      <c r="D119" s="36" t="s">
        <v>272</v>
      </c>
      <c r="E119" s="37"/>
      <c r="F119" s="37"/>
      <c r="G119" s="27"/>
      <c r="H119" s="37"/>
      <c r="I119" s="37"/>
      <c r="J119" s="51"/>
      <c r="K119" s="37"/>
      <c r="L119" s="50"/>
      <c r="M119" s="19"/>
      <c r="N119" s="35"/>
      <c r="O119" s="31">
        <f>O118+O99</f>
        <v>17878.42274409</v>
      </c>
      <c r="P119" s="31">
        <f>P118+P99</f>
        <v>4074.13082409</v>
      </c>
      <c r="Q119" s="53"/>
    </row>
    <row r="120" s="1" customFormat="1" spans="1:17">
      <c r="A120" s="25" t="s">
        <v>75</v>
      </c>
      <c r="B120" s="25" t="s">
        <v>314</v>
      </c>
      <c r="C120" s="25" t="s">
        <v>191</v>
      </c>
      <c r="D120" s="25" t="s">
        <v>192</v>
      </c>
      <c r="E120" s="26"/>
      <c r="F120" s="26"/>
      <c r="G120" s="19"/>
      <c r="H120" s="19"/>
      <c r="I120" s="19"/>
      <c r="J120" s="46"/>
      <c r="K120" s="19"/>
      <c r="L120" s="50"/>
      <c r="M120" s="19"/>
      <c r="N120" s="19"/>
      <c r="O120" s="19"/>
      <c r="P120" s="19"/>
      <c r="Q120" s="53"/>
    </row>
    <row r="121" s="1" customFormat="1" ht="48" outlineLevel="1" spans="1:17">
      <c r="A121" s="27">
        <v>1</v>
      </c>
      <c r="B121" s="28" t="s">
        <v>193</v>
      </c>
      <c r="C121" s="29" t="s">
        <v>194</v>
      </c>
      <c r="D121" s="28" t="s">
        <v>136</v>
      </c>
      <c r="E121" s="30">
        <v>4</v>
      </c>
      <c r="F121" s="30"/>
      <c r="G121" s="31">
        <v>15</v>
      </c>
      <c r="H121" s="31">
        <f t="shared" ref="H121:H128" si="23">I121*(1+J121)</f>
        <v>25.3</v>
      </c>
      <c r="I121" s="31">
        <v>25.3</v>
      </c>
      <c r="J121" s="49">
        <v>0</v>
      </c>
      <c r="K121" s="31">
        <v>1</v>
      </c>
      <c r="L121" s="50">
        <f t="shared" si="16"/>
        <v>5.782</v>
      </c>
      <c r="M121" s="19">
        <f t="shared" si="17"/>
        <v>4.23738</v>
      </c>
      <c r="N121" s="35">
        <f t="shared" ref="N119:N155" si="24">G121+H121+K121+L121+M121</f>
        <v>51.31938</v>
      </c>
      <c r="O121" s="31">
        <f t="shared" ref="O121:O154" si="25">N121*E121</f>
        <v>205.27752</v>
      </c>
      <c r="P121" s="31">
        <f>F121*N121</f>
        <v>0</v>
      </c>
      <c r="Q121" s="53" t="s">
        <v>195</v>
      </c>
    </row>
    <row r="122" s="1" customFormat="1" ht="48" outlineLevel="1" spans="1:17">
      <c r="A122" s="27">
        <v>2</v>
      </c>
      <c r="B122" s="28" t="s">
        <v>200</v>
      </c>
      <c r="C122" s="29" t="s">
        <v>201</v>
      </c>
      <c r="D122" s="28" t="s">
        <v>136</v>
      </c>
      <c r="E122" s="30">
        <v>1</v>
      </c>
      <c r="F122" s="30"/>
      <c r="G122" s="31">
        <v>15</v>
      </c>
      <c r="H122" s="31">
        <f t="shared" si="23"/>
        <v>55</v>
      </c>
      <c r="I122" s="31">
        <v>55</v>
      </c>
      <c r="J122" s="49">
        <v>0</v>
      </c>
      <c r="K122" s="31">
        <v>1</v>
      </c>
      <c r="L122" s="50">
        <f t="shared" si="16"/>
        <v>9.94</v>
      </c>
      <c r="M122" s="19">
        <f t="shared" si="17"/>
        <v>7.2846</v>
      </c>
      <c r="N122" s="35">
        <f t="shared" si="24"/>
        <v>88.2246</v>
      </c>
      <c r="O122" s="31">
        <f t="shared" si="25"/>
        <v>88.2246</v>
      </c>
      <c r="P122" s="31">
        <f t="shared" ref="P122:P154" si="26">F122*N122</f>
        <v>0</v>
      </c>
      <c r="Q122" s="53" t="s">
        <v>195</v>
      </c>
    </row>
    <row r="123" s="1" customFormat="1" ht="48" outlineLevel="1" spans="1:17">
      <c r="A123" s="27">
        <v>3</v>
      </c>
      <c r="B123" s="28" t="s">
        <v>202</v>
      </c>
      <c r="C123" s="29" t="s">
        <v>203</v>
      </c>
      <c r="D123" s="28" t="s">
        <v>136</v>
      </c>
      <c r="E123" s="30">
        <v>3</v>
      </c>
      <c r="F123" s="30"/>
      <c r="G123" s="31">
        <v>18</v>
      </c>
      <c r="H123" s="31">
        <f t="shared" si="23"/>
        <v>200</v>
      </c>
      <c r="I123" s="31">
        <v>200</v>
      </c>
      <c r="J123" s="49">
        <v>0</v>
      </c>
      <c r="K123" s="31">
        <v>1</v>
      </c>
      <c r="L123" s="50">
        <f t="shared" si="16"/>
        <v>30.66</v>
      </c>
      <c r="M123" s="19">
        <f t="shared" si="17"/>
        <v>22.4694</v>
      </c>
      <c r="N123" s="35">
        <f t="shared" si="24"/>
        <v>272.1294</v>
      </c>
      <c r="O123" s="31">
        <f t="shared" si="25"/>
        <v>816.3882</v>
      </c>
      <c r="P123" s="31">
        <f t="shared" si="26"/>
        <v>0</v>
      </c>
      <c r="Q123" s="53" t="s">
        <v>195</v>
      </c>
    </row>
    <row r="124" s="1" customFormat="1" ht="48" outlineLevel="1" spans="1:17">
      <c r="A124" s="27">
        <v>4</v>
      </c>
      <c r="B124" s="28" t="s">
        <v>204</v>
      </c>
      <c r="C124" s="29" t="s">
        <v>205</v>
      </c>
      <c r="D124" s="28" t="s">
        <v>136</v>
      </c>
      <c r="E124" s="30">
        <v>1</v>
      </c>
      <c r="F124" s="30"/>
      <c r="G124" s="32">
        <v>18</v>
      </c>
      <c r="H124" s="31">
        <f t="shared" si="23"/>
        <v>110</v>
      </c>
      <c r="I124" s="31">
        <v>110</v>
      </c>
      <c r="J124" s="49">
        <v>0</v>
      </c>
      <c r="K124" s="31">
        <v>1</v>
      </c>
      <c r="L124" s="50">
        <f t="shared" si="16"/>
        <v>18.06</v>
      </c>
      <c r="M124" s="19">
        <f t="shared" si="17"/>
        <v>13.2354</v>
      </c>
      <c r="N124" s="35">
        <f t="shared" si="24"/>
        <v>160.2954</v>
      </c>
      <c r="O124" s="31">
        <f t="shared" si="25"/>
        <v>160.2954</v>
      </c>
      <c r="P124" s="31">
        <f t="shared" si="26"/>
        <v>0</v>
      </c>
      <c r="Q124" s="53" t="s">
        <v>195</v>
      </c>
    </row>
    <row r="125" s="1" customFormat="1" ht="48" outlineLevel="1" spans="1:17">
      <c r="A125" s="27">
        <v>5</v>
      </c>
      <c r="B125" s="28" t="s">
        <v>206</v>
      </c>
      <c r="C125" s="29" t="s">
        <v>207</v>
      </c>
      <c r="D125" s="28" t="s">
        <v>136</v>
      </c>
      <c r="E125" s="30">
        <v>1</v>
      </c>
      <c r="F125" s="30"/>
      <c r="G125" s="31">
        <v>30</v>
      </c>
      <c r="H125" s="31">
        <f t="shared" si="23"/>
        <v>500</v>
      </c>
      <c r="I125" s="31">
        <v>500</v>
      </c>
      <c r="J125" s="49">
        <v>0</v>
      </c>
      <c r="K125" s="31">
        <v>10</v>
      </c>
      <c r="L125" s="50">
        <f t="shared" si="16"/>
        <v>75.6</v>
      </c>
      <c r="M125" s="19">
        <f t="shared" si="17"/>
        <v>55.404</v>
      </c>
      <c r="N125" s="35">
        <f t="shared" si="24"/>
        <v>671.004</v>
      </c>
      <c r="O125" s="31">
        <f t="shared" si="25"/>
        <v>671.004</v>
      </c>
      <c r="P125" s="31">
        <f t="shared" si="26"/>
        <v>0</v>
      </c>
      <c r="Q125" s="53" t="s">
        <v>195</v>
      </c>
    </row>
    <row r="126" s="1" customFormat="1" ht="48" outlineLevel="1" spans="1:17">
      <c r="A126" s="27">
        <v>6</v>
      </c>
      <c r="B126" s="28" t="s">
        <v>208</v>
      </c>
      <c r="C126" s="29" t="s">
        <v>209</v>
      </c>
      <c r="D126" s="28" t="s">
        <v>136</v>
      </c>
      <c r="E126" s="30">
        <v>1</v>
      </c>
      <c r="F126" s="30"/>
      <c r="G126" s="31">
        <v>18</v>
      </c>
      <c r="H126" s="31">
        <f t="shared" si="23"/>
        <v>60</v>
      </c>
      <c r="I126" s="31">
        <v>60</v>
      </c>
      <c r="J126" s="49">
        <v>0</v>
      </c>
      <c r="K126" s="31">
        <v>1.5</v>
      </c>
      <c r="L126" s="50">
        <f t="shared" si="16"/>
        <v>11.13</v>
      </c>
      <c r="M126" s="19">
        <f t="shared" si="17"/>
        <v>8.1567</v>
      </c>
      <c r="N126" s="35">
        <f t="shared" si="24"/>
        <v>98.7867</v>
      </c>
      <c r="O126" s="31">
        <f t="shared" si="25"/>
        <v>98.7867</v>
      </c>
      <c r="P126" s="31">
        <f t="shared" si="26"/>
        <v>0</v>
      </c>
      <c r="Q126" s="53" t="s">
        <v>195</v>
      </c>
    </row>
    <row r="127" s="1" customFormat="1" ht="36" outlineLevel="1" spans="1:17">
      <c r="A127" s="27">
        <v>7</v>
      </c>
      <c r="B127" s="28" t="s">
        <v>210</v>
      </c>
      <c r="C127" s="29" t="s">
        <v>211</v>
      </c>
      <c r="D127" s="28" t="s">
        <v>136</v>
      </c>
      <c r="E127" s="30">
        <v>1</v>
      </c>
      <c r="F127" s="30"/>
      <c r="G127" s="31">
        <v>15</v>
      </c>
      <c r="H127" s="31">
        <f t="shared" si="23"/>
        <v>50</v>
      </c>
      <c r="I127" s="31">
        <v>50</v>
      </c>
      <c r="J127" s="49">
        <v>0</v>
      </c>
      <c r="K127" s="31">
        <v>1.5</v>
      </c>
      <c r="L127" s="50">
        <f t="shared" si="16"/>
        <v>9.31</v>
      </c>
      <c r="M127" s="19">
        <f t="shared" si="17"/>
        <v>6.8229</v>
      </c>
      <c r="N127" s="35">
        <f t="shared" si="24"/>
        <v>82.6329</v>
      </c>
      <c r="O127" s="31">
        <f t="shared" si="25"/>
        <v>82.6329</v>
      </c>
      <c r="P127" s="31">
        <f t="shared" si="26"/>
        <v>0</v>
      </c>
      <c r="Q127" s="53" t="s">
        <v>195</v>
      </c>
    </row>
    <row r="128" s="1" customFormat="1" ht="48" outlineLevel="1" spans="1:17">
      <c r="A128" s="27">
        <v>8</v>
      </c>
      <c r="B128" s="28" t="s">
        <v>214</v>
      </c>
      <c r="C128" s="29" t="s">
        <v>215</v>
      </c>
      <c r="D128" s="28" t="s">
        <v>136</v>
      </c>
      <c r="E128" s="30">
        <v>17</v>
      </c>
      <c r="F128" s="30"/>
      <c r="G128" s="31">
        <v>8</v>
      </c>
      <c r="H128" s="31">
        <f t="shared" si="23"/>
        <v>16</v>
      </c>
      <c r="I128" s="31">
        <v>16</v>
      </c>
      <c r="J128" s="49">
        <v>0</v>
      </c>
      <c r="K128" s="31">
        <v>0.5</v>
      </c>
      <c r="L128" s="50">
        <f t="shared" si="16"/>
        <v>3.43</v>
      </c>
      <c r="M128" s="19">
        <f t="shared" si="17"/>
        <v>2.5137</v>
      </c>
      <c r="N128" s="35">
        <f t="shared" si="24"/>
        <v>30.4437</v>
      </c>
      <c r="O128" s="31">
        <f t="shared" si="25"/>
        <v>517.5429</v>
      </c>
      <c r="P128" s="31">
        <f t="shared" si="26"/>
        <v>0</v>
      </c>
      <c r="Q128" s="53" t="s">
        <v>216</v>
      </c>
    </row>
    <row r="129" s="1" customFormat="1" ht="48" outlineLevel="1" spans="1:17">
      <c r="A129" s="27">
        <v>9</v>
      </c>
      <c r="B129" s="28" t="s">
        <v>217</v>
      </c>
      <c r="C129" s="29" t="s">
        <v>218</v>
      </c>
      <c r="D129" s="28" t="s">
        <v>136</v>
      </c>
      <c r="E129" s="30">
        <v>1</v>
      </c>
      <c r="F129" s="30"/>
      <c r="G129" s="31">
        <v>8</v>
      </c>
      <c r="H129" s="31">
        <f t="shared" ref="H129:H154" si="27">I129*(1+J129)</f>
        <v>18</v>
      </c>
      <c r="I129" s="31">
        <v>18</v>
      </c>
      <c r="J129" s="49">
        <v>0</v>
      </c>
      <c r="K129" s="31">
        <v>0.5</v>
      </c>
      <c r="L129" s="50">
        <f t="shared" si="16"/>
        <v>3.71</v>
      </c>
      <c r="M129" s="19">
        <f t="shared" si="17"/>
        <v>2.7189</v>
      </c>
      <c r="N129" s="35">
        <f t="shared" si="24"/>
        <v>32.9289</v>
      </c>
      <c r="O129" s="31">
        <f t="shared" si="25"/>
        <v>32.9289</v>
      </c>
      <c r="P129" s="31">
        <f t="shared" si="26"/>
        <v>0</v>
      </c>
      <c r="Q129" s="53" t="s">
        <v>216</v>
      </c>
    </row>
    <row r="130" s="1" customFormat="1" ht="48" outlineLevel="1" spans="1:17">
      <c r="A130" s="27">
        <v>10</v>
      </c>
      <c r="B130" s="28" t="s">
        <v>219</v>
      </c>
      <c r="C130" s="29" t="s">
        <v>220</v>
      </c>
      <c r="D130" s="28" t="s">
        <v>136</v>
      </c>
      <c r="E130" s="30">
        <v>1</v>
      </c>
      <c r="F130" s="30"/>
      <c r="G130" s="31">
        <v>8</v>
      </c>
      <c r="H130" s="31">
        <f t="shared" si="27"/>
        <v>18</v>
      </c>
      <c r="I130" s="31">
        <v>18</v>
      </c>
      <c r="J130" s="49">
        <v>0</v>
      </c>
      <c r="K130" s="31">
        <v>0.5</v>
      </c>
      <c r="L130" s="50">
        <f t="shared" si="16"/>
        <v>3.71</v>
      </c>
      <c r="M130" s="19">
        <f t="shared" si="17"/>
        <v>2.7189</v>
      </c>
      <c r="N130" s="35">
        <f t="shared" si="24"/>
        <v>32.9289</v>
      </c>
      <c r="O130" s="31">
        <f t="shared" si="25"/>
        <v>32.9289</v>
      </c>
      <c r="P130" s="31">
        <f t="shared" si="26"/>
        <v>0</v>
      </c>
      <c r="Q130" s="53" t="s">
        <v>216</v>
      </c>
    </row>
    <row r="131" s="1" customFormat="1" ht="48" outlineLevel="1" spans="1:17">
      <c r="A131" s="27">
        <v>11</v>
      </c>
      <c r="B131" s="28" t="s">
        <v>221</v>
      </c>
      <c r="C131" s="29" t="s">
        <v>222</v>
      </c>
      <c r="D131" s="28" t="s">
        <v>136</v>
      </c>
      <c r="E131" s="30">
        <v>1</v>
      </c>
      <c r="F131" s="30"/>
      <c r="G131" s="31">
        <v>8</v>
      </c>
      <c r="H131" s="31">
        <f t="shared" si="27"/>
        <v>27</v>
      </c>
      <c r="I131" s="31">
        <v>27</v>
      </c>
      <c r="J131" s="49">
        <v>0</v>
      </c>
      <c r="K131" s="31">
        <v>0.5</v>
      </c>
      <c r="L131" s="50">
        <f t="shared" si="16"/>
        <v>4.97</v>
      </c>
      <c r="M131" s="19">
        <f t="shared" si="17"/>
        <v>3.6423</v>
      </c>
      <c r="N131" s="35">
        <f t="shared" si="24"/>
        <v>44.1123</v>
      </c>
      <c r="O131" s="31">
        <f t="shared" si="25"/>
        <v>44.1123</v>
      </c>
      <c r="P131" s="31">
        <f t="shared" si="26"/>
        <v>0</v>
      </c>
      <c r="Q131" s="53" t="s">
        <v>216</v>
      </c>
    </row>
    <row r="132" s="1" customFormat="1" ht="48" outlineLevel="1" spans="1:17">
      <c r="A132" s="27">
        <v>12</v>
      </c>
      <c r="B132" s="28" t="s">
        <v>223</v>
      </c>
      <c r="C132" s="29" t="s">
        <v>224</v>
      </c>
      <c r="D132" s="28" t="s">
        <v>136</v>
      </c>
      <c r="E132" s="30">
        <v>1</v>
      </c>
      <c r="F132" s="30"/>
      <c r="G132" s="31">
        <v>8</v>
      </c>
      <c r="H132" s="31">
        <f t="shared" si="27"/>
        <v>27</v>
      </c>
      <c r="I132" s="31">
        <v>27</v>
      </c>
      <c r="J132" s="49">
        <v>0</v>
      </c>
      <c r="K132" s="31">
        <v>0.5</v>
      </c>
      <c r="L132" s="50">
        <f t="shared" si="16"/>
        <v>4.97</v>
      </c>
      <c r="M132" s="19">
        <f t="shared" si="17"/>
        <v>3.6423</v>
      </c>
      <c r="N132" s="35">
        <f t="shared" si="24"/>
        <v>44.1123</v>
      </c>
      <c r="O132" s="31">
        <f t="shared" si="25"/>
        <v>44.1123</v>
      </c>
      <c r="P132" s="31">
        <f t="shared" si="26"/>
        <v>0</v>
      </c>
      <c r="Q132" s="53" t="s">
        <v>216</v>
      </c>
    </row>
    <row r="133" s="1" customFormat="1" ht="48" outlineLevel="1" spans="1:17">
      <c r="A133" s="27">
        <v>13</v>
      </c>
      <c r="B133" s="28" t="s">
        <v>225</v>
      </c>
      <c r="C133" s="29" t="s">
        <v>226</v>
      </c>
      <c r="D133" s="28" t="s">
        <v>136</v>
      </c>
      <c r="E133" s="30">
        <v>1</v>
      </c>
      <c r="F133" s="30"/>
      <c r="G133" s="31">
        <v>8</v>
      </c>
      <c r="H133" s="31">
        <f t="shared" si="27"/>
        <v>46</v>
      </c>
      <c r="I133" s="31">
        <v>46</v>
      </c>
      <c r="J133" s="49">
        <v>0</v>
      </c>
      <c r="K133" s="31">
        <v>0.5</v>
      </c>
      <c r="L133" s="50">
        <f t="shared" si="16"/>
        <v>7.63</v>
      </c>
      <c r="M133" s="19">
        <f t="shared" si="17"/>
        <v>5.5917</v>
      </c>
      <c r="N133" s="35">
        <f t="shared" si="24"/>
        <v>67.7217</v>
      </c>
      <c r="O133" s="31">
        <f t="shared" si="25"/>
        <v>67.7217</v>
      </c>
      <c r="P133" s="31">
        <f t="shared" si="26"/>
        <v>0</v>
      </c>
      <c r="Q133" s="53" t="s">
        <v>216</v>
      </c>
    </row>
    <row r="134" s="1" customFormat="1" ht="48" outlineLevel="1" spans="1:17">
      <c r="A134" s="27">
        <v>14</v>
      </c>
      <c r="B134" s="28" t="s">
        <v>227</v>
      </c>
      <c r="C134" s="29" t="s">
        <v>228</v>
      </c>
      <c r="D134" s="28" t="s">
        <v>136</v>
      </c>
      <c r="E134" s="30">
        <v>1</v>
      </c>
      <c r="F134" s="30"/>
      <c r="G134" s="31">
        <v>8</v>
      </c>
      <c r="H134" s="31">
        <f t="shared" si="27"/>
        <v>27</v>
      </c>
      <c r="I134" s="31">
        <v>27</v>
      </c>
      <c r="J134" s="49">
        <v>0</v>
      </c>
      <c r="K134" s="31">
        <v>0.5</v>
      </c>
      <c r="L134" s="50">
        <f t="shared" si="16"/>
        <v>4.97</v>
      </c>
      <c r="M134" s="19">
        <f t="shared" si="17"/>
        <v>3.6423</v>
      </c>
      <c r="N134" s="35">
        <f t="shared" si="24"/>
        <v>44.1123</v>
      </c>
      <c r="O134" s="31">
        <f t="shared" si="25"/>
        <v>44.1123</v>
      </c>
      <c r="P134" s="31">
        <f t="shared" si="26"/>
        <v>0</v>
      </c>
      <c r="Q134" s="53" t="s">
        <v>216</v>
      </c>
    </row>
    <row r="135" s="1" customFormat="1" ht="48" outlineLevel="1" spans="1:17">
      <c r="A135" s="27">
        <v>15</v>
      </c>
      <c r="B135" s="28" t="s">
        <v>229</v>
      </c>
      <c r="C135" s="29" t="s">
        <v>230</v>
      </c>
      <c r="D135" s="28" t="s">
        <v>136</v>
      </c>
      <c r="E135" s="30">
        <v>1</v>
      </c>
      <c r="F135" s="30"/>
      <c r="G135" s="31">
        <v>8</v>
      </c>
      <c r="H135" s="31">
        <f t="shared" si="27"/>
        <v>18</v>
      </c>
      <c r="I135" s="31">
        <v>18</v>
      </c>
      <c r="J135" s="49">
        <v>0</v>
      </c>
      <c r="K135" s="31">
        <v>0.5</v>
      </c>
      <c r="L135" s="50">
        <f t="shared" ref="L135:L198" si="28">(G135+H135+K135)*$L$4</f>
        <v>3.71</v>
      </c>
      <c r="M135" s="19">
        <f t="shared" ref="M135:M198" si="29">(G135+H135+K135+L135)*$M$4</f>
        <v>2.7189</v>
      </c>
      <c r="N135" s="35">
        <f t="shared" si="24"/>
        <v>32.9289</v>
      </c>
      <c r="O135" s="31">
        <f t="shared" si="25"/>
        <v>32.9289</v>
      </c>
      <c r="P135" s="31">
        <f t="shared" si="26"/>
        <v>0</v>
      </c>
      <c r="Q135" s="53" t="s">
        <v>216</v>
      </c>
    </row>
    <row r="136" s="1" customFormat="1" ht="48" outlineLevel="1" spans="1:17">
      <c r="A136" s="27">
        <v>16</v>
      </c>
      <c r="B136" s="28" t="s">
        <v>231</v>
      </c>
      <c r="C136" s="29" t="s">
        <v>232</v>
      </c>
      <c r="D136" s="28" t="s">
        <v>136</v>
      </c>
      <c r="E136" s="30">
        <v>2</v>
      </c>
      <c r="F136" s="30"/>
      <c r="G136" s="31">
        <v>8</v>
      </c>
      <c r="H136" s="31">
        <f t="shared" si="27"/>
        <v>35.2</v>
      </c>
      <c r="I136" s="31">
        <v>35.2</v>
      </c>
      <c r="J136" s="49">
        <v>0</v>
      </c>
      <c r="K136" s="31">
        <v>0.5</v>
      </c>
      <c r="L136" s="50">
        <f t="shared" si="28"/>
        <v>6.118</v>
      </c>
      <c r="M136" s="19">
        <f t="shared" si="29"/>
        <v>4.48362</v>
      </c>
      <c r="N136" s="35">
        <f t="shared" si="24"/>
        <v>54.30162</v>
      </c>
      <c r="O136" s="31">
        <f t="shared" si="25"/>
        <v>108.60324</v>
      </c>
      <c r="P136" s="31">
        <f t="shared" si="26"/>
        <v>0</v>
      </c>
      <c r="Q136" s="53" t="s">
        <v>216</v>
      </c>
    </row>
    <row r="137" s="1" customFormat="1" ht="48" outlineLevel="1" spans="1:17">
      <c r="A137" s="27">
        <v>17</v>
      </c>
      <c r="B137" s="28" t="s">
        <v>233</v>
      </c>
      <c r="C137" s="29" t="s">
        <v>234</v>
      </c>
      <c r="D137" s="28" t="s">
        <v>136</v>
      </c>
      <c r="E137" s="30">
        <v>3</v>
      </c>
      <c r="F137" s="30"/>
      <c r="G137" s="31">
        <v>8</v>
      </c>
      <c r="H137" s="31">
        <f t="shared" si="27"/>
        <v>35.2</v>
      </c>
      <c r="I137" s="31">
        <v>35.2</v>
      </c>
      <c r="J137" s="49">
        <v>0</v>
      </c>
      <c r="K137" s="31">
        <v>0.5</v>
      </c>
      <c r="L137" s="50">
        <f t="shared" si="28"/>
        <v>6.118</v>
      </c>
      <c r="M137" s="19">
        <f t="shared" si="29"/>
        <v>4.48362</v>
      </c>
      <c r="N137" s="35">
        <f t="shared" si="24"/>
        <v>54.30162</v>
      </c>
      <c r="O137" s="31">
        <f t="shared" si="25"/>
        <v>162.90486</v>
      </c>
      <c r="P137" s="31">
        <f t="shared" si="26"/>
        <v>0</v>
      </c>
      <c r="Q137" s="53" t="s">
        <v>216</v>
      </c>
    </row>
    <row r="138" s="1" customFormat="1" ht="48" outlineLevel="1" spans="1:17">
      <c r="A138" s="27">
        <v>18</v>
      </c>
      <c r="B138" s="28" t="s">
        <v>235</v>
      </c>
      <c r="C138" s="29" t="s">
        <v>236</v>
      </c>
      <c r="D138" s="28" t="s">
        <v>136</v>
      </c>
      <c r="E138" s="30">
        <v>2</v>
      </c>
      <c r="F138" s="30"/>
      <c r="G138" s="31">
        <v>8</v>
      </c>
      <c r="H138" s="31">
        <f t="shared" si="27"/>
        <v>27</v>
      </c>
      <c r="I138" s="31">
        <v>27</v>
      </c>
      <c r="J138" s="49">
        <v>0</v>
      </c>
      <c r="K138" s="31">
        <v>0.5</v>
      </c>
      <c r="L138" s="50">
        <f t="shared" si="28"/>
        <v>4.97</v>
      </c>
      <c r="M138" s="19">
        <f t="shared" si="29"/>
        <v>3.6423</v>
      </c>
      <c r="N138" s="35">
        <f t="shared" si="24"/>
        <v>44.1123</v>
      </c>
      <c r="O138" s="31">
        <f t="shared" si="25"/>
        <v>88.2246</v>
      </c>
      <c r="P138" s="31">
        <f t="shared" si="26"/>
        <v>0</v>
      </c>
      <c r="Q138" s="53" t="s">
        <v>216</v>
      </c>
    </row>
    <row r="139" s="1" customFormat="1" ht="48" outlineLevel="1" spans="1:17">
      <c r="A139" s="27">
        <v>19</v>
      </c>
      <c r="B139" s="28" t="s">
        <v>237</v>
      </c>
      <c r="C139" s="29" t="s">
        <v>238</v>
      </c>
      <c r="D139" s="28" t="s">
        <v>136</v>
      </c>
      <c r="E139" s="30">
        <v>1</v>
      </c>
      <c r="F139" s="30"/>
      <c r="G139" s="31">
        <v>8</v>
      </c>
      <c r="H139" s="31">
        <f t="shared" si="27"/>
        <v>27</v>
      </c>
      <c r="I139" s="31">
        <v>27</v>
      </c>
      <c r="J139" s="49">
        <v>0</v>
      </c>
      <c r="K139" s="31">
        <v>0.5</v>
      </c>
      <c r="L139" s="50">
        <f t="shared" si="28"/>
        <v>4.97</v>
      </c>
      <c r="M139" s="19">
        <f t="shared" si="29"/>
        <v>3.6423</v>
      </c>
      <c r="N139" s="35">
        <f t="shared" si="24"/>
        <v>44.1123</v>
      </c>
      <c r="O139" s="31">
        <f t="shared" si="25"/>
        <v>44.1123</v>
      </c>
      <c r="P139" s="31">
        <f t="shared" si="26"/>
        <v>0</v>
      </c>
      <c r="Q139" s="53" t="s">
        <v>216</v>
      </c>
    </row>
    <row r="140" s="1" customFormat="1" ht="48" outlineLevel="1" spans="1:17">
      <c r="A140" s="27">
        <v>20</v>
      </c>
      <c r="B140" s="28" t="s">
        <v>239</v>
      </c>
      <c r="C140" s="29" t="s">
        <v>240</v>
      </c>
      <c r="D140" s="28" t="s">
        <v>136</v>
      </c>
      <c r="E140" s="30">
        <v>3</v>
      </c>
      <c r="F140" s="30"/>
      <c r="G140" s="31">
        <v>8</v>
      </c>
      <c r="H140" s="31">
        <f t="shared" si="27"/>
        <v>16.5</v>
      </c>
      <c r="I140" s="31">
        <v>16.5</v>
      </c>
      <c r="J140" s="49">
        <v>0</v>
      </c>
      <c r="K140" s="31">
        <v>0.5</v>
      </c>
      <c r="L140" s="50">
        <f t="shared" si="28"/>
        <v>3.5</v>
      </c>
      <c r="M140" s="19">
        <f t="shared" si="29"/>
        <v>2.565</v>
      </c>
      <c r="N140" s="35">
        <f t="shared" si="24"/>
        <v>31.065</v>
      </c>
      <c r="O140" s="31">
        <f t="shared" si="25"/>
        <v>93.195</v>
      </c>
      <c r="P140" s="31">
        <f t="shared" si="26"/>
        <v>0</v>
      </c>
      <c r="Q140" s="53" t="s">
        <v>216</v>
      </c>
    </row>
    <row r="141" s="1" customFormat="1" ht="48" outlineLevel="1" spans="1:17">
      <c r="A141" s="27">
        <v>21</v>
      </c>
      <c r="B141" s="28" t="s">
        <v>241</v>
      </c>
      <c r="C141" s="29" t="s">
        <v>242</v>
      </c>
      <c r="D141" s="28" t="s">
        <v>136</v>
      </c>
      <c r="E141" s="30">
        <v>2</v>
      </c>
      <c r="F141" s="30"/>
      <c r="G141" s="31">
        <v>8</v>
      </c>
      <c r="H141" s="31">
        <f t="shared" si="27"/>
        <v>18.2</v>
      </c>
      <c r="I141" s="31">
        <v>18.2</v>
      </c>
      <c r="J141" s="49">
        <v>0</v>
      </c>
      <c r="K141" s="31">
        <v>0.5</v>
      </c>
      <c r="L141" s="50">
        <f t="shared" si="28"/>
        <v>3.738</v>
      </c>
      <c r="M141" s="19">
        <f t="shared" si="29"/>
        <v>2.73942</v>
      </c>
      <c r="N141" s="35">
        <f t="shared" si="24"/>
        <v>33.17742</v>
      </c>
      <c r="O141" s="31">
        <f t="shared" si="25"/>
        <v>66.35484</v>
      </c>
      <c r="P141" s="31">
        <f t="shared" si="26"/>
        <v>0</v>
      </c>
      <c r="Q141" s="53" t="s">
        <v>216</v>
      </c>
    </row>
    <row r="142" s="1" customFormat="1" ht="48" outlineLevel="1" spans="1:17">
      <c r="A142" s="27">
        <v>22</v>
      </c>
      <c r="B142" s="28" t="s">
        <v>243</v>
      </c>
      <c r="C142" s="29" t="s">
        <v>244</v>
      </c>
      <c r="D142" s="28" t="s">
        <v>136</v>
      </c>
      <c r="E142" s="30">
        <v>2</v>
      </c>
      <c r="F142" s="30"/>
      <c r="G142" s="31">
        <v>8</v>
      </c>
      <c r="H142" s="31">
        <f t="shared" si="27"/>
        <v>30.25</v>
      </c>
      <c r="I142" s="31">
        <v>30.25</v>
      </c>
      <c r="J142" s="49">
        <v>0</v>
      </c>
      <c r="K142" s="31">
        <v>0.5</v>
      </c>
      <c r="L142" s="50">
        <f t="shared" si="28"/>
        <v>5.425</v>
      </c>
      <c r="M142" s="19">
        <f t="shared" si="29"/>
        <v>3.97575</v>
      </c>
      <c r="N142" s="35">
        <f t="shared" si="24"/>
        <v>48.15075</v>
      </c>
      <c r="O142" s="31">
        <f t="shared" si="25"/>
        <v>96.3015</v>
      </c>
      <c r="P142" s="31">
        <f t="shared" si="26"/>
        <v>0</v>
      </c>
      <c r="Q142" s="53" t="s">
        <v>216</v>
      </c>
    </row>
    <row r="143" s="1" customFormat="1" ht="48" outlineLevel="1" spans="1:17">
      <c r="A143" s="27">
        <v>23</v>
      </c>
      <c r="B143" s="28" t="s">
        <v>245</v>
      </c>
      <c r="C143" s="29" t="s">
        <v>246</v>
      </c>
      <c r="D143" s="28" t="s">
        <v>136</v>
      </c>
      <c r="E143" s="30">
        <v>1</v>
      </c>
      <c r="F143" s="30"/>
      <c r="G143" s="31">
        <v>10</v>
      </c>
      <c r="H143" s="31">
        <f t="shared" si="27"/>
        <v>63.8</v>
      </c>
      <c r="I143" s="31">
        <v>63.8</v>
      </c>
      <c r="J143" s="49">
        <v>0</v>
      </c>
      <c r="K143" s="31">
        <v>0.5</v>
      </c>
      <c r="L143" s="50">
        <f t="shared" si="28"/>
        <v>10.402</v>
      </c>
      <c r="M143" s="19">
        <f t="shared" si="29"/>
        <v>7.62318</v>
      </c>
      <c r="N143" s="35">
        <f t="shared" si="24"/>
        <v>92.32518</v>
      </c>
      <c r="O143" s="31">
        <f t="shared" si="25"/>
        <v>92.32518</v>
      </c>
      <c r="P143" s="31">
        <f t="shared" si="26"/>
        <v>0</v>
      </c>
      <c r="Q143" s="53" t="s">
        <v>247</v>
      </c>
    </row>
    <row r="144" s="1" customFormat="1" ht="60" outlineLevel="1" spans="1:17">
      <c r="A144" s="27">
        <v>24</v>
      </c>
      <c r="B144" s="28" t="s">
        <v>248</v>
      </c>
      <c r="C144" s="29" t="s">
        <v>249</v>
      </c>
      <c r="D144" s="28" t="s">
        <v>136</v>
      </c>
      <c r="E144" s="30">
        <v>1</v>
      </c>
      <c r="F144" s="30"/>
      <c r="G144" s="31">
        <v>10</v>
      </c>
      <c r="H144" s="31">
        <f t="shared" si="27"/>
        <v>5</v>
      </c>
      <c r="I144" s="31">
        <v>5</v>
      </c>
      <c r="J144" s="49">
        <v>0</v>
      </c>
      <c r="K144" s="31">
        <v>0.5</v>
      </c>
      <c r="L144" s="50">
        <f t="shared" si="28"/>
        <v>2.17</v>
      </c>
      <c r="M144" s="19">
        <f t="shared" si="29"/>
        <v>1.5903</v>
      </c>
      <c r="N144" s="35">
        <f t="shared" si="24"/>
        <v>19.2603</v>
      </c>
      <c r="O144" s="31">
        <f t="shared" si="25"/>
        <v>19.2603</v>
      </c>
      <c r="P144" s="31">
        <f t="shared" si="26"/>
        <v>0</v>
      </c>
      <c r="Q144" s="53" t="s">
        <v>250</v>
      </c>
    </row>
    <row r="145" s="1" customFormat="1" ht="48" outlineLevel="1" spans="1:17">
      <c r="A145" s="27">
        <v>25</v>
      </c>
      <c r="B145" s="28" t="s">
        <v>251</v>
      </c>
      <c r="C145" s="29" t="s">
        <v>252</v>
      </c>
      <c r="D145" s="28" t="s">
        <v>136</v>
      </c>
      <c r="E145" s="30">
        <v>1</v>
      </c>
      <c r="F145" s="30"/>
      <c r="G145" s="31">
        <v>30</v>
      </c>
      <c r="H145" s="31">
        <f t="shared" si="27"/>
        <v>45</v>
      </c>
      <c r="I145" s="31">
        <v>45</v>
      </c>
      <c r="J145" s="49">
        <v>0</v>
      </c>
      <c r="K145" s="31">
        <v>0.5</v>
      </c>
      <c r="L145" s="50">
        <f t="shared" si="28"/>
        <v>10.57</v>
      </c>
      <c r="M145" s="19">
        <f t="shared" si="29"/>
        <v>7.7463</v>
      </c>
      <c r="N145" s="35">
        <f t="shared" si="24"/>
        <v>93.8163</v>
      </c>
      <c r="O145" s="31">
        <f t="shared" si="25"/>
        <v>93.8163</v>
      </c>
      <c r="P145" s="31">
        <f t="shared" si="26"/>
        <v>0</v>
      </c>
      <c r="Q145" s="53" t="s">
        <v>195</v>
      </c>
    </row>
    <row r="146" s="1" customFormat="1" ht="36" outlineLevel="1" spans="1:17">
      <c r="A146" s="27">
        <v>26</v>
      </c>
      <c r="B146" s="28" t="s">
        <v>253</v>
      </c>
      <c r="C146" s="29" t="s">
        <v>254</v>
      </c>
      <c r="D146" s="28" t="s">
        <v>136</v>
      </c>
      <c r="E146" s="30">
        <v>5</v>
      </c>
      <c r="F146" s="30"/>
      <c r="G146" s="31">
        <v>8</v>
      </c>
      <c r="H146" s="31">
        <f t="shared" si="27"/>
        <v>10.78</v>
      </c>
      <c r="I146" s="31">
        <v>10.78</v>
      </c>
      <c r="J146" s="49">
        <v>0</v>
      </c>
      <c r="K146" s="31">
        <v>0.5</v>
      </c>
      <c r="L146" s="50">
        <f t="shared" si="28"/>
        <v>2.6992</v>
      </c>
      <c r="M146" s="19">
        <f t="shared" si="29"/>
        <v>1.978128</v>
      </c>
      <c r="N146" s="35">
        <f t="shared" si="24"/>
        <v>23.957328</v>
      </c>
      <c r="O146" s="31">
        <f t="shared" si="25"/>
        <v>119.78664</v>
      </c>
      <c r="P146" s="31">
        <f t="shared" si="26"/>
        <v>0</v>
      </c>
      <c r="Q146" s="53" t="s">
        <v>216</v>
      </c>
    </row>
    <row r="147" s="1" customFormat="1" ht="36" outlineLevel="1" spans="1:17">
      <c r="A147" s="27">
        <v>27</v>
      </c>
      <c r="B147" s="28" t="s">
        <v>255</v>
      </c>
      <c r="C147" s="29" t="s">
        <v>256</v>
      </c>
      <c r="D147" s="28" t="s">
        <v>136</v>
      </c>
      <c r="E147" s="30">
        <v>1</v>
      </c>
      <c r="F147" s="30"/>
      <c r="G147" s="31">
        <v>8</v>
      </c>
      <c r="H147" s="31">
        <f t="shared" si="27"/>
        <v>30.25</v>
      </c>
      <c r="I147" s="31">
        <v>30.25</v>
      </c>
      <c r="J147" s="49">
        <v>0</v>
      </c>
      <c r="K147" s="31">
        <v>0.5</v>
      </c>
      <c r="L147" s="50">
        <f t="shared" si="28"/>
        <v>5.425</v>
      </c>
      <c r="M147" s="19">
        <f t="shared" si="29"/>
        <v>3.97575</v>
      </c>
      <c r="N147" s="35">
        <f t="shared" si="24"/>
        <v>48.15075</v>
      </c>
      <c r="O147" s="31">
        <f t="shared" si="25"/>
        <v>48.15075</v>
      </c>
      <c r="P147" s="31">
        <f t="shared" si="26"/>
        <v>0</v>
      </c>
      <c r="Q147" s="53" t="s">
        <v>216</v>
      </c>
    </row>
    <row r="148" s="1" customFormat="1" ht="36" outlineLevel="1" spans="1:17">
      <c r="A148" s="27">
        <v>28</v>
      </c>
      <c r="B148" s="28" t="s">
        <v>257</v>
      </c>
      <c r="C148" s="29" t="s">
        <v>258</v>
      </c>
      <c r="D148" s="28" t="s">
        <v>136</v>
      </c>
      <c r="E148" s="30">
        <v>1</v>
      </c>
      <c r="F148" s="30"/>
      <c r="G148" s="31">
        <v>8</v>
      </c>
      <c r="H148" s="31">
        <f t="shared" si="27"/>
        <v>22</v>
      </c>
      <c r="I148" s="31">
        <v>22</v>
      </c>
      <c r="J148" s="49">
        <v>0</v>
      </c>
      <c r="K148" s="31">
        <v>0.5</v>
      </c>
      <c r="L148" s="50">
        <f t="shared" si="28"/>
        <v>4.27</v>
      </c>
      <c r="M148" s="19">
        <f t="shared" si="29"/>
        <v>3.1293</v>
      </c>
      <c r="N148" s="35">
        <f t="shared" si="24"/>
        <v>37.8993</v>
      </c>
      <c r="O148" s="31">
        <f t="shared" si="25"/>
        <v>37.8993</v>
      </c>
      <c r="P148" s="31">
        <f t="shared" si="26"/>
        <v>0</v>
      </c>
      <c r="Q148" s="53" t="s">
        <v>216</v>
      </c>
    </row>
    <row r="149" s="1" customFormat="1" ht="36" outlineLevel="1" spans="1:17">
      <c r="A149" s="27">
        <v>29</v>
      </c>
      <c r="B149" s="28" t="s">
        <v>259</v>
      </c>
      <c r="C149" s="29" t="s">
        <v>260</v>
      </c>
      <c r="D149" s="28" t="s">
        <v>136</v>
      </c>
      <c r="E149" s="30">
        <f>1+2</f>
        <v>3</v>
      </c>
      <c r="F149" s="30"/>
      <c r="G149" s="31">
        <v>8</v>
      </c>
      <c r="H149" s="31">
        <f t="shared" si="27"/>
        <v>33.55</v>
      </c>
      <c r="I149" s="31">
        <v>33.55</v>
      </c>
      <c r="J149" s="49">
        <v>0</v>
      </c>
      <c r="K149" s="31">
        <v>0.5</v>
      </c>
      <c r="L149" s="50">
        <f t="shared" si="28"/>
        <v>5.887</v>
      </c>
      <c r="M149" s="19">
        <f t="shared" si="29"/>
        <v>4.31433</v>
      </c>
      <c r="N149" s="35">
        <f t="shared" si="24"/>
        <v>52.25133</v>
      </c>
      <c r="O149" s="31">
        <f t="shared" si="25"/>
        <v>156.75399</v>
      </c>
      <c r="P149" s="31">
        <f t="shared" si="26"/>
        <v>0</v>
      </c>
      <c r="Q149" s="53" t="s">
        <v>216</v>
      </c>
    </row>
    <row r="150" s="1" customFormat="1" ht="48" outlineLevel="1" spans="1:17">
      <c r="A150" s="27">
        <v>30</v>
      </c>
      <c r="B150" s="33" t="s">
        <v>261</v>
      </c>
      <c r="C150" s="34" t="s">
        <v>262</v>
      </c>
      <c r="D150" s="35" t="s">
        <v>84</v>
      </c>
      <c r="E150" s="35">
        <v>174.92</v>
      </c>
      <c r="F150" s="35">
        <f>E150</f>
        <v>174.92</v>
      </c>
      <c r="G150" s="31">
        <v>3</v>
      </c>
      <c r="H150" s="31">
        <f t="shared" si="27"/>
        <v>1.575</v>
      </c>
      <c r="I150" s="31">
        <v>1.5</v>
      </c>
      <c r="J150" s="49">
        <v>0.05</v>
      </c>
      <c r="K150" s="31">
        <v>0.3</v>
      </c>
      <c r="L150" s="50">
        <f t="shared" si="28"/>
        <v>0.6825</v>
      </c>
      <c r="M150" s="19">
        <f t="shared" si="29"/>
        <v>0.500175</v>
      </c>
      <c r="N150" s="35">
        <f t="shared" si="24"/>
        <v>6.057675</v>
      </c>
      <c r="O150" s="31">
        <f t="shared" si="25"/>
        <v>1059.608511</v>
      </c>
      <c r="P150" s="31">
        <f t="shared" si="26"/>
        <v>1059.608511</v>
      </c>
      <c r="Q150" s="53" t="s">
        <v>263</v>
      </c>
    </row>
    <row r="151" s="1" customFormat="1" ht="48" outlineLevel="1" spans="1:17">
      <c r="A151" s="27">
        <v>31</v>
      </c>
      <c r="B151" s="33" t="s">
        <v>261</v>
      </c>
      <c r="C151" s="34" t="s">
        <v>264</v>
      </c>
      <c r="D151" s="35" t="s">
        <v>84</v>
      </c>
      <c r="E151" s="35">
        <v>305.46</v>
      </c>
      <c r="F151" s="35">
        <f>E151</f>
        <v>305.46</v>
      </c>
      <c r="G151" s="31">
        <v>3</v>
      </c>
      <c r="H151" s="31">
        <f t="shared" si="27"/>
        <v>2.415</v>
      </c>
      <c r="I151" s="31">
        <v>2.3</v>
      </c>
      <c r="J151" s="49">
        <v>0.05</v>
      </c>
      <c r="K151" s="31">
        <v>0.3</v>
      </c>
      <c r="L151" s="50">
        <f t="shared" si="28"/>
        <v>0.8001</v>
      </c>
      <c r="M151" s="19">
        <f t="shared" si="29"/>
        <v>0.586359</v>
      </c>
      <c r="N151" s="35">
        <f t="shared" si="24"/>
        <v>7.101459</v>
      </c>
      <c r="O151" s="31">
        <f t="shared" si="25"/>
        <v>2169.21166614</v>
      </c>
      <c r="P151" s="31">
        <f t="shared" si="26"/>
        <v>2169.21166614</v>
      </c>
      <c r="Q151" s="53" t="s">
        <v>263</v>
      </c>
    </row>
    <row r="152" s="1" customFormat="1" ht="48" outlineLevel="1" spans="1:17">
      <c r="A152" s="27">
        <v>32</v>
      </c>
      <c r="B152" s="33" t="s">
        <v>265</v>
      </c>
      <c r="C152" s="34" t="s">
        <v>266</v>
      </c>
      <c r="D152" s="35" t="s">
        <v>84</v>
      </c>
      <c r="E152" s="35">
        <v>16.06</v>
      </c>
      <c r="F152" s="35">
        <f>E152</f>
        <v>16.06</v>
      </c>
      <c r="G152" s="31">
        <v>5</v>
      </c>
      <c r="H152" s="31">
        <f t="shared" si="27"/>
        <v>2.625</v>
      </c>
      <c r="I152" s="31">
        <v>2.5</v>
      </c>
      <c r="J152" s="49">
        <v>0.05</v>
      </c>
      <c r="K152" s="31">
        <v>0.5</v>
      </c>
      <c r="L152" s="50">
        <f t="shared" si="28"/>
        <v>1.1375</v>
      </c>
      <c r="M152" s="19">
        <f t="shared" si="29"/>
        <v>0.833625</v>
      </c>
      <c r="N152" s="35">
        <f t="shared" si="24"/>
        <v>10.096125</v>
      </c>
      <c r="O152" s="31">
        <f t="shared" si="25"/>
        <v>162.1437675</v>
      </c>
      <c r="P152" s="31">
        <f t="shared" si="26"/>
        <v>162.1437675</v>
      </c>
      <c r="Q152" s="53" t="s">
        <v>267</v>
      </c>
    </row>
    <row r="153" s="1" customFormat="1" ht="48" outlineLevel="1" spans="1:17">
      <c r="A153" s="27">
        <v>33</v>
      </c>
      <c r="B153" s="33" t="s">
        <v>268</v>
      </c>
      <c r="C153" s="34" t="s">
        <v>269</v>
      </c>
      <c r="D153" s="35" t="s">
        <v>84</v>
      </c>
      <c r="E153" s="35">
        <v>3.56</v>
      </c>
      <c r="F153" s="35">
        <f>E153</f>
        <v>3.56</v>
      </c>
      <c r="G153" s="31">
        <v>5</v>
      </c>
      <c r="H153" s="31">
        <f t="shared" si="27"/>
        <v>1.575</v>
      </c>
      <c r="I153" s="31">
        <v>1.5</v>
      </c>
      <c r="J153" s="49">
        <v>0.05</v>
      </c>
      <c r="K153" s="31">
        <v>0.5</v>
      </c>
      <c r="L153" s="50">
        <f t="shared" si="28"/>
        <v>0.9905</v>
      </c>
      <c r="M153" s="19">
        <f t="shared" si="29"/>
        <v>0.725895</v>
      </c>
      <c r="N153" s="35">
        <f t="shared" si="24"/>
        <v>8.791395</v>
      </c>
      <c r="O153" s="31">
        <f t="shared" si="25"/>
        <v>31.2973662</v>
      </c>
      <c r="P153" s="31">
        <f t="shared" si="26"/>
        <v>31.2973662</v>
      </c>
      <c r="Q153" s="53"/>
    </row>
    <row r="154" s="1" customFormat="1" ht="48" outlineLevel="1" spans="1:17">
      <c r="A154" s="27">
        <v>34</v>
      </c>
      <c r="B154" s="33" t="s">
        <v>270</v>
      </c>
      <c r="C154" s="34" t="s">
        <v>271</v>
      </c>
      <c r="D154" s="35" t="s">
        <v>84</v>
      </c>
      <c r="E154" s="35">
        <v>4.79</v>
      </c>
      <c r="F154" s="35">
        <f>E154</f>
        <v>4.79</v>
      </c>
      <c r="G154" s="31">
        <v>5</v>
      </c>
      <c r="H154" s="31">
        <f t="shared" si="27"/>
        <v>3.675</v>
      </c>
      <c r="I154" s="31">
        <v>3.5</v>
      </c>
      <c r="J154" s="49">
        <v>0.05</v>
      </c>
      <c r="K154" s="31">
        <v>0.5</v>
      </c>
      <c r="L154" s="50">
        <f t="shared" si="28"/>
        <v>1.2845</v>
      </c>
      <c r="M154" s="19">
        <f t="shared" si="29"/>
        <v>0.941355</v>
      </c>
      <c r="N154" s="35">
        <f t="shared" si="24"/>
        <v>11.400855</v>
      </c>
      <c r="O154" s="31">
        <f t="shared" si="25"/>
        <v>54.61009545</v>
      </c>
      <c r="P154" s="31">
        <f t="shared" si="26"/>
        <v>54.61009545</v>
      </c>
      <c r="Q154" s="53"/>
    </row>
    <row r="155" s="1" customFormat="1" spans="1:17">
      <c r="A155" s="27">
        <v>35</v>
      </c>
      <c r="B155" s="36" t="s">
        <v>54</v>
      </c>
      <c r="C155" s="36"/>
      <c r="D155" s="36" t="s">
        <v>272</v>
      </c>
      <c r="E155" s="37"/>
      <c r="F155" s="37"/>
      <c r="G155" s="27"/>
      <c r="H155" s="37"/>
      <c r="I155" s="37"/>
      <c r="J155" s="51"/>
      <c r="K155" s="37"/>
      <c r="L155" s="50"/>
      <c r="M155" s="19"/>
      <c r="N155" s="35"/>
      <c r="O155" s="31">
        <f>SUM(O121:O154)</f>
        <v>7643.55772629</v>
      </c>
      <c r="P155" s="31">
        <f>SUM(P121:P154)</f>
        <v>3476.87140629</v>
      </c>
      <c r="Q155" s="53"/>
    </row>
    <row r="156" s="1" customFormat="1" spans="1:17">
      <c r="A156" s="27" t="s">
        <v>273</v>
      </c>
      <c r="B156" s="25" t="s">
        <v>315</v>
      </c>
      <c r="C156" s="25" t="s">
        <v>191</v>
      </c>
      <c r="D156" s="25" t="s">
        <v>192</v>
      </c>
      <c r="E156" s="37"/>
      <c r="F156" s="37"/>
      <c r="G156" s="27"/>
      <c r="H156" s="37"/>
      <c r="I156" s="37"/>
      <c r="J156" s="51"/>
      <c r="K156" s="37"/>
      <c r="L156" s="50"/>
      <c r="M156" s="19"/>
      <c r="N156" s="35"/>
      <c r="O156" s="31"/>
      <c r="P156" s="31"/>
      <c r="Q156" s="53"/>
    </row>
    <row r="157" s="1" customFormat="1" ht="48" outlineLevel="1" spans="1:17">
      <c r="A157" s="27">
        <v>1</v>
      </c>
      <c r="B157" s="28" t="s">
        <v>275</v>
      </c>
      <c r="C157" s="29" t="s">
        <v>276</v>
      </c>
      <c r="D157" s="28" t="s">
        <v>277</v>
      </c>
      <c r="E157" s="27">
        <v>1</v>
      </c>
      <c r="F157" s="27"/>
      <c r="G157" s="27">
        <v>80</v>
      </c>
      <c r="H157" s="27">
        <f>I157*(1+J157)</f>
        <v>650</v>
      </c>
      <c r="I157" s="27">
        <v>650</v>
      </c>
      <c r="J157" s="51">
        <v>0</v>
      </c>
      <c r="K157" s="27">
        <v>15</v>
      </c>
      <c r="L157" s="50">
        <f t="shared" si="28"/>
        <v>104.3</v>
      </c>
      <c r="M157" s="19">
        <f t="shared" si="29"/>
        <v>76.437</v>
      </c>
      <c r="N157" s="35">
        <f t="shared" ref="N157:N173" si="30">G157+H157+K157+L157+M157</f>
        <v>925.737</v>
      </c>
      <c r="O157" s="31">
        <f t="shared" ref="O157:O173" si="31">N157*E157</f>
        <v>925.737</v>
      </c>
      <c r="P157" s="31">
        <f>F157*N157</f>
        <v>0</v>
      </c>
      <c r="Q157" s="53" t="s">
        <v>137</v>
      </c>
    </row>
    <row r="158" s="1" customFormat="1" ht="48" outlineLevel="1" spans="1:17">
      <c r="A158" s="27">
        <v>2</v>
      </c>
      <c r="B158" s="28" t="s">
        <v>278</v>
      </c>
      <c r="C158" s="29" t="s">
        <v>312</v>
      </c>
      <c r="D158" s="28" t="s">
        <v>277</v>
      </c>
      <c r="E158" s="27">
        <v>1</v>
      </c>
      <c r="F158" s="27"/>
      <c r="G158" s="27">
        <v>300</v>
      </c>
      <c r="H158" s="27">
        <f>I158*(1+J158)</f>
        <v>750</v>
      </c>
      <c r="I158" s="27">
        <v>750</v>
      </c>
      <c r="J158" s="52">
        <v>0</v>
      </c>
      <c r="K158" s="27">
        <v>10</v>
      </c>
      <c r="L158" s="50">
        <f t="shared" si="28"/>
        <v>148.4</v>
      </c>
      <c r="M158" s="19">
        <f t="shared" si="29"/>
        <v>108.756</v>
      </c>
      <c r="N158" s="35">
        <f t="shared" si="30"/>
        <v>1317.156</v>
      </c>
      <c r="O158" s="31">
        <f t="shared" si="31"/>
        <v>1317.156</v>
      </c>
      <c r="P158" s="31">
        <f t="shared" ref="P158:P173" si="32">F158*N158</f>
        <v>0</v>
      </c>
      <c r="Q158" s="53" t="s">
        <v>280</v>
      </c>
    </row>
    <row r="159" s="1" customFormat="1" ht="48" outlineLevel="1" spans="1:17">
      <c r="A159" s="27">
        <v>3</v>
      </c>
      <c r="B159" s="28" t="s">
        <v>281</v>
      </c>
      <c r="C159" s="29" t="s">
        <v>282</v>
      </c>
      <c r="D159" s="28" t="s">
        <v>277</v>
      </c>
      <c r="E159" s="27">
        <v>1</v>
      </c>
      <c r="F159" s="27"/>
      <c r="G159" s="27">
        <v>80</v>
      </c>
      <c r="H159" s="27">
        <f>I159*(1+J159)</f>
        <v>580</v>
      </c>
      <c r="I159" s="27">
        <v>580</v>
      </c>
      <c r="J159" s="52">
        <v>0</v>
      </c>
      <c r="K159" s="27">
        <v>20</v>
      </c>
      <c r="L159" s="50">
        <f t="shared" si="28"/>
        <v>95.2</v>
      </c>
      <c r="M159" s="19">
        <f t="shared" si="29"/>
        <v>69.768</v>
      </c>
      <c r="N159" s="35">
        <f t="shared" si="30"/>
        <v>844.968</v>
      </c>
      <c r="O159" s="31">
        <f t="shared" si="31"/>
        <v>844.968</v>
      </c>
      <c r="P159" s="31">
        <f t="shared" si="32"/>
        <v>0</v>
      </c>
      <c r="Q159" s="53" t="s">
        <v>137</v>
      </c>
    </row>
    <row r="160" s="1" customFormat="1" ht="60" outlineLevel="1" spans="1:17">
      <c r="A160" s="27">
        <v>4</v>
      </c>
      <c r="B160" s="28" t="s">
        <v>283</v>
      </c>
      <c r="C160" s="29" t="s">
        <v>284</v>
      </c>
      <c r="D160" s="28" t="s">
        <v>277</v>
      </c>
      <c r="E160" s="27">
        <v>1</v>
      </c>
      <c r="F160" s="27"/>
      <c r="G160" s="27">
        <v>100</v>
      </c>
      <c r="H160" s="27">
        <f>I160*(1+J160)</f>
        <v>1580</v>
      </c>
      <c r="I160" s="27">
        <v>1580</v>
      </c>
      <c r="J160" s="52">
        <v>0</v>
      </c>
      <c r="K160" s="27">
        <v>30</v>
      </c>
      <c r="L160" s="50">
        <f t="shared" si="28"/>
        <v>239.4</v>
      </c>
      <c r="M160" s="19">
        <f t="shared" si="29"/>
        <v>175.446</v>
      </c>
      <c r="N160" s="35">
        <f t="shared" si="30"/>
        <v>2124.846</v>
      </c>
      <c r="O160" s="31">
        <f t="shared" si="31"/>
        <v>2124.846</v>
      </c>
      <c r="P160" s="31">
        <f t="shared" si="32"/>
        <v>0</v>
      </c>
      <c r="Q160" s="53" t="s">
        <v>137</v>
      </c>
    </row>
    <row r="161" s="1" customFormat="1" ht="48" outlineLevel="1" spans="1:17">
      <c r="A161" s="27">
        <v>5</v>
      </c>
      <c r="B161" s="28" t="s">
        <v>285</v>
      </c>
      <c r="C161" s="29" t="s">
        <v>286</v>
      </c>
      <c r="D161" s="28" t="s">
        <v>277</v>
      </c>
      <c r="E161" s="27">
        <v>1</v>
      </c>
      <c r="F161" s="27"/>
      <c r="G161" s="27">
        <v>15</v>
      </c>
      <c r="H161" s="27">
        <f>I161*(1+J161)</f>
        <v>40</v>
      </c>
      <c r="I161" s="27">
        <v>40</v>
      </c>
      <c r="J161" s="52">
        <v>0</v>
      </c>
      <c r="K161" s="27">
        <v>5</v>
      </c>
      <c r="L161" s="50">
        <f t="shared" si="28"/>
        <v>8.4</v>
      </c>
      <c r="M161" s="19">
        <f t="shared" si="29"/>
        <v>6.156</v>
      </c>
      <c r="N161" s="35">
        <f t="shared" si="30"/>
        <v>74.556</v>
      </c>
      <c r="O161" s="31">
        <f t="shared" si="31"/>
        <v>74.556</v>
      </c>
      <c r="P161" s="31">
        <f t="shared" si="32"/>
        <v>0</v>
      </c>
      <c r="Q161" s="53" t="s">
        <v>137</v>
      </c>
    </row>
    <row r="162" s="1" customFormat="1" ht="48" outlineLevel="1" spans="1:17">
      <c r="A162" s="27">
        <v>6</v>
      </c>
      <c r="B162" s="28" t="s">
        <v>287</v>
      </c>
      <c r="C162" s="29" t="s">
        <v>288</v>
      </c>
      <c r="D162" s="28" t="s">
        <v>277</v>
      </c>
      <c r="E162" s="27">
        <v>1</v>
      </c>
      <c r="F162" s="27"/>
      <c r="G162" s="27">
        <v>15</v>
      </c>
      <c r="H162" s="27">
        <f t="shared" ref="H162:H173" si="33">I162*(1+J162)</f>
        <v>30</v>
      </c>
      <c r="I162" s="27">
        <v>30</v>
      </c>
      <c r="J162" s="52">
        <v>0</v>
      </c>
      <c r="K162" s="27">
        <v>2</v>
      </c>
      <c r="L162" s="50">
        <f t="shared" si="28"/>
        <v>6.58</v>
      </c>
      <c r="M162" s="19">
        <f t="shared" si="29"/>
        <v>4.8222</v>
      </c>
      <c r="N162" s="35">
        <f t="shared" si="30"/>
        <v>58.4022</v>
      </c>
      <c r="O162" s="31">
        <f t="shared" si="31"/>
        <v>58.4022</v>
      </c>
      <c r="P162" s="31">
        <f t="shared" si="32"/>
        <v>0</v>
      </c>
      <c r="Q162" s="53" t="s">
        <v>137</v>
      </c>
    </row>
    <row r="163" s="1" customFormat="1" ht="33.75" outlineLevel="1" spans="1:17">
      <c r="A163" s="27">
        <v>7</v>
      </c>
      <c r="B163" s="38" t="s">
        <v>289</v>
      </c>
      <c r="C163" s="39" t="s">
        <v>290</v>
      </c>
      <c r="D163" s="38" t="s">
        <v>277</v>
      </c>
      <c r="E163" s="27">
        <v>2</v>
      </c>
      <c r="F163" s="27"/>
      <c r="G163" s="27">
        <v>15</v>
      </c>
      <c r="H163" s="27">
        <f t="shared" si="33"/>
        <v>30</v>
      </c>
      <c r="I163" s="27">
        <v>30</v>
      </c>
      <c r="J163" s="52">
        <v>0</v>
      </c>
      <c r="K163" s="27">
        <v>2</v>
      </c>
      <c r="L163" s="50">
        <f t="shared" si="28"/>
        <v>6.58</v>
      </c>
      <c r="M163" s="19">
        <f t="shared" si="29"/>
        <v>4.8222</v>
      </c>
      <c r="N163" s="35">
        <f t="shared" si="30"/>
        <v>58.4022</v>
      </c>
      <c r="O163" s="31">
        <f t="shared" si="31"/>
        <v>116.8044</v>
      </c>
      <c r="P163" s="31">
        <f t="shared" si="32"/>
        <v>0</v>
      </c>
      <c r="Q163" s="53" t="s">
        <v>137</v>
      </c>
    </row>
    <row r="164" s="1" customFormat="1" ht="36" outlineLevel="1" spans="1:17">
      <c r="A164" s="27">
        <v>8</v>
      </c>
      <c r="B164" s="28" t="s">
        <v>291</v>
      </c>
      <c r="C164" s="29" t="s">
        <v>292</v>
      </c>
      <c r="D164" s="28" t="s">
        <v>277</v>
      </c>
      <c r="E164" s="27">
        <v>1</v>
      </c>
      <c r="F164" s="27"/>
      <c r="G164" s="27">
        <v>100</v>
      </c>
      <c r="H164" s="27">
        <f t="shared" si="33"/>
        <v>1500</v>
      </c>
      <c r="I164" s="27">
        <v>1500</v>
      </c>
      <c r="J164" s="52">
        <v>0</v>
      </c>
      <c r="K164" s="27">
        <v>20</v>
      </c>
      <c r="L164" s="50">
        <f t="shared" si="28"/>
        <v>226.8</v>
      </c>
      <c r="M164" s="19">
        <f t="shared" si="29"/>
        <v>166.212</v>
      </c>
      <c r="N164" s="35">
        <f t="shared" si="30"/>
        <v>2013.012</v>
      </c>
      <c r="O164" s="31">
        <f t="shared" si="31"/>
        <v>2013.012</v>
      </c>
      <c r="P164" s="31">
        <f t="shared" si="32"/>
        <v>0</v>
      </c>
      <c r="Q164" s="53" t="s">
        <v>293</v>
      </c>
    </row>
    <row r="165" s="1" customFormat="1" ht="36" outlineLevel="1" spans="1:17">
      <c r="A165" s="27">
        <v>9</v>
      </c>
      <c r="B165" s="28" t="s">
        <v>294</v>
      </c>
      <c r="C165" s="29" t="s">
        <v>295</v>
      </c>
      <c r="D165" s="28" t="s">
        <v>277</v>
      </c>
      <c r="E165" s="27">
        <v>1</v>
      </c>
      <c r="F165" s="27"/>
      <c r="G165" s="27">
        <v>300</v>
      </c>
      <c r="H165" s="27">
        <f t="shared" si="33"/>
        <v>600</v>
      </c>
      <c r="I165" s="27">
        <v>600</v>
      </c>
      <c r="J165" s="52">
        <v>0</v>
      </c>
      <c r="K165" s="27">
        <v>30</v>
      </c>
      <c r="L165" s="50">
        <f t="shared" si="28"/>
        <v>130.2</v>
      </c>
      <c r="M165" s="19">
        <f t="shared" si="29"/>
        <v>95.418</v>
      </c>
      <c r="N165" s="35">
        <f t="shared" si="30"/>
        <v>1155.618</v>
      </c>
      <c r="O165" s="31">
        <f t="shared" si="31"/>
        <v>1155.618</v>
      </c>
      <c r="P165" s="31">
        <f t="shared" si="32"/>
        <v>0</v>
      </c>
      <c r="Q165" s="53" t="s">
        <v>293</v>
      </c>
    </row>
    <row r="166" s="1" customFormat="1" ht="60" outlineLevel="1" spans="1:17">
      <c r="A166" s="27">
        <v>10</v>
      </c>
      <c r="B166" s="28" t="s">
        <v>296</v>
      </c>
      <c r="C166" s="29" t="s">
        <v>297</v>
      </c>
      <c r="D166" s="28" t="s">
        <v>277</v>
      </c>
      <c r="E166" s="27">
        <v>1</v>
      </c>
      <c r="F166" s="27"/>
      <c r="G166" s="27">
        <v>80</v>
      </c>
      <c r="H166" s="27">
        <f t="shared" si="33"/>
        <v>650</v>
      </c>
      <c r="I166" s="27">
        <v>650</v>
      </c>
      <c r="J166" s="52">
        <v>0</v>
      </c>
      <c r="K166" s="27">
        <v>10</v>
      </c>
      <c r="L166" s="50">
        <f t="shared" si="28"/>
        <v>103.6</v>
      </c>
      <c r="M166" s="19">
        <f t="shared" si="29"/>
        <v>75.924</v>
      </c>
      <c r="N166" s="35">
        <f t="shared" si="30"/>
        <v>919.524</v>
      </c>
      <c r="O166" s="31">
        <f t="shared" si="31"/>
        <v>919.524</v>
      </c>
      <c r="P166" s="31">
        <f t="shared" si="32"/>
        <v>0</v>
      </c>
      <c r="Q166" s="53" t="s">
        <v>137</v>
      </c>
    </row>
    <row r="167" s="1" customFormat="1" ht="48" outlineLevel="1" spans="1:17">
      <c r="A167" s="27">
        <v>11</v>
      </c>
      <c r="B167" s="28" t="s">
        <v>298</v>
      </c>
      <c r="C167" s="29" t="s">
        <v>299</v>
      </c>
      <c r="D167" s="28" t="s">
        <v>136</v>
      </c>
      <c r="E167" s="27">
        <v>1</v>
      </c>
      <c r="F167" s="27">
        <v>1</v>
      </c>
      <c r="G167" s="27">
        <v>5</v>
      </c>
      <c r="H167" s="27">
        <f t="shared" si="33"/>
        <v>22</v>
      </c>
      <c r="I167" s="27">
        <v>22</v>
      </c>
      <c r="J167" s="52">
        <v>0</v>
      </c>
      <c r="K167" s="27">
        <v>2</v>
      </c>
      <c r="L167" s="50">
        <f t="shared" si="28"/>
        <v>4.06</v>
      </c>
      <c r="M167" s="19">
        <f t="shared" si="29"/>
        <v>2.9754</v>
      </c>
      <c r="N167" s="35">
        <f t="shared" si="30"/>
        <v>36.0354</v>
      </c>
      <c r="O167" s="31">
        <f t="shared" si="31"/>
        <v>36.0354</v>
      </c>
      <c r="P167" s="31">
        <f t="shared" si="32"/>
        <v>36.0354</v>
      </c>
      <c r="Q167" s="53" t="s">
        <v>300</v>
      </c>
    </row>
    <row r="168" s="1" customFormat="1" ht="48" outlineLevel="1" spans="1:17">
      <c r="A168" s="27">
        <v>12</v>
      </c>
      <c r="B168" s="28" t="s">
        <v>298</v>
      </c>
      <c r="C168" s="29" t="s">
        <v>301</v>
      </c>
      <c r="D168" s="28" t="s">
        <v>136</v>
      </c>
      <c r="E168" s="27">
        <v>1</v>
      </c>
      <c r="F168" s="27">
        <v>1</v>
      </c>
      <c r="G168" s="27">
        <v>5</v>
      </c>
      <c r="H168" s="27">
        <f t="shared" si="33"/>
        <v>20</v>
      </c>
      <c r="I168" s="27">
        <v>20</v>
      </c>
      <c r="J168" s="52">
        <v>0</v>
      </c>
      <c r="K168" s="27">
        <v>2</v>
      </c>
      <c r="L168" s="50">
        <f t="shared" si="28"/>
        <v>3.78</v>
      </c>
      <c r="M168" s="19">
        <f t="shared" si="29"/>
        <v>2.7702</v>
      </c>
      <c r="N168" s="35">
        <f t="shared" si="30"/>
        <v>33.5502</v>
      </c>
      <c r="O168" s="31">
        <f t="shared" si="31"/>
        <v>33.5502</v>
      </c>
      <c r="P168" s="31">
        <f t="shared" si="32"/>
        <v>33.5502</v>
      </c>
      <c r="Q168" s="53" t="s">
        <v>300</v>
      </c>
    </row>
    <row r="169" s="1" customFormat="1" ht="36" outlineLevel="1" spans="1:17">
      <c r="A169" s="27">
        <v>13</v>
      </c>
      <c r="B169" s="28" t="s">
        <v>302</v>
      </c>
      <c r="C169" s="29" t="s">
        <v>303</v>
      </c>
      <c r="D169" s="28" t="s">
        <v>136</v>
      </c>
      <c r="E169" s="27">
        <v>1</v>
      </c>
      <c r="F169" s="27"/>
      <c r="G169" s="27">
        <v>15</v>
      </c>
      <c r="H169" s="27">
        <f t="shared" si="33"/>
        <v>50</v>
      </c>
      <c r="I169" s="27">
        <v>50</v>
      </c>
      <c r="J169" s="52">
        <v>0</v>
      </c>
      <c r="K169" s="27">
        <v>5</v>
      </c>
      <c r="L169" s="50">
        <f t="shared" si="28"/>
        <v>9.8</v>
      </c>
      <c r="M169" s="19">
        <f t="shared" si="29"/>
        <v>7.182</v>
      </c>
      <c r="N169" s="35">
        <f t="shared" si="30"/>
        <v>86.982</v>
      </c>
      <c r="O169" s="31">
        <f t="shared" si="31"/>
        <v>86.982</v>
      </c>
      <c r="P169" s="31">
        <f t="shared" si="32"/>
        <v>0</v>
      </c>
      <c r="Q169" s="53"/>
    </row>
    <row r="170" s="1" customFormat="1" ht="48" outlineLevel="1" spans="1:17">
      <c r="A170" s="27">
        <v>14</v>
      </c>
      <c r="B170" s="28" t="s">
        <v>304</v>
      </c>
      <c r="C170" s="40" t="s">
        <v>305</v>
      </c>
      <c r="D170" s="35" t="s">
        <v>84</v>
      </c>
      <c r="E170" s="41">
        <v>4.3</v>
      </c>
      <c r="F170" s="41">
        <f>E170</f>
        <v>4.3</v>
      </c>
      <c r="G170" s="27">
        <v>12</v>
      </c>
      <c r="H170" s="27">
        <f t="shared" si="33"/>
        <v>7.35</v>
      </c>
      <c r="I170" s="27">
        <v>7</v>
      </c>
      <c r="J170" s="52">
        <v>0.05</v>
      </c>
      <c r="K170" s="27">
        <v>1</v>
      </c>
      <c r="L170" s="50">
        <f t="shared" si="28"/>
        <v>2.849</v>
      </c>
      <c r="M170" s="19">
        <f t="shared" si="29"/>
        <v>2.08791</v>
      </c>
      <c r="N170" s="35">
        <f t="shared" si="30"/>
        <v>25.28691</v>
      </c>
      <c r="O170" s="31">
        <f t="shared" si="31"/>
        <v>108.733713</v>
      </c>
      <c r="P170" s="31">
        <f t="shared" si="32"/>
        <v>108.733713</v>
      </c>
      <c r="Q170" s="53" t="s">
        <v>300</v>
      </c>
    </row>
    <row r="171" s="1" customFormat="1" ht="48" outlineLevel="1" spans="1:17">
      <c r="A171" s="27">
        <v>15</v>
      </c>
      <c r="B171" s="28" t="s">
        <v>304</v>
      </c>
      <c r="C171" s="40" t="s">
        <v>306</v>
      </c>
      <c r="D171" s="35" t="s">
        <v>84</v>
      </c>
      <c r="E171" s="41">
        <v>10.58</v>
      </c>
      <c r="F171" s="41">
        <f>E171</f>
        <v>10.58</v>
      </c>
      <c r="G171" s="27">
        <v>12</v>
      </c>
      <c r="H171" s="27">
        <f t="shared" si="33"/>
        <v>5.25</v>
      </c>
      <c r="I171" s="27">
        <v>5</v>
      </c>
      <c r="J171" s="52">
        <v>0.05</v>
      </c>
      <c r="K171" s="27">
        <v>1</v>
      </c>
      <c r="L171" s="50">
        <f t="shared" si="28"/>
        <v>2.555</v>
      </c>
      <c r="M171" s="19">
        <f t="shared" si="29"/>
        <v>1.87245</v>
      </c>
      <c r="N171" s="35">
        <f t="shared" si="30"/>
        <v>22.67745</v>
      </c>
      <c r="O171" s="31">
        <f t="shared" si="31"/>
        <v>239.927421</v>
      </c>
      <c r="P171" s="31">
        <f t="shared" si="32"/>
        <v>239.927421</v>
      </c>
      <c r="Q171" s="53" t="s">
        <v>300</v>
      </c>
    </row>
    <row r="172" s="1" customFormat="1" ht="48" outlineLevel="1" spans="1:17">
      <c r="A172" s="27">
        <v>16</v>
      </c>
      <c r="B172" s="28" t="s">
        <v>304</v>
      </c>
      <c r="C172" s="40" t="s">
        <v>307</v>
      </c>
      <c r="D172" s="35" t="s">
        <v>84</v>
      </c>
      <c r="E172" s="41">
        <v>0.5</v>
      </c>
      <c r="F172" s="41">
        <f>E172</f>
        <v>0.5</v>
      </c>
      <c r="G172" s="27">
        <v>12</v>
      </c>
      <c r="H172" s="27">
        <f t="shared" si="33"/>
        <v>8.4</v>
      </c>
      <c r="I172" s="27">
        <v>8</v>
      </c>
      <c r="J172" s="52">
        <v>0.05</v>
      </c>
      <c r="K172" s="27">
        <v>1</v>
      </c>
      <c r="L172" s="50">
        <f t="shared" si="28"/>
        <v>2.996</v>
      </c>
      <c r="M172" s="19">
        <f t="shared" si="29"/>
        <v>2.19564</v>
      </c>
      <c r="N172" s="35">
        <f t="shared" si="30"/>
        <v>26.59164</v>
      </c>
      <c r="O172" s="31">
        <f t="shared" si="31"/>
        <v>13.29582</v>
      </c>
      <c r="P172" s="31">
        <f t="shared" si="32"/>
        <v>13.29582</v>
      </c>
      <c r="Q172" s="53" t="s">
        <v>300</v>
      </c>
    </row>
    <row r="173" s="1" customFormat="1" ht="48" outlineLevel="1" spans="1:17">
      <c r="A173" s="27">
        <v>17</v>
      </c>
      <c r="B173" s="28" t="s">
        <v>304</v>
      </c>
      <c r="C173" s="40" t="s">
        <v>308</v>
      </c>
      <c r="D173" s="35" t="s">
        <v>84</v>
      </c>
      <c r="E173" s="41">
        <v>6.91</v>
      </c>
      <c r="F173" s="41">
        <f>E173</f>
        <v>6.91</v>
      </c>
      <c r="G173" s="27">
        <v>12</v>
      </c>
      <c r="H173" s="27">
        <f t="shared" si="33"/>
        <v>6.3</v>
      </c>
      <c r="I173" s="27">
        <v>6</v>
      </c>
      <c r="J173" s="52">
        <v>0.05</v>
      </c>
      <c r="K173" s="27">
        <v>1</v>
      </c>
      <c r="L173" s="50">
        <f t="shared" si="28"/>
        <v>2.702</v>
      </c>
      <c r="M173" s="19">
        <f t="shared" si="29"/>
        <v>1.98018</v>
      </c>
      <c r="N173" s="35">
        <f t="shared" si="30"/>
        <v>23.98218</v>
      </c>
      <c r="O173" s="31">
        <f t="shared" si="31"/>
        <v>165.7168638</v>
      </c>
      <c r="P173" s="31">
        <f t="shared" si="32"/>
        <v>165.7168638</v>
      </c>
      <c r="Q173" s="53" t="s">
        <v>300</v>
      </c>
    </row>
    <row r="174" s="1" customFormat="1" spans="1:17">
      <c r="A174" s="27">
        <v>18</v>
      </c>
      <c r="B174" s="36" t="s">
        <v>54</v>
      </c>
      <c r="C174" s="36"/>
      <c r="D174" s="36" t="s">
        <v>272</v>
      </c>
      <c r="E174" s="37"/>
      <c r="F174" s="37"/>
      <c r="G174" s="27"/>
      <c r="H174" s="37"/>
      <c r="I174" s="37"/>
      <c r="J174" s="51"/>
      <c r="K174" s="37"/>
      <c r="L174" s="50"/>
      <c r="M174" s="19"/>
      <c r="N174" s="35"/>
      <c r="O174" s="31">
        <f>SUM(O157:O173)</f>
        <v>10234.8650178</v>
      </c>
      <c r="P174" s="31">
        <f>SUM(P157:P173)</f>
        <v>597.2594178</v>
      </c>
      <c r="Q174" s="53"/>
    </row>
    <row r="175" s="1" customFormat="1" spans="1:17">
      <c r="A175" s="27" t="s">
        <v>152</v>
      </c>
      <c r="B175" s="36" t="s">
        <v>316</v>
      </c>
      <c r="C175" s="36" t="s">
        <v>191</v>
      </c>
      <c r="D175" s="36" t="s">
        <v>272</v>
      </c>
      <c r="E175" s="37"/>
      <c r="F175" s="37"/>
      <c r="G175" s="27"/>
      <c r="H175" s="37"/>
      <c r="I175" s="37"/>
      <c r="J175" s="51"/>
      <c r="K175" s="37"/>
      <c r="L175" s="50"/>
      <c r="M175" s="19"/>
      <c r="N175" s="35"/>
      <c r="O175" s="31">
        <f>O174+O155</f>
        <v>17878.42274409</v>
      </c>
      <c r="P175" s="31">
        <f>P174+P155</f>
        <v>4074.13082409</v>
      </c>
      <c r="Q175" s="53"/>
    </row>
    <row r="176" s="1" customFormat="1" spans="1:17">
      <c r="A176" s="25" t="s">
        <v>75</v>
      </c>
      <c r="B176" s="25" t="s">
        <v>317</v>
      </c>
      <c r="C176" s="25" t="s">
        <v>191</v>
      </c>
      <c r="D176" s="25" t="s">
        <v>192</v>
      </c>
      <c r="E176" s="26"/>
      <c r="F176" s="26"/>
      <c r="G176" s="19"/>
      <c r="H176" s="19"/>
      <c r="I176" s="19"/>
      <c r="J176" s="46"/>
      <c r="K176" s="19"/>
      <c r="L176" s="50"/>
      <c r="M176" s="19"/>
      <c r="N176" s="19"/>
      <c r="O176" s="19"/>
      <c r="P176" s="19"/>
      <c r="Q176" s="53"/>
    </row>
    <row r="177" s="1" customFormat="1" ht="48" outlineLevel="1" spans="1:17">
      <c r="A177" s="27">
        <v>1</v>
      </c>
      <c r="B177" s="28" t="s">
        <v>193</v>
      </c>
      <c r="C177" s="29" t="s">
        <v>194</v>
      </c>
      <c r="D177" s="28" t="s">
        <v>136</v>
      </c>
      <c r="E177" s="30">
        <v>4</v>
      </c>
      <c r="F177" s="30"/>
      <c r="G177" s="31">
        <v>15</v>
      </c>
      <c r="H177" s="31">
        <f t="shared" ref="H177:H184" si="34">I177*(1+J177)</f>
        <v>25.3</v>
      </c>
      <c r="I177" s="31">
        <v>25.3</v>
      </c>
      <c r="J177" s="49">
        <v>0</v>
      </c>
      <c r="K177" s="31">
        <v>1</v>
      </c>
      <c r="L177" s="50">
        <f t="shared" si="28"/>
        <v>5.782</v>
      </c>
      <c r="M177" s="19">
        <f t="shared" si="29"/>
        <v>4.23738</v>
      </c>
      <c r="N177" s="35">
        <f t="shared" ref="N175:N211" si="35">G177+H177+K177+L177+M177</f>
        <v>51.31938</v>
      </c>
      <c r="O177" s="31">
        <f t="shared" ref="O177:O210" si="36">N177*E177</f>
        <v>205.27752</v>
      </c>
      <c r="P177" s="31">
        <f>N177*F177</f>
        <v>0</v>
      </c>
      <c r="Q177" s="53" t="s">
        <v>195</v>
      </c>
    </row>
    <row r="178" s="1" customFormat="1" ht="48" outlineLevel="1" spans="1:17">
      <c r="A178" s="27">
        <v>2</v>
      </c>
      <c r="B178" s="28" t="s">
        <v>200</v>
      </c>
      <c r="C178" s="29" t="s">
        <v>201</v>
      </c>
      <c r="D178" s="28" t="s">
        <v>136</v>
      </c>
      <c r="E178" s="30">
        <v>1</v>
      </c>
      <c r="F178" s="30"/>
      <c r="G178" s="31">
        <v>15</v>
      </c>
      <c r="H178" s="31">
        <f t="shared" si="34"/>
        <v>55</v>
      </c>
      <c r="I178" s="31">
        <v>55</v>
      </c>
      <c r="J178" s="49">
        <v>0</v>
      </c>
      <c r="K178" s="31">
        <v>1</v>
      </c>
      <c r="L178" s="50">
        <f t="shared" si="28"/>
        <v>9.94</v>
      </c>
      <c r="M178" s="19">
        <f t="shared" si="29"/>
        <v>7.2846</v>
      </c>
      <c r="N178" s="35">
        <f t="shared" si="35"/>
        <v>88.2246</v>
      </c>
      <c r="O178" s="31">
        <f t="shared" si="36"/>
        <v>88.2246</v>
      </c>
      <c r="P178" s="31">
        <f t="shared" ref="P178:P210" si="37">N178*F178</f>
        <v>0</v>
      </c>
      <c r="Q178" s="53" t="s">
        <v>195</v>
      </c>
    </row>
    <row r="179" s="1" customFormat="1" ht="48" outlineLevel="1" spans="1:17">
      <c r="A179" s="27">
        <v>3</v>
      </c>
      <c r="B179" s="28" t="s">
        <v>202</v>
      </c>
      <c r="C179" s="29" t="s">
        <v>203</v>
      </c>
      <c r="D179" s="28" t="s">
        <v>136</v>
      </c>
      <c r="E179" s="30">
        <v>3</v>
      </c>
      <c r="F179" s="30"/>
      <c r="G179" s="31">
        <v>18</v>
      </c>
      <c r="H179" s="31">
        <f t="shared" si="34"/>
        <v>200</v>
      </c>
      <c r="I179" s="31">
        <v>200</v>
      </c>
      <c r="J179" s="49">
        <v>0</v>
      </c>
      <c r="K179" s="31">
        <v>1</v>
      </c>
      <c r="L179" s="50">
        <f t="shared" si="28"/>
        <v>30.66</v>
      </c>
      <c r="M179" s="19">
        <f t="shared" si="29"/>
        <v>22.4694</v>
      </c>
      <c r="N179" s="35">
        <f t="shared" si="35"/>
        <v>272.1294</v>
      </c>
      <c r="O179" s="31">
        <f t="shared" si="36"/>
        <v>816.3882</v>
      </c>
      <c r="P179" s="31">
        <f t="shared" si="37"/>
        <v>0</v>
      </c>
      <c r="Q179" s="53" t="s">
        <v>195</v>
      </c>
    </row>
    <row r="180" s="1" customFormat="1" ht="48" outlineLevel="1" spans="1:17">
      <c r="A180" s="27">
        <v>4</v>
      </c>
      <c r="B180" s="28" t="s">
        <v>204</v>
      </c>
      <c r="C180" s="29" t="s">
        <v>205</v>
      </c>
      <c r="D180" s="28" t="s">
        <v>136</v>
      </c>
      <c r="E180" s="30">
        <v>1</v>
      </c>
      <c r="F180" s="30"/>
      <c r="G180" s="32">
        <v>18</v>
      </c>
      <c r="H180" s="31">
        <f t="shared" si="34"/>
        <v>110</v>
      </c>
      <c r="I180" s="31">
        <v>110</v>
      </c>
      <c r="J180" s="49">
        <v>0</v>
      </c>
      <c r="K180" s="31">
        <v>1</v>
      </c>
      <c r="L180" s="50">
        <f t="shared" si="28"/>
        <v>18.06</v>
      </c>
      <c r="M180" s="19">
        <f t="shared" si="29"/>
        <v>13.2354</v>
      </c>
      <c r="N180" s="35">
        <f t="shared" si="35"/>
        <v>160.2954</v>
      </c>
      <c r="O180" s="31">
        <f t="shared" si="36"/>
        <v>160.2954</v>
      </c>
      <c r="P180" s="31">
        <f t="shared" si="37"/>
        <v>0</v>
      </c>
      <c r="Q180" s="53" t="s">
        <v>195</v>
      </c>
    </row>
    <row r="181" s="1" customFormat="1" ht="48" outlineLevel="1" spans="1:17">
      <c r="A181" s="27">
        <v>5</v>
      </c>
      <c r="B181" s="28" t="s">
        <v>206</v>
      </c>
      <c r="C181" s="29" t="s">
        <v>207</v>
      </c>
      <c r="D181" s="28" t="s">
        <v>136</v>
      </c>
      <c r="E181" s="30">
        <v>1</v>
      </c>
      <c r="F181" s="30"/>
      <c r="G181" s="31">
        <v>30</v>
      </c>
      <c r="H181" s="31">
        <f t="shared" si="34"/>
        <v>500</v>
      </c>
      <c r="I181" s="31">
        <v>500</v>
      </c>
      <c r="J181" s="49">
        <v>0</v>
      </c>
      <c r="K181" s="31">
        <v>10</v>
      </c>
      <c r="L181" s="50">
        <f t="shared" si="28"/>
        <v>75.6</v>
      </c>
      <c r="M181" s="19">
        <f t="shared" si="29"/>
        <v>55.404</v>
      </c>
      <c r="N181" s="35">
        <f t="shared" si="35"/>
        <v>671.004</v>
      </c>
      <c r="O181" s="31">
        <f t="shared" si="36"/>
        <v>671.004</v>
      </c>
      <c r="P181" s="31">
        <f t="shared" si="37"/>
        <v>0</v>
      </c>
      <c r="Q181" s="53" t="s">
        <v>195</v>
      </c>
    </row>
    <row r="182" s="1" customFormat="1" ht="48" outlineLevel="1" spans="1:17">
      <c r="A182" s="27">
        <v>6</v>
      </c>
      <c r="B182" s="28" t="s">
        <v>208</v>
      </c>
      <c r="C182" s="29" t="s">
        <v>209</v>
      </c>
      <c r="D182" s="28" t="s">
        <v>136</v>
      </c>
      <c r="E182" s="30">
        <v>1</v>
      </c>
      <c r="F182" s="30"/>
      <c r="G182" s="31">
        <v>18</v>
      </c>
      <c r="H182" s="31">
        <f t="shared" si="34"/>
        <v>60</v>
      </c>
      <c r="I182" s="31">
        <v>60</v>
      </c>
      <c r="J182" s="49">
        <v>0</v>
      </c>
      <c r="K182" s="31">
        <v>1.5</v>
      </c>
      <c r="L182" s="50">
        <f t="shared" si="28"/>
        <v>11.13</v>
      </c>
      <c r="M182" s="19">
        <f t="shared" si="29"/>
        <v>8.1567</v>
      </c>
      <c r="N182" s="35">
        <f t="shared" si="35"/>
        <v>98.7867</v>
      </c>
      <c r="O182" s="31">
        <f t="shared" si="36"/>
        <v>98.7867</v>
      </c>
      <c r="P182" s="31">
        <f t="shared" si="37"/>
        <v>0</v>
      </c>
      <c r="Q182" s="53" t="s">
        <v>195</v>
      </c>
    </row>
    <row r="183" s="1" customFormat="1" ht="36" outlineLevel="1" spans="1:17">
      <c r="A183" s="27">
        <v>7</v>
      </c>
      <c r="B183" s="28" t="s">
        <v>210</v>
      </c>
      <c r="C183" s="29" t="s">
        <v>211</v>
      </c>
      <c r="D183" s="28" t="s">
        <v>136</v>
      </c>
      <c r="E183" s="30">
        <v>1</v>
      </c>
      <c r="F183" s="30"/>
      <c r="G183" s="31">
        <v>15</v>
      </c>
      <c r="H183" s="31">
        <f t="shared" si="34"/>
        <v>50</v>
      </c>
      <c r="I183" s="31">
        <v>50</v>
      </c>
      <c r="J183" s="49">
        <v>0</v>
      </c>
      <c r="K183" s="31">
        <v>1.5</v>
      </c>
      <c r="L183" s="50">
        <f t="shared" si="28"/>
        <v>9.31</v>
      </c>
      <c r="M183" s="19">
        <f t="shared" si="29"/>
        <v>6.8229</v>
      </c>
      <c r="N183" s="35">
        <f t="shared" si="35"/>
        <v>82.6329</v>
      </c>
      <c r="O183" s="31">
        <f t="shared" si="36"/>
        <v>82.6329</v>
      </c>
      <c r="P183" s="31">
        <f t="shared" si="37"/>
        <v>0</v>
      </c>
      <c r="Q183" s="53" t="s">
        <v>195</v>
      </c>
    </row>
    <row r="184" s="1" customFormat="1" ht="48" outlineLevel="1" spans="1:17">
      <c r="A184" s="27">
        <v>8</v>
      </c>
      <c r="B184" s="28" t="s">
        <v>214</v>
      </c>
      <c r="C184" s="29" t="s">
        <v>215</v>
      </c>
      <c r="D184" s="28" t="s">
        <v>136</v>
      </c>
      <c r="E184" s="30">
        <v>17</v>
      </c>
      <c r="F184" s="30"/>
      <c r="G184" s="31">
        <v>8</v>
      </c>
      <c r="H184" s="31">
        <f t="shared" si="34"/>
        <v>16</v>
      </c>
      <c r="I184" s="31">
        <v>16</v>
      </c>
      <c r="J184" s="49">
        <v>0</v>
      </c>
      <c r="K184" s="31">
        <v>0.5</v>
      </c>
      <c r="L184" s="50">
        <f t="shared" si="28"/>
        <v>3.43</v>
      </c>
      <c r="M184" s="19">
        <f t="shared" si="29"/>
        <v>2.5137</v>
      </c>
      <c r="N184" s="35">
        <f t="shared" si="35"/>
        <v>30.4437</v>
      </c>
      <c r="O184" s="31">
        <f t="shared" si="36"/>
        <v>517.5429</v>
      </c>
      <c r="P184" s="31">
        <f t="shared" si="37"/>
        <v>0</v>
      </c>
      <c r="Q184" s="53" t="s">
        <v>216</v>
      </c>
    </row>
    <row r="185" s="1" customFormat="1" ht="48" outlineLevel="1" spans="1:17">
      <c r="A185" s="27">
        <v>9</v>
      </c>
      <c r="B185" s="28" t="s">
        <v>217</v>
      </c>
      <c r="C185" s="29" t="s">
        <v>218</v>
      </c>
      <c r="D185" s="28" t="s">
        <v>136</v>
      </c>
      <c r="E185" s="30">
        <v>1</v>
      </c>
      <c r="F185" s="30"/>
      <c r="G185" s="31">
        <v>8</v>
      </c>
      <c r="H185" s="31">
        <f t="shared" ref="H185:H210" si="38">I185*(1+J185)</f>
        <v>18</v>
      </c>
      <c r="I185" s="31">
        <v>18</v>
      </c>
      <c r="J185" s="49">
        <v>0</v>
      </c>
      <c r="K185" s="31">
        <v>0.5</v>
      </c>
      <c r="L185" s="50">
        <f t="shared" si="28"/>
        <v>3.71</v>
      </c>
      <c r="M185" s="19">
        <f t="shared" si="29"/>
        <v>2.7189</v>
      </c>
      <c r="N185" s="35">
        <f t="shared" si="35"/>
        <v>32.9289</v>
      </c>
      <c r="O185" s="31">
        <f t="shared" si="36"/>
        <v>32.9289</v>
      </c>
      <c r="P185" s="31">
        <f t="shared" si="37"/>
        <v>0</v>
      </c>
      <c r="Q185" s="53" t="s">
        <v>216</v>
      </c>
    </row>
    <row r="186" s="1" customFormat="1" ht="48" outlineLevel="1" spans="1:17">
      <c r="A186" s="27">
        <v>10</v>
      </c>
      <c r="B186" s="28" t="s">
        <v>219</v>
      </c>
      <c r="C186" s="29" t="s">
        <v>220</v>
      </c>
      <c r="D186" s="28" t="s">
        <v>136</v>
      </c>
      <c r="E186" s="30">
        <v>1</v>
      </c>
      <c r="F186" s="30"/>
      <c r="G186" s="31">
        <v>8</v>
      </c>
      <c r="H186" s="31">
        <f t="shared" si="38"/>
        <v>18</v>
      </c>
      <c r="I186" s="31">
        <v>18</v>
      </c>
      <c r="J186" s="49">
        <v>0</v>
      </c>
      <c r="K186" s="31">
        <v>0.5</v>
      </c>
      <c r="L186" s="50">
        <f t="shared" si="28"/>
        <v>3.71</v>
      </c>
      <c r="M186" s="19">
        <f t="shared" si="29"/>
        <v>2.7189</v>
      </c>
      <c r="N186" s="35">
        <f t="shared" si="35"/>
        <v>32.9289</v>
      </c>
      <c r="O186" s="31">
        <f t="shared" si="36"/>
        <v>32.9289</v>
      </c>
      <c r="P186" s="31">
        <f t="shared" si="37"/>
        <v>0</v>
      </c>
      <c r="Q186" s="53" t="s">
        <v>216</v>
      </c>
    </row>
    <row r="187" s="1" customFormat="1" ht="48" outlineLevel="1" spans="1:17">
      <c r="A187" s="27">
        <v>11</v>
      </c>
      <c r="B187" s="28" t="s">
        <v>221</v>
      </c>
      <c r="C187" s="29" t="s">
        <v>222</v>
      </c>
      <c r="D187" s="28" t="s">
        <v>136</v>
      </c>
      <c r="E187" s="30">
        <v>1</v>
      </c>
      <c r="F187" s="30"/>
      <c r="G187" s="31">
        <v>8</v>
      </c>
      <c r="H187" s="31">
        <f t="shared" si="38"/>
        <v>27</v>
      </c>
      <c r="I187" s="31">
        <v>27</v>
      </c>
      <c r="J187" s="49">
        <v>0</v>
      </c>
      <c r="K187" s="31">
        <v>0.5</v>
      </c>
      <c r="L187" s="50">
        <f t="shared" si="28"/>
        <v>4.97</v>
      </c>
      <c r="M187" s="19">
        <f t="shared" si="29"/>
        <v>3.6423</v>
      </c>
      <c r="N187" s="35">
        <f t="shared" si="35"/>
        <v>44.1123</v>
      </c>
      <c r="O187" s="31">
        <f t="shared" si="36"/>
        <v>44.1123</v>
      </c>
      <c r="P187" s="31">
        <f t="shared" si="37"/>
        <v>0</v>
      </c>
      <c r="Q187" s="53" t="s">
        <v>216</v>
      </c>
    </row>
    <row r="188" s="1" customFormat="1" ht="48" outlineLevel="1" spans="1:17">
      <c r="A188" s="27">
        <v>12</v>
      </c>
      <c r="B188" s="28" t="s">
        <v>223</v>
      </c>
      <c r="C188" s="29" t="s">
        <v>224</v>
      </c>
      <c r="D188" s="28" t="s">
        <v>136</v>
      </c>
      <c r="E188" s="30">
        <v>1</v>
      </c>
      <c r="F188" s="30"/>
      <c r="G188" s="31">
        <v>8</v>
      </c>
      <c r="H188" s="31">
        <f t="shared" si="38"/>
        <v>27</v>
      </c>
      <c r="I188" s="31">
        <v>27</v>
      </c>
      <c r="J188" s="49">
        <v>0</v>
      </c>
      <c r="K188" s="31">
        <v>0.5</v>
      </c>
      <c r="L188" s="50">
        <f t="shared" si="28"/>
        <v>4.97</v>
      </c>
      <c r="M188" s="19">
        <f t="shared" si="29"/>
        <v>3.6423</v>
      </c>
      <c r="N188" s="35">
        <f t="shared" si="35"/>
        <v>44.1123</v>
      </c>
      <c r="O188" s="31">
        <f t="shared" si="36"/>
        <v>44.1123</v>
      </c>
      <c r="P188" s="31">
        <f t="shared" si="37"/>
        <v>0</v>
      </c>
      <c r="Q188" s="53" t="s">
        <v>216</v>
      </c>
    </row>
    <row r="189" s="1" customFormat="1" ht="48" outlineLevel="1" spans="1:17">
      <c r="A189" s="27">
        <v>13</v>
      </c>
      <c r="B189" s="28" t="s">
        <v>225</v>
      </c>
      <c r="C189" s="29" t="s">
        <v>226</v>
      </c>
      <c r="D189" s="28" t="s">
        <v>136</v>
      </c>
      <c r="E189" s="30">
        <v>1</v>
      </c>
      <c r="F189" s="30"/>
      <c r="G189" s="31">
        <v>8</v>
      </c>
      <c r="H189" s="31">
        <f t="shared" si="38"/>
        <v>46</v>
      </c>
      <c r="I189" s="31">
        <v>46</v>
      </c>
      <c r="J189" s="49">
        <v>0</v>
      </c>
      <c r="K189" s="31">
        <v>0.5</v>
      </c>
      <c r="L189" s="50">
        <f t="shared" si="28"/>
        <v>7.63</v>
      </c>
      <c r="M189" s="19">
        <f t="shared" si="29"/>
        <v>5.5917</v>
      </c>
      <c r="N189" s="35">
        <f t="shared" si="35"/>
        <v>67.7217</v>
      </c>
      <c r="O189" s="31">
        <f t="shared" si="36"/>
        <v>67.7217</v>
      </c>
      <c r="P189" s="31">
        <f t="shared" si="37"/>
        <v>0</v>
      </c>
      <c r="Q189" s="53" t="s">
        <v>216</v>
      </c>
    </row>
    <row r="190" s="1" customFormat="1" ht="48" outlineLevel="1" spans="1:17">
      <c r="A190" s="27">
        <v>14</v>
      </c>
      <c r="B190" s="28" t="s">
        <v>227</v>
      </c>
      <c r="C190" s="29" t="s">
        <v>228</v>
      </c>
      <c r="D190" s="28" t="s">
        <v>136</v>
      </c>
      <c r="E190" s="30">
        <v>1</v>
      </c>
      <c r="F190" s="30"/>
      <c r="G190" s="31">
        <v>8</v>
      </c>
      <c r="H190" s="31">
        <f t="shared" si="38"/>
        <v>27</v>
      </c>
      <c r="I190" s="31">
        <v>27</v>
      </c>
      <c r="J190" s="49">
        <v>0</v>
      </c>
      <c r="K190" s="31">
        <v>0.5</v>
      </c>
      <c r="L190" s="50">
        <f t="shared" si="28"/>
        <v>4.97</v>
      </c>
      <c r="M190" s="19">
        <f t="shared" si="29"/>
        <v>3.6423</v>
      </c>
      <c r="N190" s="35">
        <f t="shared" si="35"/>
        <v>44.1123</v>
      </c>
      <c r="O190" s="31">
        <f t="shared" si="36"/>
        <v>44.1123</v>
      </c>
      <c r="P190" s="31">
        <f t="shared" si="37"/>
        <v>0</v>
      </c>
      <c r="Q190" s="53" t="s">
        <v>216</v>
      </c>
    </row>
    <row r="191" s="1" customFormat="1" ht="48" outlineLevel="1" spans="1:17">
      <c r="A191" s="27">
        <v>15</v>
      </c>
      <c r="B191" s="28" t="s">
        <v>229</v>
      </c>
      <c r="C191" s="29" t="s">
        <v>230</v>
      </c>
      <c r="D191" s="28" t="s">
        <v>136</v>
      </c>
      <c r="E191" s="30">
        <v>1</v>
      </c>
      <c r="F191" s="30"/>
      <c r="G191" s="31">
        <v>8</v>
      </c>
      <c r="H191" s="31">
        <f t="shared" si="38"/>
        <v>18</v>
      </c>
      <c r="I191" s="31">
        <v>18</v>
      </c>
      <c r="J191" s="49">
        <v>0</v>
      </c>
      <c r="K191" s="31">
        <v>0.5</v>
      </c>
      <c r="L191" s="50">
        <f t="shared" si="28"/>
        <v>3.71</v>
      </c>
      <c r="M191" s="19">
        <f t="shared" si="29"/>
        <v>2.7189</v>
      </c>
      <c r="N191" s="35">
        <f t="shared" si="35"/>
        <v>32.9289</v>
      </c>
      <c r="O191" s="31">
        <f t="shared" si="36"/>
        <v>32.9289</v>
      </c>
      <c r="P191" s="31">
        <f t="shared" si="37"/>
        <v>0</v>
      </c>
      <c r="Q191" s="53" t="s">
        <v>216</v>
      </c>
    </row>
    <row r="192" s="1" customFormat="1" ht="48" outlineLevel="1" spans="1:17">
      <c r="A192" s="27">
        <v>16</v>
      </c>
      <c r="B192" s="28" t="s">
        <v>231</v>
      </c>
      <c r="C192" s="29" t="s">
        <v>232</v>
      </c>
      <c r="D192" s="28" t="s">
        <v>136</v>
      </c>
      <c r="E192" s="30">
        <v>2</v>
      </c>
      <c r="F192" s="30"/>
      <c r="G192" s="31">
        <v>8</v>
      </c>
      <c r="H192" s="31">
        <f t="shared" si="38"/>
        <v>35.2</v>
      </c>
      <c r="I192" s="31">
        <v>35.2</v>
      </c>
      <c r="J192" s="49">
        <v>0</v>
      </c>
      <c r="K192" s="31">
        <v>0.5</v>
      </c>
      <c r="L192" s="50">
        <f t="shared" si="28"/>
        <v>6.118</v>
      </c>
      <c r="M192" s="19">
        <f t="shared" si="29"/>
        <v>4.48362</v>
      </c>
      <c r="N192" s="35">
        <f t="shared" si="35"/>
        <v>54.30162</v>
      </c>
      <c r="O192" s="31">
        <f t="shared" si="36"/>
        <v>108.60324</v>
      </c>
      <c r="P192" s="31">
        <f t="shared" si="37"/>
        <v>0</v>
      </c>
      <c r="Q192" s="53" t="s">
        <v>216</v>
      </c>
    </row>
    <row r="193" s="1" customFormat="1" ht="48" outlineLevel="1" spans="1:17">
      <c r="A193" s="27">
        <v>17</v>
      </c>
      <c r="B193" s="28" t="s">
        <v>233</v>
      </c>
      <c r="C193" s="29" t="s">
        <v>234</v>
      </c>
      <c r="D193" s="28" t="s">
        <v>136</v>
      </c>
      <c r="E193" s="30">
        <v>3</v>
      </c>
      <c r="F193" s="30"/>
      <c r="G193" s="31">
        <v>8</v>
      </c>
      <c r="H193" s="31">
        <f t="shared" si="38"/>
        <v>35.2</v>
      </c>
      <c r="I193" s="31">
        <v>35.2</v>
      </c>
      <c r="J193" s="49">
        <v>0</v>
      </c>
      <c r="K193" s="31">
        <v>0.5</v>
      </c>
      <c r="L193" s="50">
        <f t="shared" si="28"/>
        <v>6.118</v>
      </c>
      <c r="M193" s="19">
        <f t="shared" si="29"/>
        <v>4.48362</v>
      </c>
      <c r="N193" s="35">
        <f t="shared" si="35"/>
        <v>54.30162</v>
      </c>
      <c r="O193" s="31">
        <f t="shared" si="36"/>
        <v>162.90486</v>
      </c>
      <c r="P193" s="31">
        <f t="shared" si="37"/>
        <v>0</v>
      </c>
      <c r="Q193" s="53" t="s">
        <v>216</v>
      </c>
    </row>
    <row r="194" s="1" customFormat="1" ht="48" outlineLevel="1" spans="1:17">
      <c r="A194" s="27">
        <v>18</v>
      </c>
      <c r="B194" s="28" t="s">
        <v>235</v>
      </c>
      <c r="C194" s="29" t="s">
        <v>236</v>
      </c>
      <c r="D194" s="28" t="s">
        <v>136</v>
      </c>
      <c r="E194" s="30">
        <v>2</v>
      </c>
      <c r="F194" s="30"/>
      <c r="G194" s="31">
        <v>8</v>
      </c>
      <c r="H194" s="31">
        <f t="shared" si="38"/>
        <v>27</v>
      </c>
      <c r="I194" s="31">
        <v>27</v>
      </c>
      <c r="J194" s="49">
        <v>0</v>
      </c>
      <c r="K194" s="31">
        <v>0.5</v>
      </c>
      <c r="L194" s="50">
        <f t="shared" si="28"/>
        <v>4.97</v>
      </c>
      <c r="M194" s="19">
        <f t="shared" si="29"/>
        <v>3.6423</v>
      </c>
      <c r="N194" s="35">
        <f t="shared" si="35"/>
        <v>44.1123</v>
      </c>
      <c r="O194" s="31">
        <f t="shared" si="36"/>
        <v>88.2246</v>
      </c>
      <c r="P194" s="31">
        <f t="shared" si="37"/>
        <v>0</v>
      </c>
      <c r="Q194" s="53" t="s">
        <v>216</v>
      </c>
    </row>
    <row r="195" s="1" customFormat="1" ht="48" outlineLevel="1" spans="1:17">
      <c r="A195" s="27">
        <v>19</v>
      </c>
      <c r="B195" s="28" t="s">
        <v>237</v>
      </c>
      <c r="C195" s="29" t="s">
        <v>238</v>
      </c>
      <c r="D195" s="28" t="s">
        <v>136</v>
      </c>
      <c r="E195" s="30">
        <v>1</v>
      </c>
      <c r="F195" s="30"/>
      <c r="G195" s="31">
        <v>8</v>
      </c>
      <c r="H195" s="31">
        <f t="shared" si="38"/>
        <v>27</v>
      </c>
      <c r="I195" s="31">
        <v>27</v>
      </c>
      <c r="J195" s="49">
        <v>0</v>
      </c>
      <c r="K195" s="31">
        <v>0.5</v>
      </c>
      <c r="L195" s="50">
        <f t="shared" si="28"/>
        <v>4.97</v>
      </c>
      <c r="M195" s="19">
        <f t="shared" si="29"/>
        <v>3.6423</v>
      </c>
      <c r="N195" s="35">
        <f t="shared" si="35"/>
        <v>44.1123</v>
      </c>
      <c r="O195" s="31">
        <f t="shared" si="36"/>
        <v>44.1123</v>
      </c>
      <c r="P195" s="31">
        <f t="shared" si="37"/>
        <v>0</v>
      </c>
      <c r="Q195" s="53" t="s">
        <v>216</v>
      </c>
    </row>
    <row r="196" s="1" customFormat="1" ht="48" outlineLevel="1" spans="1:17">
      <c r="A196" s="27">
        <v>20</v>
      </c>
      <c r="B196" s="28" t="s">
        <v>239</v>
      </c>
      <c r="C196" s="29" t="s">
        <v>240</v>
      </c>
      <c r="D196" s="28" t="s">
        <v>136</v>
      </c>
      <c r="E196" s="30">
        <v>3</v>
      </c>
      <c r="F196" s="30"/>
      <c r="G196" s="31">
        <v>8</v>
      </c>
      <c r="H196" s="31">
        <f t="shared" si="38"/>
        <v>16.5</v>
      </c>
      <c r="I196" s="31">
        <v>16.5</v>
      </c>
      <c r="J196" s="49">
        <v>0</v>
      </c>
      <c r="K196" s="31">
        <v>0.5</v>
      </c>
      <c r="L196" s="50">
        <f t="shared" si="28"/>
        <v>3.5</v>
      </c>
      <c r="M196" s="19">
        <f t="shared" si="29"/>
        <v>2.565</v>
      </c>
      <c r="N196" s="35">
        <f t="shared" si="35"/>
        <v>31.065</v>
      </c>
      <c r="O196" s="31">
        <f t="shared" si="36"/>
        <v>93.195</v>
      </c>
      <c r="P196" s="31">
        <f t="shared" si="37"/>
        <v>0</v>
      </c>
      <c r="Q196" s="53" t="s">
        <v>216</v>
      </c>
    </row>
    <row r="197" s="1" customFormat="1" ht="48" outlineLevel="1" spans="1:17">
      <c r="A197" s="27">
        <v>21</v>
      </c>
      <c r="B197" s="28" t="s">
        <v>241</v>
      </c>
      <c r="C197" s="29" t="s">
        <v>242</v>
      </c>
      <c r="D197" s="28" t="s">
        <v>136</v>
      </c>
      <c r="E197" s="30">
        <v>2</v>
      </c>
      <c r="F197" s="30"/>
      <c r="G197" s="31">
        <v>8</v>
      </c>
      <c r="H197" s="31">
        <f t="shared" si="38"/>
        <v>18.2</v>
      </c>
      <c r="I197" s="31">
        <v>18.2</v>
      </c>
      <c r="J197" s="49">
        <v>0</v>
      </c>
      <c r="K197" s="31">
        <v>0.5</v>
      </c>
      <c r="L197" s="50">
        <f t="shared" si="28"/>
        <v>3.738</v>
      </c>
      <c r="M197" s="19">
        <f t="shared" si="29"/>
        <v>2.73942</v>
      </c>
      <c r="N197" s="35">
        <f t="shared" si="35"/>
        <v>33.17742</v>
      </c>
      <c r="O197" s="31">
        <f t="shared" si="36"/>
        <v>66.35484</v>
      </c>
      <c r="P197" s="31">
        <f t="shared" si="37"/>
        <v>0</v>
      </c>
      <c r="Q197" s="53" t="s">
        <v>216</v>
      </c>
    </row>
    <row r="198" s="1" customFormat="1" ht="48" outlineLevel="1" spans="1:17">
      <c r="A198" s="27">
        <v>22</v>
      </c>
      <c r="B198" s="28" t="s">
        <v>243</v>
      </c>
      <c r="C198" s="29" t="s">
        <v>244</v>
      </c>
      <c r="D198" s="28" t="s">
        <v>136</v>
      </c>
      <c r="E198" s="30">
        <v>2</v>
      </c>
      <c r="F198" s="30"/>
      <c r="G198" s="31">
        <v>8</v>
      </c>
      <c r="H198" s="31">
        <f t="shared" si="38"/>
        <v>30.25</v>
      </c>
      <c r="I198" s="31">
        <v>30.25</v>
      </c>
      <c r="J198" s="49">
        <v>0</v>
      </c>
      <c r="K198" s="31">
        <v>0.5</v>
      </c>
      <c r="L198" s="50">
        <f t="shared" si="28"/>
        <v>5.425</v>
      </c>
      <c r="M198" s="19">
        <f t="shared" si="29"/>
        <v>3.97575</v>
      </c>
      <c r="N198" s="35">
        <f t="shared" si="35"/>
        <v>48.15075</v>
      </c>
      <c r="O198" s="31">
        <f t="shared" si="36"/>
        <v>96.3015</v>
      </c>
      <c r="P198" s="31">
        <f t="shared" si="37"/>
        <v>0</v>
      </c>
      <c r="Q198" s="53" t="s">
        <v>216</v>
      </c>
    </row>
    <row r="199" s="1" customFormat="1" ht="48" outlineLevel="1" spans="1:17">
      <c r="A199" s="27">
        <v>23</v>
      </c>
      <c r="B199" s="28" t="s">
        <v>245</v>
      </c>
      <c r="C199" s="29" t="s">
        <v>246</v>
      </c>
      <c r="D199" s="28" t="s">
        <v>136</v>
      </c>
      <c r="E199" s="30">
        <v>1</v>
      </c>
      <c r="F199" s="30"/>
      <c r="G199" s="31">
        <v>10</v>
      </c>
      <c r="H199" s="31">
        <f t="shared" si="38"/>
        <v>63.8</v>
      </c>
      <c r="I199" s="31">
        <v>63.8</v>
      </c>
      <c r="J199" s="49">
        <v>0</v>
      </c>
      <c r="K199" s="31">
        <v>0.5</v>
      </c>
      <c r="L199" s="50">
        <f t="shared" ref="L199:L267" si="39">(G199+H199+K199)*$L$4</f>
        <v>10.402</v>
      </c>
      <c r="M199" s="19">
        <f t="shared" ref="M199:M267" si="40">(G199+H199+K199+L199)*$M$4</f>
        <v>7.62318</v>
      </c>
      <c r="N199" s="35">
        <f t="shared" si="35"/>
        <v>92.32518</v>
      </c>
      <c r="O199" s="31">
        <f t="shared" si="36"/>
        <v>92.32518</v>
      </c>
      <c r="P199" s="31">
        <f t="shared" si="37"/>
        <v>0</v>
      </c>
      <c r="Q199" s="53" t="s">
        <v>247</v>
      </c>
    </row>
    <row r="200" s="1" customFormat="1" ht="60" outlineLevel="1" spans="1:17">
      <c r="A200" s="27">
        <v>24</v>
      </c>
      <c r="B200" s="28" t="s">
        <v>248</v>
      </c>
      <c r="C200" s="29" t="s">
        <v>249</v>
      </c>
      <c r="D200" s="28" t="s">
        <v>136</v>
      </c>
      <c r="E200" s="30">
        <v>1</v>
      </c>
      <c r="F200" s="30"/>
      <c r="G200" s="31">
        <v>10</v>
      </c>
      <c r="H200" s="31">
        <f t="shared" si="38"/>
        <v>5</v>
      </c>
      <c r="I200" s="31">
        <v>5</v>
      </c>
      <c r="J200" s="49">
        <v>0</v>
      </c>
      <c r="K200" s="31">
        <v>0.5</v>
      </c>
      <c r="L200" s="50">
        <f t="shared" si="39"/>
        <v>2.17</v>
      </c>
      <c r="M200" s="19">
        <f t="shared" si="40"/>
        <v>1.5903</v>
      </c>
      <c r="N200" s="35">
        <f t="shared" si="35"/>
        <v>19.2603</v>
      </c>
      <c r="O200" s="31">
        <f t="shared" si="36"/>
        <v>19.2603</v>
      </c>
      <c r="P200" s="31">
        <f t="shared" si="37"/>
        <v>0</v>
      </c>
      <c r="Q200" s="53" t="s">
        <v>250</v>
      </c>
    </row>
    <row r="201" s="1" customFormat="1" ht="48" outlineLevel="1" spans="1:17">
      <c r="A201" s="27">
        <v>25</v>
      </c>
      <c r="B201" s="28" t="s">
        <v>251</v>
      </c>
      <c r="C201" s="29" t="s">
        <v>252</v>
      </c>
      <c r="D201" s="28" t="s">
        <v>136</v>
      </c>
      <c r="E201" s="30">
        <v>1</v>
      </c>
      <c r="F201" s="30"/>
      <c r="G201" s="31">
        <v>30</v>
      </c>
      <c r="H201" s="31">
        <f t="shared" si="38"/>
        <v>45</v>
      </c>
      <c r="I201" s="31">
        <v>45</v>
      </c>
      <c r="J201" s="49">
        <v>0</v>
      </c>
      <c r="K201" s="31">
        <v>0.5</v>
      </c>
      <c r="L201" s="50">
        <f t="shared" si="39"/>
        <v>10.57</v>
      </c>
      <c r="M201" s="19">
        <f t="shared" si="40"/>
        <v>7.7463</v>
      </c>
      <c r="N201" s="35">
        <f t="shared" si="35"/>
        <v>93.8163</v>
      </c>
      <c r="O201" s="31">
        <f t="shared" si="36"/>
        <v>93.8163</v>
      </c>
      <c r="P201" s="31">
        <f t="shared" si="37"/>
        <v>0</v>
      </c>
      <c r="Q201" s="53" t="s">
        <v>195</v>
      </c>
    </row>
    <row r="202" s="1" customFormat="1" ht="36" outlineLevel="1" spans="1:17">
      <c r="A202" s="27">
        <v>26</v>
      </c>
      <c r="B202" s="28" t="s">
        <v>253</v>
      </c>
      <c r="C202" s="29" t="s">
        <v>254</v>
      </c>
      <c r="D202" s="28" t="s">
        <v>136</v>
      </c>
      <c r="E202" s="30">
        <v>5</v>
      </c>
      <c r="F202" s="30"/>
      <c r="G202" s="31">
        <v>8</v>
      </c>
      <c r="H202" s="31">
        <f t="shared" si="38"/>
        <v>10.78</v>
      </c>
      <c r="I202" s="31">
        <v>10.78</v>
      </c>
      <c r="J202" s="49">
        <v>0</v>
      </c>
      <c r="K202" s="31">
        <v>0.5</v>
      </c>
      <c r="L202" s="50">
        <f t="shared" si="39"/>
        <v>2.6992</v>
      </c>
      <c r="M202" s="19">
        <f t="shared" si="40"/>
        <v>1.978128</v>
      </c>
      <c r="N202" s="35">
        <f t="shared" si="35"/>
        <v>23.957328</v>
      </c>
      <c r="O202" s="31">
        <f t="shared" si="36"/>
        <v>119.78664</v>
      </c>
      <c r="P202" s="31">
        <f t="shared" si="37"/>
        <v>0</v>
      </c>
      <c r="Q202" s="53" t="s">
        <v>216</v>
      </c>
    </row>
    <row r="203" s="1" customFormat="1" ht="36" outlineLevel="1" spans="1:17">
      <c r="A203" s="27">
        <v>27</v>
      </c>
      <c r="B203" s="28" t="s">
        <v>255</v>
      </c>
      <c r="C203" s="29" t="s">
        <v>256</v>
      </c>
      <c r="D203" s="28" t="s">
        <v>136</v>
      </c>
      <c r="E203" s="30">
        <v>1</v>
      </c>
      <c r="F203" s="30"/>
      <c r="G203" s="31">
        <v>8</v>
      </c>
      <c r="H203" s="31">
        <f t="shared" si="38"/>
        <v>30.25</v>
      </c>
      <c r="I203" s="31">
        <v>30.25</v>
      </c>
      <c r="J203" s="49">
        <v>0</v>
      </c>
      <c r="K203" s="31">
        <v>0.5</v>
      </c>
      <c r="L203" s="50">
        <f t="shared" si="39"/>
        <v>5.425</v>
      </c>
      <c r="M203" s="19">
        <f t="shared" si="40"/>
        <v>3.97575</v>
      </c>
      <c r="N203" s="35">
        <f t="shared" si="35"/>
        <v>48.15075</v>
      </c>
      <c r="O203" s="31">
        <f t="shared" si="36"/>
        <v>48.15075</v>
      </c>
      <c r="P203" s="31">
        <f t="shared" si="37"/>
        <v>0</v>
      </c>
      <c r="Q203" s="53" t="s">
        <v>216</v>
      </c>
    </row>
    <row r="204" s="1" customFormat="1" ht="36" outlineLevel="1" spans="1:17">
      <c r="A204" s="27">
        <v>28</v>
      </c>
      <c r="B204" s="28" t="s">
        <v>257</v>
      </c>
      <c r="C204" s="29" t="s">
        <v>258</v>
      </c>
      <c r="D204" s="28" t="s">
        <v>136</v>
      </c>
      <c r="E204" s="30">
        <v>1</v>
      </c>
      <c r="F204" s="30"/>
      <c r="G204" s="31">
        <v>8</v>
      </c>
      <c r="H204" s="31">
        <f t="shared" si="38"/>
        <v>22</v>
      </c>
      <c r="I204" s="31">
        <v>22</v>
      </c>
      <c r="J204" s="49">
        <v>0</v>
      </c>
      <c r="K204" s="31">
        <v>0.5</v>
      </c>
      <c r="L204" s="50">
        <f t="shared" si="39"/>
        <v>4.27</v>
      </c>
      <c r="M204" s="19">
        <f t="shared" si="40"/>
        <v>3.1293</v>
      </c>
      <c r="N204" s="35">
        <f t="shared" si="35"/>
        <v>37.8993</v>
      </c>
      <c r="O204" s="31">
        <f t="shared" si="36"/>
        <v>37.8993</v>
      </c>
      <c r="P204" s="31">
        <f t="shared" si="37"/>
        <v>0</v>
      </c>
      <c r="Q204" s="53" t="s">
        <v>216</v>
      </c>
    </row>
    <row r="205" s="1" customFormat="1" ht="36" outlineLevel="1" spans="1:17">
      <c r="A205" s="27">
        <v>29</v>
      </c>
      <c r="B205" s="28" t="s">
        <v>259</v>
      </c>
      <c r="C205" s="29" t="s">
        <v>260</v>
      </c>
      <c r="D205" s="28" t="s">
        <v>136</v>
      </c>
      <c r="E205" s="30">
        <f>1+2</f>
        <v>3</v>
      </c>
      <c r="F205" s="30"/>
      <c r="G205" s="31">
        <v>8</v>
      </c>
      <c r="H205" s="31">
        <f t="shared" si="38"/>
        <v>33.55</v>
      </c>
      <c r="I205" s="31">
        <v>33.55</v>
      </c>
      <c r="J205" s="49">
        <v>0</v>
      </c>
      <c r="K205" s="31">
        <v>0.5</v>
      </c>
      <c r="L205" s="50">
        <f t="shared" si="39"/>
        <v>5.887</v>
      </c>
      <c r="M205" s="19">
        <f t="shared" si="40"/>
        <v>4.31433</v>
      </c>
      <c r="N205" s="35">
        <f t="shared" si="35"/>
        <v>52.25133</v>
      </c>
      <c r="O205" s="31">
        <f t="shared" si="36"/>
        <v>156.75399</v>
      </c>
      <c r="P205" s="31">
        <f t="shared" si="37"/>
        <v>0</v>
      </c>
      <c r="Q205" s="53" t="s">
        <v>216</v>
      </c>
    </row>
    <row r="206" s="1" customFormat="1" ht="48" outlineLevel="1" spans="1:17">
      <c r="A206" s="27">
        <v>30</v>
      </c>
      <c r="B206" s="33" t="s">
        <v>261</v>
      </c>
      <c r="C206" s="34" t="s">
        <v>262</v>
      </c>
      <c r="D206" s="35" t="s">
        <v>84</v>
      </c>
      <c r="E206" s="35">
        <v>174.92</v>
      </c>
      <c r="F206" s="35">
        <f>E206</f>
        <v>174.92</v>
      </c>
      <c r="G206" s="31">
        <v>3</v>
      </c>
      <c r="H206" s="31">
        <f t="shared" si="38"/>
        <v>1.575</v>
      </c>
      <c r="I206" s="31">
        <v>1.5</v>
      </c>
      <c r="J206" s="49">
        <v>0.05</v>
      </c>
      <c r="K206" s="31">
        <v>0.3</v>
      </c>
      <c r="L206" s="50">
        <f t="shared" si="39"/>
        <v>0.6825</v>
      </c>
      <c r="M206" s="19">
        <f t="shared" si="40"/>
        <v>0.500175</v>
      </c>
      <c r="N206" s="35">
        <f t="shared" si="35"/>
        <v>6.057675</v>
      </c>
      <c r="O206" s="31">
        <f t="shared" si="36"/>
        <v>1059.608511</v>
      </c>
      <c r="P206" s="31">
        <f t="shared" si="37"/>
        <v>1059.608511</v>
      </c>
      <c r="Q206" s="53" t="s">
        <v>263</v>
      </c>
    </row>
    <row r="207" s="1" customFormat="1" ht="48" outlineLevel="1" spans="1:17">
      <c r="A207" s="27">
        <v>31</v>
      </c>
      <c r="B207" s="33" t="s">
        <v>261</v>
      </c>
      <c r="C207" s="34" t="s">
        <v>264</v>
      </c>
      <c r="D207" s="35" t="s">
        <v>84</v>
      </c>
      <c r="E207" s="35">
        <v>305.46</v>
      </c>
      <c r="F207" s="35">
        <f>E207</f>
        <v>305.46</v>
      </c>
      <c r="G207" s="31">
        <v>3</v>
      </c>
      <c r="H207" s="31">
        <f t="shared" si="38"/>
        <v>2.415</v>
      </c>
      <c r="I207" s="31">
        <v>2.3</v>
      </c>
      <c r="J207" s="49">
        <v>0.05</v>
      </c>
      <c r="K207" s="31">
        <v>0.3</v>
      </c>
      <c r="L207" s="50">
        <f t="shared" si="39"/>
        <v>0.8001</v>
      </c>
      <c r="M207" s="19">
        <f t="shared" si="40"/>
        <v>0.586359</v>
      </c>
      <c r="N207" s="35">
        <f t="shared" si="35"/>
        <v>7.101459</v>
      </c>
      <c r="O207" s="31">
        <f t="shared" si="36"/>
        <v>2169.21166614</v>
      </c>
      <c r="P207" s="31">
        <f t="shared" si="37"/>
        <v>2169.21166614</v>
      </c>
      <c r="Q207" s="53" t="s">
        <v>263</v>
      </c>
    </row>
    <row r="208" s="1" customFormat="1" ht="48" outlineLevel="1" spans="1:17">
      <c r="A208" s="27">
        <v>32</v>
      </c>
      <c r="B208" s="33" t="s">
        <v>265</v>
      </c>
      <c r="C208" s="34" t="s">
        <v>266</v>
      </c>
      <c r="D208" s="35" t="s">
        <v>84</v>
      </c>
      <c r="E208" s="35">
        <v>16.06</v>
      </c>
      <c r="F208" s="35">
        <f>E208</f>
        <v>16.06</v>
      </c>
      <c r="G208" s="31">
        <v>5</v>
      </c>
      <c r="H208" s="31">
        <f t="shared" si="38"/>
        <v>2.625</v>
      </c>
      <c r="I208" s="31">
        <v>2.5</v>
      </c>
      <c r="J208" s="49">
        <v>0.05</v>
      </c>
      <c r="K208" s="31">
        <v>0.5</v>
      </c>
      <c r="L208" s="50">
        <f t="shared" si="39"/>
        <v>1.1375</v>
      </c>
      <c r="M208" s="19">
        <f t="shared" si="40"/>
        <v>0.833625</v>
      </c>
      <c r="N208" s="35">
        <f t="shared" si="35"/>
        <v>10.096125</v>
      </c>
      <c r="O208" s="31">
        <f t="shared" si="36"/>
        <v>162.1437675</v>
      </c>
      <c r="P208" s="31">
        <f t="shared" si="37"/>
        <v>162.1437675</v>
      </c>
      <c r="Q208" s="53" t="s">
        <v>267</v>
      </c>
    </row>
    <row r="209" s="1" customFormat="1" ht="48" outlineLevel="1" spans="1:17">
      <c r="A209" s="27">
        <v>33</v>
      </c>
      <c r="B209" s="33" t="s">
        <v>268</v>
      </c>
      <c r="C209" s="34" t="s">
        <v>269</v>
      </c>
      <c r="D209" s="35" t="s">
        <v>84</v>
      </c>
      <c r="E209" s="35">
        <v>3.56</v>
      </c>
      <c r="F209" s="35">
        <f>E209</f>
        <v>3.56</v>
      </c>
      <c r="G209" s="31">
        <v>5</v>
      </c>
      <c r="H209" s="31">
        <f t="shared" si="38"/>
        <v>1.575</v>
      </c>
      <c r="I209" s="31">
        <v>1.5</v>
      </c>
      <c r="J209" s="49">
        <v>0.05</v>
      </c>
      <c r="K209" s="31">
        <v>0.5</v>
      </c>
      <c r="L209" s="50">
        <f t="shared" si="39"/>
        <v>0.9905</v>
      </c>
      <c r="M209" s="19">
        <f t="shared" si="40"/>
        <v>0.725895</v>
      </c>
      <c r="N209" s="35">
        <f t="shared" si="35"/>
        <v>8.791395</v>
      </c>
      <c r="O209" s="31">
        <f t="shared" si="36"/>
        <v>31.2973662</v>
      </c>
      <c r="P209" s="31">
        <f t="shared" si="37"/>
        <v>31.2973662</v>
      </c>
      <c r="Q209" s="53"/>
    </row>
    <row r="210" s="1" customFormat="1" ht="48" outlineLevel="1" spans="1:17">
      <c r="A210" s="27">
        <v>34</v>
      </c>
      <c r="B210" s="33" t="s">
        <v>270</v>
      </c>
      <c r="C210" s="34" t="s">
        <v>271</v>
      </c>
      <c r="D210" s="35" t="s">
        <v>84</v>
      </c>
      <c r="E210" s="35">
        <v>4.79</v>
      </c>
      <c r="F210" s="35">
        <f>E210</f>
        <v>4.79</v>
      </c>
      <c r="G210" s="31">
        <v>5</v>
      </c>
      <c r="H210" s="31">
        <f t="shared" si="38"/>
        <v>3.675</v>
      </c>
      <c r="I210" s="31">
        <v>3.5</v>
      </c>
      <c r="J210" s="49">
        <v>0.05</v>
      </c>
      <c r="K210" s="31">
        <v>0.5</v>
      </c>
      <c r="L210" s="50">
        <f t="shared" si="39"/>
        <v>1.2845</v>
      </c>
      <c r="M210" s="19">
        <f t="shared" si="40"/>
        <v>0.941355</v>
      </c>
      <c r="N210" s="35">
        <f t="shared" si="35"/>
        <v>11.400855</v>
      </c>
      <c r="O210" s="31">
        <f t="shared" si="36"/>
        <v>54.61009545</v>
      </c>
      <c r="P210" s="31">
        <f t="shared" si="37"/>
        <v>54.61009545</v>
      </c>
      <c r="Q210" s="53"/>
    </row>
    <row r="211" s="1" customFormat="1" spans="1:17">
      <c r="A211" s="27">
        <v>35</v>
      </c>
      <c r="B211" s="36" t="s">
        <v>54</v>
      </c>
      <c r="C211" s="36"/>
      <c r="D211" s="36" t="s">
        <v>272</v>
      </c>
      <c r="E211" s="37"/>
      <c r="F211" s="37"/>
      <c r="G211" s="27"/>
      <c r="H211" s="37"/>
      <c r="I211" s="37"/>
      <c r="J211" s="51"/>
      <c r="K211" s="37"/>
      <c r="L211" s="50"/>
      <c r="M211" s="19"/>
      <c r="N211" s="35"/>
      <c r="O211" s="31">
        <f>SUM(O177:O210)</f>
        <v>7643.55772629</v>
      </c>
      <c r="P211" s="31">
        <f>SUM(P177:P210)</f>
        <v>3476.87140629</v>
      </c>
      <c r="Q211" s="53"/>
    </row>
    <row r="212" s="1" customFormat="1" spans="1:17">
      <c r="A212" s="27" t="s">
        <v>273</v>
      </c>
      <c r="B212" s="25" t="s">
        <v>318</v>
      </c>
      <c r="C212" s="25" t="s">
        <v>191</v>
      </c>
      <c r="D212" s="25" t="s">
        <v>192</v>
      </c>
      <c r="E212" s="37"/>
      <c r="F212" s="37"/>
      <c r="G212" s="27"/>
      <c r="H212" s="37"/>
      <c r="I212" s="37"/>
      <c r="J212" s="51"/>
      <c r="K212" s="37"/>
      <c r="L212" s="50"/>
      <c r="M212" s="19"/>
      <c r="N212" s="35"/>
      <c r="O212" s="31"/>
      <c r="P212" s="31"/>
      <c r="Q212" s="53"/>
    </row>
    <row r="213" s="1" customFormat="1" ht="48" outlineLevel="1" spans="1:17">
      <c r="A213" s="27">
        <v>1</v>
      </c>
      <c r="B213" s="28" t="s">
        <v>275</v>
      </c>
      <c r="C213" s="29" t="s">
        <v>276</v>
      </c>
      <c r="D213" s="28" t="s">
        <v>277</v>
      </c>
      <c r="E213" s="27">
        <v>1</v>
      </c>
      <c r="F213" s="27"/>
      <c r="G213" s="27">
        <v>80</v>
      </c>
      <c r="H213" s="27">
        <f>I213*(1+J213)</f>
        <v>650</v>
      </c>
      <c r="I213" s="27">
        <v>650</v>
      </c>
      <c r="J213" s="51">
        <v>0</v>
      </c>
      <c r="K213" s="27">
        <v>15</v>
      </c>
      <c r="L213" s="50">
        <f t="shared" si="39"/>
        <v>104.3</v>
      </c>
      <c r="M213" s="19">
        <f t="shared" si="40"/>
        <v>76.437</v>
      </c>
      <c r="N213" s="35">
        <f t="shared" ref="N213:N229" si="41">G213+H213+K213+L213+M213</f>
        <v>925.737</v>
      </c>
      <c r="O213" s="31">
        <f t="shared" ref="O213:O229" si="42">N213*E213</f>
        <v>925.737</v>
      </c>
      <c r="P213" s="31">
        <f>F213*N213</f>
        <v>0</v>
      </c>
      <c r="Q213" s="53" t="s">
        <v>137</v>
      </c>
    </row>
    <row r="214" s="1" customFormat="1" ht="48" outlineLevel="1" spans="1:17">
      <c r="A214" s="27">
        <v>2</v>
      </c>
      <c r="B214" s="28" t="s">
        <v>278</v>
      </c>
      <c r="C214" s="29" t="s">
        <v>312</v>
      </c>
      <c r="D214" s="28" t="s">
        <v>277</v>
      </c>
      <c r="E214" s="27">
        <v>1</v>
      </c>
      <c r="F214" s="27"/>
      <c r="G214" s="27">
        <v>300</v>
      </c>
      <c r="H214" s="27">
        <f>I214*(1+J214)</f>
        <v>750</v>
      </c>
      <c r="I214" s="27">
        <v>750</v>
      </c>
      <c r="J214" s="52">
        <v>0</v>
      </c>
      <c r="K214" s="27">
        <v>10</v>
      </c>
      <c r="L214" s="50">
        <f t="shared" si="39"/>
        <v>148.4</v>
      </c>
      <c r="M214" s="19">
        <f t="shared" si="40"/>
        <v>108.756</v>
      </c>
      <c r="N214" s="35">
        <f t="shared" si="41"/>
        <v>1317.156</v>
      </c>
      <c r="O214" s="31">
        <f t="shared" si="42"/>
        <v>1317.156</v>
      </c>
      <c r="P214" s="31">
        <f t="shared" ref="P214:P229" si="43">F214*N214</f>
        <v>0</v>
      </c>
      <c r="Q214" s="53" t="s">
        <v>280</v>
      </c>
    </row>
    <row r="215" s="1" customFormat="1" ht="48" outlineLevel="1" spans="1:17">
      <c r="A215" s="27">
        <v>3</v>
      </c>
      <c r="B215" s="28" t="s">
        <v>281</v>
      </c>
      <c r="C215" s="29" t="s">
        <v>282</v>
      </c>
      <c r="D215" s="28" t="s">
        <v>277</v>
      </c>
      <c r="E215" s="27">
        <v>1</v>
      </c>
      <c r="F215" s="27"/>
      <c r="G215" s="27">
        <v>80</v>
      </c>
      <c r="H215" s="27">
        <f>I215*(1+J215)</f>
        <v>580</v>
      </c>
      <c r="I215" s="27">
        <v>580</v>
      </c>
      <c r="J215" s="52">
        <v>0</v>
      </c>
      <c r="K215" s="27">
        <v>20</v>
      </c>
      <c r="L215" s="50">
        <f t="shared" si="39"/>
        <v>95.2</v>
      </c>
      <c r="M215" s="19">
        <f t="shared" si="40"/>
        <v>69.768</v>
      </c>
      <c r="N215" s="35">
        <f t="shared" si="41"/>
        <v>844.968</v>
      </c>
      <c r="O215" s="31">
        <f t="shared" si="42"/>
        <v>844.968</v>
      </c>
      <c r="P215" s="31">
        <f t="shared" si="43"/>
        <v>0</v>
      </c>
      <c r="Q215" s="53" t="s">
        <v>137</v>
      </c>
    </row>
    <row r="216" s="1" customFormat="1" ht="60" outlineLevel="1" spans="1:17">
      <c r="A216" s="27">
        <v>4</v>
      </c>
      <c r="B216" s="28" t="s">
        <v>283</v>
      </c>
      <c r="C216" s="29" t="s">
        <v>284</v>
      </c>
      <c r="D216" s="28" t="s">
        <v>277</v>
      </c>
      <c r="E216" s="27">
        <v>1</v>
      </c>
      <c r="F216" s="27"/>
      <c r="G216" s="27">
        <v>100</v>
      </c>
      <c r="H216" s="27">
        <f>I216*(1+J216)</f>
        <v>1580</v>
      </c>
      <c r="I216" s="27">
        <v>1580</v>
      </c>
      <c r="J216" s="52">
        <v>0</v>
      </c>
      <c r="K216" s="27">
        <v>30</v>
      </c>
      <c r="L216" s="50">
        <f t="shared" si="39"/>
        <v>239.4</v>
      </c>
      <c r="M216" s="19">
        <f t="shared" si="40"/>
        <v>175.446</v>
      </c>
      <c r="N216" s="35">
        <f t="shared" si="41"/>
        <v>2124.846</v>
      </c>
      <c r="O216" s="31">
        <f t="shared" si="42"/>
        <v>2124.846</v>
      </c>
      <c r="P216" s="31">
        <f t="shared" si="43"/>
        <v>0</v>
      </c>
      <c r="Q216" s="53" t="s">
        <v>137</v>
      </c>
    </row>
    <row r="217" s="1" customFormat="1" ht="48" outlineLevel="1" spans="1:17">
      <c r="A217" s="27">
        <v>5</v>
      </c>
      <c r="B217" s="28" t="s">
        <v>285</v>
      </c>
      <c r="C217" s="29" t="s">
        <v>286</v>
      </c>
      <c r="D217" s="28" t="s">
        <v>277</v>
      </c>
      <c r="E217" s="27">
        <v>1</v>
      </c>
      <c r="F217" s="27"/>
      <c r="G217" s="27">
        <v>15</v>
      </c>
      <c r="H217" s="27">
        <f>I217*(1+J217)</f>
        <v>40</v>
      </c>
      <c r="I217" s="27">
        <v>40</v>
      </c>
      <c r="J217" s="52">
        <v>0</v>
      </c>
      <c r="K217" s="27">
        <v>5</v>
      </c>
      <c r="L217" s="50">
        <f t="shared" si="39"/>
        <v>8.4</v>
      </c>
      <c r="M217" s="19">
        <f t="shared" si="40"/>
        <v>6.156</v>
      </c>
      <c r="N217" s="35">
        <f t="shared" si="41"/>
        <v>74.556</v>
      </c>
      <c r="O217" s="31">
        <f t="shared" si="42"/>
        <v>74.556</v>
      </c>
      <c r="P217" s="31">
        <f t="shared" si="43"/>
        <v>0</v>
      </c>
      <c r="Q217" s="53" t="s">
        <v>137</v>
      </c>
    </row>
    <row r="218" s="1" customFormat="1" ht="48" outlineLevel="1" spans="1:17">
      <c r="A218" s="27">
        <v>6</v>
      </c>
      <c r="B218" s="28" t="s">
        <v>287</v>
      </c>
      <c r="C218" s="29" t="s">
        <v>288</v>
      </c>
      <c r="D218" s="28" t="s">
        <v>277</v>
      </c>
      <c r="E218" s="27">
        <v>1</v>
      </c>
      <c r="F218" s="27"/>
      <c r="G218" s="27">
        <v>15</v>
      </c>
      <c r="H218" s="37">
        <f t="shared" ref="H218:H229" si="44">I218*(1+J218)</f>
        <v>30</v>
      </c>
      <c r="I218" s="37">
        <v>30</v>
      </c>
      <c r="J218" s="51">
        <v>0</v>
      </c>
      <c r="K218" s="37">
        <v>2</v>
      </c>
      <c r="L218" s="50">
        <f t="shared" si="39"/>
        <v>6.58</v>
      </c>
      <c r="M218" s="19">
        <f t="shared" si="40"/>
        <v>4.8222</v>
      </c>
      <c r="N218" s="35">
        <f t="shared" si="41"/>
        <v>58.4022</v>
      </c>
      <c r="O218" s="31">
        <f t="shared" si="42"/>
        <v>58.4022</v>
      </c>
      <c r="P218" s="31">
        <f t="shared" si="43"/>
        <v>0</v>
      </c>
      <c r="Q218" s="53" t="s">
        <v>137</v>
      </c>
    </row>
    <row r="219" s="1" customFormat="1" ht="33.75" outlineLevel="1" spans="1:17">
      <c r="A219" s="27">
        <v>7</v>
      </c>
      <c r="B219" s="38" t="s">
        <v>289</v>
      </c>
      <c r="C219" s="39" t="s">
        <v>290</v>
      </c>
      <c r="D219" s="38" t="s">
        <v>277</v>
      </c>
      <c r="E219" s="27">
        <v>2</v>
      </c>
      <c r="F219" s="27"/>
      <c r="G219" s="27">
        <v>15</v>
      </c>
      <c r="H219" s="37">
        <f t="shared" si="44"/>
        <v>30</v>
      </c>
      <c r="I219" s="37">
        <v>30</v>
      </c>
      <c r="J219" s="51">
        <v>0</v>
      </c>
      <c r="K219" s="37">
        <v>2</v>
      </c>
      <c r="L219" s="50">
        <f t="shared" si="39"/>
        <v>6.58</v>
      </c>
      <c r="M219" s="19">
        <f t="shared" si="40"/>
        <v>4.8222</v>
      </c>
      <c r="N219" s="35">
        <f t="shared" si="41"/>
        <v>58.4022</v>
      </c>
      <c r="O219" s="31">
        <f t="shared" si="42"/>
        <v>116.8044</v>
      </c>
      <c r="P219" s="31">
        <f t="shared" si="43"/>
        <v>0</v>
      </c>
      <c r="Q219" s="53" t="s">
        <v>137</v>
      </c>
    </row>
    <row r="220" s="1" customFormat="1" ht="36" outlineLevel="1" spans="1:17">
      <c r="A220" s="27">
        <v>8</v>
      </c>
      <c r="B220" s="28" t="s">
        <v>291</v>
      </c>
      <c r="C220" s="29" t="s">
        <v>292</v>
      </c>
      <c r="D220" s="28" t="s">
        <v>277</v>
      </c>
      <c r="E220" s="27">
        <v>1</v>
      </c>
      <c r="F220" s="27"/>
      <c r="G220" s="27">
        <v>100</v>
      </c>
      <c r="H220" s="27">
        <f t="shared" si="44"/>
        <v>1500</v>
      </c>
      <c r="I220" s="27">
        <v>1500</v>
      </c>
      <c r="J220" s="52">
        <v>0</v>
      </c>
      <c r="K220" s="27">
        <v>20</v>
      </c>
      <c r="L220" s="50">
        <f t="shared" si="39"/>
        <v>226.8</v>
      </c>
      <c r="M220" s="19">
        <f t="shared" si="40"/>
        <v>166.212</v>
      </c>
      <c r="N220" s="35">
        <f t="shared" si="41"/>
        <v>2013.012</v>
      </c>
      <c r="O220" s="31">
        <f t="shared" si="42"/>
        <v>2013.012</v>
      </c>
      <c r="P220" s="31">
        <f t="shared" si="43"/>
        <v>0</v>
      </c>
      <c r="Q220" s="53" t="s">
        <v>293</v>
      </c>
    </row>
    <row r="221" s="1" customFormat="1" ht="36" outlineLevel="1" spans="1:17">
      <c r="A221" s="27">
        <v>9</v>
      </c>
      <c r="B221" s="28" t="s">
        <v>294</v>
      </c>
      <c r="C221" s="29" t="s">
        <v>295</v>
      </c>
      <c r="D221" s="28" t="s">
        <v>277</v>
      </c>
      <c r="E221" s="27">
        <v>1</v>
      </c>
      <c r="F221" s="27"/>
      <c r="G221" s="27">
        <v>300</v>
      </c>
      <c r="H221" s="27">
        <f t="shared" si="44"/>
        <v>600</v>
      </c>
      <c r="I221" s="27">
        <v>600</v>
      </c>
      <c r="J221" s="52">
        <v>0</v>
      </c>
      <c r="K221" s="27">
        <v>30</v>
      </c>
      <c r="L221" s="50">
        <f t="shared" si="39"/>
        <v>130.2</v>
      </c>
      <c r="M221" s="19">
        <f t="shared" si="40"/>
        <v>95.418</v>
      </c>
      <c r="N221" s="35">
        <f t="shared" si="41"/>
        <v>1155.618</v>
      </c>
      <c r="O221" s="31">
        <f t="shared" si="42"/>
        <v>1155.618</v>
      </c>
      <c r="P221" s="31">
        <f t="shared" si="43"/>
        <v>0</v>
      </c>
      <c r="Q221" s="53" t="s">
        <v>293</v>
      </c>
    </row>
    <row r="222" s="1" customFormat="1" ht="60" outlineLevel="1" spans="1:17">
      <c r="A222" s="27">
        <v>10</v>
      </c>
      <c r="B222" s="28" t="s">
        <v>296</v>
      </c>
      <c r="C222" s="29" t="s">
        <v>297</v>
      </c>
      <c r="D222" s="28" t="s">
        <v>277</v>
      </c>
      <c r="E222" s="27">
        <v>1</v>
      </c>
      <c r="F222" s="27"/>
      <c r="G222" s="27">
        <v>80</v>
      </c>
      <c r="H222" s="27">
        <f t="shared" si="44"/>
        <v>650</v>
      </c>
      <c r="I222" s="27">
        <v>650</v>
      </c>
      <c r="J222" s="52">
        <v>0</v>
      </c>
      <c r="K222" s="27">
        <v>10</v>
      </c>
      <c r="L222" s="50">
        <f t="shared" si="39"/>
        <v>103.6</v>
      </c>
      <c r="M222" s="19">
        <f t="shared" si="40"/>
        <v>75.924</v>
      </c>
      <c r="N222" s="35">
        <f t="shared" si="41"/>
        <v>919.524</v>
      </c>
      <c r="O222" s="31">
        <f t="shared" si="42"/>
        <v>919.524</v>
      </c>
      <c r="P222" s="31">
        <f t="shared" si="43"/>
        <v>0</v>
      </c>
      <c r="Q222" s="53" t="s">
        <v>137</v>
      </c>
    </row>
    <row r="223" s="1" customFormat="1" ht="48" outlineLevel="1" spans="1:17">
      <c r="A223" s="27">
        <v>11</v>
      </c>
      <c r="B223" s="28" t="s">
        <v>298</v>
      </c>
      <c r="C223" s="29" t="s">
        <v>299</v>
      </c>
      <c r="D223" s="28" t="s">
        <v>136</v>
      </c>
      <c r="E223" s="27">
        <v>1</v>
      </c>
      <c r="F223" s="27">
        <v>1</v>
      </c>
      <c r="G223" s="27">
        <v>5</v>
      </c>
      <c r="H223" s="27">
        <f t="shared" si="44"/>
        <v>22</v>
      </c>
      <c r="I223" s="27">
        <v>22</v>
      </c>
      <c r="J223" s="52">
        <v>0</v>
      </c>
      <c r="K223" s="27">
        <v>2</v>
      </c>
      <c r="L223" s="50">
        <f t="shared" si="39"/>
        <v>4.06</v>
      </c>
      <c r="M223" s="19">
        <f t="shared" si="40"/>
        <v>2.9754</v>
      </c>
      <c r="N223" s="35">
        <f t="shared" si="41"/>
        <v>36.0354</v>
      </c>
      <c r="O223" s="31">
        <f t="shared" si="42"/>
        <v>36.0354</v>
      </c>
      <c r="P223" s="31">
        <f t="shared" si="43"/>
        <v>36.0354</v>
      </c>
      <c r="Q223" s="53" t="s">
        <v>300</v>
      </c>
    </row>
    <row r="224" s="1" customFormat="1" ht="48" outlineLevel="1" spans="1:17">
      <c r="A224" s="27">
        <v>12</v>
      </c>
      <c r="B224" s="28" t="s">
        <v>298</v>
      </c>
      <c r="C224" s="29" t="s">
        <v>301</v>
      </c>
      <c r="D224" s="28" t="s">
        <v>136</v>
      </c>
      <c r="E224" s="27">
        <v>1</v>
      </c>
      <c r="F224" s="27">
        <v>1</v>
      </c>
      <c r="G224" s="27">
        <v>5</v>
      </c>
      <c r="H224" s="27">
        <f t="shared" si="44"/>
        <v>20</v>
      </c>
      <c r="I224" s="27">
        <v>20</v>
      </c>
      <c r="J224" s="52">
        <v>0</v>
      </c>
      <c r="K224" s="27">
        <v>2</v>
      </c>
      <c r="L224" s="50">
        <f t="shared" si="39"/>
        <v>3.78</v>
      </c>
      <c r="M224" s="19">
        <f t="shared" si="40"/>
        <v>2.7702</v>
      </c>
      <c r="N224" s="35">
        <f t="shared" si="41"/>
        <v>33.5502</v>
      </c>
      <c r="O224" s="31">
        <f t="shared" si="42"/>
        <v>33.5502</v>
      </c>
      <c r="P224" s="31">
        <f t="shared" si="43"/>
        <v>33.5502</v>
      </c>
      <c r="Q224" s="53" t="s">
        <v>300</v>
      </c>
    </row>
    <row r="225" s="1" customFormat="1" ht="36" outlineLevel="1" spans="1:17">
      <c r="A225" s="27">
        <v>13</v>
      </c>
      <c r="B225" s="28" t="s">
        <v>302</v>
      </c>
      <c r="C225" s="29" t="s">
        <v>303</v>
      </c>
      <c r="D225" s="28" t="s">
        <v>136</v>
      </c>
      <c r="E225" s="27">
        <v>1</v>
      </c>
      <c r="F225" s="27"/>
      <c r="G225" s="27">
        <v>15</v>
      </c>
      <c r="H225" s="27">
        <f t="shared" si="44"/>
        <v>50</v>
      </c>
      <c r="I225" s="27">
        <v>50</v>
      </c>
      <c r="J225" s="52">
        <v>0</v>
      </c>
      <c r="K225" s="27">
        <v>5</v>
      </c>
      <c r="L225" s="50">
        <f t="shared" si="39"/>
        <v>9.8</v>
      </c>
      <c r="M225" s="19">
        <f t="shared" si="40"/>
        <v>7.182</v>
      </c>
      <c r="N225" s="35">
        <f t="shared" si="41"/>
        <v>86.982</v>
      </c>
      <c r="O225" s="31">
        <f t="shared" si="42"/>
        <v>86.982</v>
      </c>
      <c r="P225" s="31">
        <f t="shared" si="43"/>
        <v>0</v>
      </c>
      <c r="Q225" s="53"/>
    </row>
    <row r="226" s="1" customFormat="1" ht="48" outlineLevel="1" spans="1:17">
      <c r="A226" s="27">
        <v>14</v>
      </c>
      <c r="B226" s="28" t="s">
        <v>304</v>
      </c>
      <c r="C226" s="40" t="s">
        <v>305</v>
      </c>
      <c r="D226" s="35" t="s">
        <v>84</v>
      </c>
      <c r="E226" s="41">
        <v>4.3</v>
      </c>
      <c r="F226" s="41">
        <f>E226</f>
        <v>4.3</v>
      </c>
      <c r="G226" s="27">
        <v>12</v>
      </c>
      <c r="H226" s="27">
        <f t="shared" si="44"/>
        <v>7.35</v>
      </c>
      <c r="I226" s="27">
        <v>7</v>
      </c>
      <c r="J226" s="52">
        <v>0.05</v>
      </c>
      <c r="K226" s="27">
        <v>1</v>
      </c>
      <c r="L226" s="50">
        <f t="shared" si="39"/>
        <v>2.849</v>
      </c>
      <c r="M226" s="19">
        <f t="shared" si="40"/>
        <v>2.08791</v>
      </c>
      <c r="N226" s="35">
        <f t="shared" si="41"/>
        <v>25.28691</v>
      </c>
      <c r="O226" s="31">
        <f t="shared" si="42"/>
        <v>108.733713</v>
      </c>
      <c r="P226" s="31">
        <f t="shared" si="43"/>
        <v>108.733713</v>
      </c>
      <c r="Q226" s="53" t="s">
        <v>300</v>
      </c>
    </row>
    <row r="227" s="1" customFormat="1" ht="48" outlineLevel="1" spans="1:17">
      <c r="A227" s="27">
        <v>15</v>
      </c>
      <c r="B227" s="28" t="s">
        <v>304</v>
      </c>
      <c r="C227" s="40" t="s">
        <v>306</v>
      </c>
      <c r="D227" s="35" t="s">
        <v>84</v>
      </c>
      <c r="E227" s="41">
        <v>10.58</v>
      </c>
      <c r="F227" s="41">
        <f>E227</f>
        <v>10.58</v>
      </c>
      <c r="G227" s="27">
        <v>12</v>
      </c>
      <c r="H227" s="27">
        <f t="shared" si="44"/>
        <v>5.25</v>
      </c>
      <c r="I227" s="27">
        <v>5</v>
      </c>
      <c r="J227" s="52">
        <v>0.05</v>
      </c>
      <c r="K227" s="27">
        <v>1</v>
      </c>
      <c r="L227" s="50">
        <f t="shared" si="39"/>
        <v>2.555</v>
      </c>
      <c r="M227" s="19">
        <f t="shared" si="40"/>
        <v>1.87245</v>
      </c>
      <c r="N227" s="35">
        <f t="shared" si="41"/>
        <v>22.67745</v>
      </c>
      <c r="O227" s="31">
        <f t="shared" si="42"/>
        <v>239.927421</v>
      </c>
      <c r="P227" s="31">
        <f t="shared" si="43"/>
        <v>239.927421</v>
      </c>
      <c r="Q227" s="53" t="s">
        <v>300</v>
      </c>
    </row>
    <row r="228" s="1" customFormat="1" ht="48" outlineLevel="1" spans="1:17">
      <c r="A228" s="27">
        <v>16</v>
      </c>
      <c r="B228" s="28" t="s">
        <v>304</v>
      </c>
      <c r="C228" s="40" t="s">
        <v>307</v>
      </c>
      <c r="D228" s="35" t="s">
        <v>84</v>
      </c>
      <c r="E228" s="41">
        <v>0.5</v>
      </c>
      <c r="F228" s="41">
        <f>E228</f>
        <v>0.5</v>
      </c>
      <c r="G228" s="27">
        <v>12</v>
      </c>
      <c r="H228" s="27">
        <f t="shared" si="44"/>
        <v>8.4</v>
      </c>
      <c r="I228" s="27">
        <v>8</v>
      </c>
      <c r="J228" s="52">
        <v>0.05</v>
      </c>
      <c r="K228" s="27">
        <v>1</v>
      </c>
      <c r="L228" s="50">
        <f t="shared" si="39"/>
        <v>2.996</v>
      </c>
      <c r="M228" s="19">
        <f t="shared" si="40"/>
        <v>2.19564</v>
      </c>
      <c r="N228" s="35">
        <f t="shared" si="41"/>
        <v>26.59164</v>
      </c>
      <c r="O228" s="31">
        <f t="shared" si="42"/>
        <v>13.29582</v>
      </c>
      <c r="P228" s="31">
        <f t="shared" si="43"/>
        <v>13.29582</v>
      </c>
      <c r="Q228" s="53" t="s">
        <v>300</v>
      </c>
    </row>
    <row r="229" s="1" customFormat="1" ht="48" outlineLevel="1" spans="1:17">
      <c r="A229" s="27">
        <v>17</v>
      </c>
      <c r="B229" s="28" t="s">
        <v>304</v>
      </c>
      <c r="C229" s="40" t="s">
        <v>308</v>
      </c>
      <c r="D229" s="35" t="s">
        <v>84</v>
      </c>
      <c r="E229" s="41">
        <v>6.91</v>
      </c>
      <c r="F229" s="41">
        <f>E229</f>
        <v>6.91</v>
      </c>
      <c r="G229" s="27">
        <v>12</v>
      </c>
      <c r="H229" s="27">
        <f t="shared" si="44"/>
        <v>6.3</v>
      </c>
      <c r="I229" s="27">
        <v>6</v>
      </c>
      <c r="J229" s="52">
        <v>0.05</v>
      </c>
      <c r="K229" s="27">
        <v>1</v>
      </c>
      <c r="L229" s="50">
        <f t="shared" si="39"/>
        <v>2.702</v>
      </c>
      <c r="M229" s="19">
        <f t="shared" si="40"/>
        <v>1.98018</v>
      </c>
      <c r="N229" s="35">
        <f t="shared" si="41"/>
        <v>23.98218</v>
      </c>
      <c r="O229" s="31">
        <f t="shared" si="42"/>
        <v>165.7168638</v>
      </c>
      <c r="P229" s="31">
        <f t="shared" si="43"/>
        <v>165.7168638</v>
      </c>
      <c r="Q229" s="53" t="s">
        <v>300</v>
      </c>
    </row>
    <row r="230" s="1" customFormat="1" spans="1:17">
      <c r="A230" s="27">
        <v>18</v>
      </c>
      <c r="B230" s="36" t="s">
        <v>54</v>
      </c>
      <c r="C230" s="36"/>
      <c r="D230" s="36" t="s">
        <v>272</v>
      </c>
      <c r="E230" s="37"/>
      <c r="F230" s="37"/>
      <c r="G230" s="27"/>
      <c r="H230" s="37"/>
      <c r="I230" s="37"/>
      <c r="J230" s="51"/>
      <c r="K230" s="37"/>
      <c r="L230" s="50"/>
      <c r="M230" s="19"/>
      <c r="N230" s="35"/>
      <c r="O230" s="31">
        <f>SUM(O213:O229)</f>
        <v>10234.8650178</v>
      </c>
      <c r="P230" s="31">
        <f>SUM(P213:P229)</f>
        <v>597.2594178</v>
      </c>
      <c r="Q230" s="53"/>
    </row>
    <row r="231" s="1" customFormat="1" spans="1:17">
      <c r="A231" s="27" t="s">
        <v>152</v>
      </c>
      <c r="B231" s="36" t="s">
        <v>319</v>
      </c>
      <c r="C231" s="36" t="s">
        <v>191</v>
      </c>
      <c r="D231" s="36" t="s">
        <v>272</v>
      </c>
      <c r="E231" s="37"/>
      <c r="F231" s="37"/>
      <c r="G231" s="27"/>
      <c r="H231" s="37"/>
      <c r="I231" s="37"/>
      <c r="J231" s="51"/>
      <c r="K231" s="37"/>
      <c r="L231" s="50"/>
      <c r="M231" s="19"/>
      <c r="N231" s="35"/>
      <c r="O231" s="31">
        <f>O211+O230</f>
        <v>17878.42274409</v>
      </c>
      <c r="P231" s="31">
        <f>P211+P230</f>
        <v>4074.13082409</v>
      </c>
      <c r="Q231" s="53"/>
    </row>
    <row r="232" s="1" customFormat="1" spans="1:17">
      <c r="A232" s="25" t="s">
        <v>75</v>
      </c>
      <c r="B232" s="25" t="s">
        <v>320</v>
      </c>
      <c r="C232" s="25" t="s">
        <v>191</v>
      </c>
      <c r="D232" s="25" t="s">
        <v>192</v>
      </c>
      <c r="E232" s="26"/>
      <c r="F232" s="26"/>
      <c r="G232" s="19"/>
      <c r="H232" s="19"/>
      <c r="I232" s="19"/>
      <c r="J232" s="46"/>
      <c r="K232" s="19"/>
      <c r="L232" s="50"/>
      <c r="M232" s="19"/>
      <c r="N232" s="19"/>
      <c r="O232" s="19"/>
      <c r="P232" s="19"/>
      <c r="Q232" s="53"/>
    </row>
    <row r="233" s="1" customFormat="1" ht="48" outlineLevel="1" spans="1:17">
      <c r="A233" s="27">
        <v>1</v>
      </c>
      <c r="B233" s="28" t="s">
        <v>193</v>
      </c>
      <c r="C233" s="29" t="s">
        <v>194</v>
      </c>
      <c r="D233" s="28" t="s">
        <v>136</v>
      </c>
      <c r="E233" s="30">
        <v>7</v>
      </c>
      <c r="F233" s="30"/>
      <c r="G233" s="31">
        <v>15</v>
      </c>
      <c r="H233" s="31">
        <f t="shared" ref="H233:H242" si="45">I233*(1+J233)</f>
        <v>25.3</v>
      </c>
      <c r="I233" s="31">
        <v>25.3</v>
      </c>
      <c r="J233" s="49">
        <v>0</v>
      </c>
      <c r="K233" s="31">
        <v>1</v>
      </c>
      <c r="L233" s="50">
        <f t="shared" si="39"/>
        <v>5.782</v>
      </c>
      <c r="M233" s="19">
        <f t="shared" si="40"/>
        <v>4.23738</v>
      </c>
      <c r="N233" s="35">
        <f t="shared" ref="N231:N261" si="46">G233+H233+K233+L233+M233</f>
        <v>51.31938</v>
      </c>
      <c r="O233" s="31">
        <f t="shared" ref="O233:O261" si="47">N233*E233</f>
        <v>359.23566</v>
      </c>
      <c r="P233" s="31">
        <f>F233*N233</f>
        <v>0</v>
      </c>
      <c r="Q233" s="53" t="s">
        <v>195</v>
      </c>
    </row>
    <row r="234" s="1" customFormat="1" ht="48" outlineLevel="1" spans="1:17">
      <c r="A234" s="27">
        <v>2</v>
      </c>
      <c r="B234" s="28" t="s">
        <v>196</v>
      </c>
      <c r="C234" s="29" t="s">
        <v>197</v>
      </c>
      <c r="D234" s="28" t="s">
        <v>136</v>
      </c>
      <c r="E234" s="30">
        <v>1</v>
      </c>
      <c r="F234" s="30"/>
      <c r="G234" s="31">
        <v>15</v>
      </c>
      <c r="H234" s="31">
        <f t="shared" si="45"/>
        <v>20</v>
      </c>
      <c r="I234" s="31">
        <v>20</v>
      </c>
      <c r="J234" s="49">
        <v>0</v>
      </c>
      <c r="K234" s="31">
        <v>1</v>
      </c>
      <c r="L234" s="50">
        <f t="shared" si="39"/>
        <v>5.04</v>
      </c>
      <c r="M234" s="19">
        <f t="shared" si="40"/>
        <v>3.6936</v>
      </c>
      <c r="N234" s="35">
        <f t="shared" si="46"/>
        <v>44.7336</v>
      </c>
      <c r="O234" s="31">
        <f t="shared" si="47"/>
        <v>44.7336</v>
      </c>
      <c r="P234" s="31">
        <f t="shared" ref="P234:P267" si="48">F234*N234</f>
        <v>0</v>
      </c>
      <c r="Q234" s="53" t="s">
        <v>195</v>
      </c>
    </row>
    <row r="235" s="1" customFormat="1" ht="48" outlineLevel="1" spans="1:17">
      <c r="A235" s="27">
        <v>3</v>
      </c>
      <c r="B235" s="28" t="s">
        <v>198</v>
      </c>
      <c r="C235" s="29" t="s">
        <v>199</v>
      </c>
      <c r="D235" s="28" t="s">
        <v>136</v>
      </c>
      <c r="E235" s="30">
        <v>1</v>
      </c>
      <c r="F235" s="30"/>
      <c r="G235" s="31">
        <v>15</v>
      </c>
      <c r="H235" s="31">
        <f t="shared" si="45"/>
        <v>25</v>
      </c>
      <c r="I235" s="31">
        <v>25</v>
      </c>
      <c r="J235" s="49">
        <v>0</v>
      </c>
      <c r="K235" s="31">
        <v>1</v>
      </c>
      <c r="L235" s="50">
        <f t="shared" si="39"/>
        <v>5.74</v>
      </c>
      <c r="M235" s="19">
        <f t="shared" si="40"/>
        <v>4.2066</v>
      </c>
      <c r="N235" s="35">
        <f t="shared" si="46"/>
        <v>50.9466</v>
      </c>
      <c r="O235" s="31">
        <f t="shared" si="47"/>
        <v>50.9466</v>
      </c>
      <c r="P235" s="31">
        <f t="shared" si="48"/>
        <v>0</v>
      </c>
      <c r="Q235" s="53" t="s">
        <v>195</v>
      </c>
    </row>
    <row r="236" s="1" customFormat="1" ht="48" outlineLevel="1" spans="1:17">
      <c r="A236" s="27">
        <v>4</v>
      </c>
      <c r="B236" s="28" t="s">
        <v>202</v>
      </c>
      <c r="C236" s="29" t="s">
        <v>203</v>
      </c>
      <c r="D236" s="28" t="s">
        <v>136</v>
      </c>
      <c r="E236" s="30">
        <v>3</v>
      </c>
      <c r="F236" s="30"/>
      <c r="G236" s="31">
        <v>18</v>
      </c>
      <c r="H236" s="31">
        <f t="shared" si="45"/>
        <v>200</v>
      </c>
      <c r="I236" s="31">
        <v>200</v>
      </c>
      <c r="J236" s="49">
        <v>0</v>
      </c>
      <c r="K236" s="31">
        <v>1</v>
      </c>
      <c r="L236" s="50">
        <f t="shared" si="39"/>
        <v>30.66</v>
      </c>
      <c r="M236" s="19">
        <f t="shared" si="40"/>
        <v>22.4694</v>
      </c>
      <c r="N236" s="35">
        <f t="shared" si="46"/>
        <v>272.1294</v>
      </c>
      <c r="O236" s="31">
        <f t="shared" si="47"/>
        <v>816.3882</v>
      </c>
      <c r="P236" s="31">
        <f t="shared" si="48"/>
        <v>0</v>
      </c>
      <c r="Q236" s="53" t="s">
        <v>195</v>
      </c>
    </row>
    <row r="237" s="1" customFormat="1" ht="48" outlineLevel="1" spans="1:17">
      <c r="A237" s="27">
        <v>5</v>
      </c>
      <c r="B237" s="28" t="s">
        <v>204</v>
      </c>
      <c r="C237" s="29" t="s">
        <v>205</v>
      </c>
      <c r="D237" s="28" t="s">
        <v>136</v>
      </c>
      <c r="E237" s="30">
        <v>1</v>
      </c>
      <c r="F237" s="30"/>
      <c r="G237" s="32">
        <v>18</v>
      </c>
      <c r="H237" s="31">
        <f t="shared" si="45"/>
        <v>110</v>
      </c>
      <c r="I237" s="31">
        <v>110</v>
      </c>
      <c r="J237" s="49">
        <v>0</v>
      </c>
      <c r="K237" s="31">
        <v>1</v>
      </c>
      <c r="L237" s="50">
        <f t="shared" si="39"/>
        <v>18.06</v>
      </c>
      <c r="M237" s="19">
        <f t="shared" si="40"/>
        <v>13.2354</v>
      </c>
      <c r="N237" s="35">
        <f t="shared" si="46"/>
        <v>160.2954</v>
      </c>
      <c r="O237" s="31">
        <f t="shared" si="47"/>
        <v>160.2954</v>
      </c>
      <c r="P237" s="31">
        <f t="shared" si="48"/>
        <v>0</v>
      </c>
      <c r="Q237" s="53" t="s">
        <v>195</v>
      </c>
    </row>
    <row r="238" s="1" customFormat="1" ht="48" outlineLevel="1" spans="1:17">
      <c r="A238" s="27">
        <v>6</v>
      </c>
      <c r="B238" s="28" t="s">
        <v>206</v>
      </c>
      <c r="C238" s="29" t="s">
        <v>207</v>
      </c>
      <c r="D238" s="28" t="s">
        <v>136</v>
      </c>
      <c r="E238" s="30">
        <v>1</v>
      </c>
      <c r="F238" s="30"/>
      <c r="G238" s="31">
        <v>30</v>
      </c>
      <c r="H238" s="31">
        <f t="shared" si="45"/>
        <v>500</v>
      </c>
      <c r="I238" s="31">
        <v>500</v>
      </c>
      <c r="J238" s="49">
        <v>0</v>
      </c>
      <c r="K238" s="31">
        <v>10</v>
      </c>
      <c r="L238" s="50">
        <f t="shared" si="39"/>
        <v>75.6</v>
      </c>
      <c r="M238" s="19">
        <f t="shared" si="40"/>
        <v>55.404</v>
      </c>
      <c r="N238" s="35">
        <f t="shared" si="46"/>
        <v>671.004</v>
      </c>
      <c r="O238" s="31">
        <f t="shared" si="47"/>
        <v>671.004</v>
      </c>
      <c r="P238" s="31">
        <f t="shared" si="48"/>
        <v>0</v>
      </c>
      <c r="Q238" s="53" t="s">
        <v>195</v>
      </c>
    </row>
    <row r="239" s="1" customFormat="1" ht="48" outlineLevel="1" spans="1:17">
      <c r="A239" s="27">
        <v>7</v>
      </c>
      <c r="B239" s="28" t="s">
        <v>208</v>
      </c>
      <c r="C239" s="29" t="s">
        <v>209</v>
      </c>
      <c r="D239" s="28" t="s">
        <v>136</v>
      </c>
      <c r="E239" s="30">
        <v>1</v>
      </c>
      <c r="F239" s="30"/>
      <c r="G239" s="31">
        <v>18</v>
      </c>
      <c r="H239" s="31">
        <f t="shared" si="45"/>
        <v>60</v>
      </c>
      <c r="I239" s="31">
        <v>60</v>
      </c>
      <c r="J239" s="49">
        <v>0</v>
      </c>
      <c r="K239" s="31">
        <v>1.5</v>
      </c>
      <c r="L239" s="50">
        <f t="shared" si="39"/>
        <v>11.13</v>
      </c>
      <c r="M239" s="19">
        <f t="shared" si="40"/>
        <v>8.1567</v>
      </c>
      <c r="N239" s="35">
        <f t="shared" si="46"/>
        <v>98.7867</v>
      </c>
      <c r="O239" s="31">
        <f t="shared" si="47"/>
        <v>98.7867</v>
      </c>
      <c r="P239" s="31">
        <f t="shared" si="48"/>
        <v>0</v>
      </c>
      <c r="Q239" s="53" t="s">
        <v>195</v>
      </c>
    </row>
    <row r="240" s="1" customFormat="1" ht="36" outlineLevel="1" spans="1:17">
      <c r="A240" s="27">
        <v>8</v>
      </c>
      <c r="B240" s="28" t="s">
        <v>210</v>
      </c>
      <c r="C240" s="29" t="s">
        <v>211</v>
      </c>
      <c r="D240" s="28" t="s">
        <v>136</v>
      </c>
      <c r="E240" s="30">
        <v>3</v>
      </c>
      <c r="F240" s="30"/>
      <c r="G240" s="31">
        <v>15</v>
      </c>
      <c r="H240" s="31">
        <f t="shared" si="45"/>
        <v>50</v>
      </c>
      <c r="I240" s="31">
        <v>50</v>
      </c>
      <c r="J240" s="49">
        <v>0</v>
      </c>
      <c r="K240" s="31">
        <v>1.5</v>
      </c>
      <c r="L240" s="50">
        <f t="shared" si="39"/>
        <v>9.31</v>
      </c>
      <c r="M240" s="19">
        <f t="shared" si="40"/>
        <v>6.8229</v>
      </c>
      <c r="N240" s="35">
        <f t="shared" si="46"/>
        <v>82.6329</v>
      </c>
      <c r="O240" s="31">
        <f t="shared" si="47"/>
        <v>247.8987</v>
      </c>
      <c r="P240" s="31">
        <f t="shared" si="48"/>
        <v>0</v>
      </c>
      <c r="Q240" s="53" t="s">
        <v>195</v>
      </c>
    </row>
    <row r="241" s="1" customFormat="1" ht="36" outlineLevel="1" spans="1:17">
      <c r="A241" s="27">
        <v>9</v>
      </c>
      <c r="B241" s="28" t="s">
        <v>212</v>
      </c>
      <c r="C241" s="29" t="s">
        <v>213</v>
      </c>
      <c r="D241" s="28" t="s">
        <v>136</v>
      </c>
      <c r="E241" s="30">
        <v>1</v>
      </c>
      <c r="F241" s="30"/>
      <c r="G241" s="31">
        <v>5</v>
      </c>
      <c r="H241" s="31">
        <f t="shared" si="45"/>
        <v>45</v>
      </c>
      <c r="I241" s="31">
        <v>45</v>
      </c>
      <c r="J241" s="49">
        <v>0</v>
      </c>
      <c r="K241" s="31">
        <v>1.5</v>
      </c>
      <c r="L241" s="50">
        <f t="shared" si="39"/>
        <v>7.21</v>
      </c>
      <c r="M241" s="19">
        <f t="shared" si="40"/>
        <v>5.2839</v>
      </c>
      <c r="N241" s="35">
        <f t="shared" si="46"/>
        <v>63.9939</v>
      </c>
      <c r="O241" s="31">
        <f t="shared" si="47"/>
        <v>63.9939</v>
      </c>
      <c r="P241" s="31">
        <f t="shared" si="48"/>
        <v>0</v>
      </c>
      <c r="Q241" s="53" t="s">
        <v>195</v>
      </c>
    </row>
    <row r="242" s="1" customFormat="1" ht="48" outlineLevel="1" spans="1:17">
      <c r="A242" s="27">
        <v>10</v>
      </c>
      <c r="B242" s="28" t="s">
        <v>214</v>
      </c>
      <c r="C242" s="29" t="s">
        <v>215</v>
      </c>
      <c r="D242" s="28" t="s">
        <v>136</v>
      </c>
      <c r="E242" s="30">
        <v>20</v>
      </c>
      <c r="F242" s="30"/>
      <c r="G242" s="31">
        <v>8</v>
      </c>
      <c r="H242" s="31">
        <f t="shared" si="45"/>
        <v>16</v>
      </c>
      <c r="I242" s="31">
        <v>16</v>
      </c>
      <c r="J242" s="49">
        <v>0</v>
      </c>
      <c r="K242" s="31">
        <v>0.5</v>
      </c>
      <c r="L242" s="50">
        <f t="shared" si="39"/>
        <v>3.43</v>
      </c>
      <c r="M242" s="19">
        <f t="shared" si="40"/>
        <v>2.5137</v>
      </c>
      <c r="N242" s="35">
        <f t="shared" si="46"/>
        <v>30.4437</v>
      </c>
      <c r="O242" s="31">
        <f t="shared" si="47"/>
        <v>608.874</v>
      </c>
      <c r="P242" s="31">
        <f t="shared" si="48"/>
        <v>0</v>
      </c>
      <c r="Q242" s="53" t="s">
        <v>216</v>
      </c>
    </row>
    <row r="243" s="1" customFormat="1" ht="48" outlineLevel="1" spans="1:17">
      <c r="A243" s="27">
        <v>11</v>
      </c>
      <c r="B243" s="28" t="s">
        <v>217</v>
      </c>
      <c r="C243" s="29" t="s">
        <v>218</v>
      </c>
      <c r="D243" s="28" t="s">
        <v>136</v>
      </c>
      <c r="E243" s="30">
        <v>1</v>
      </c>
      <c r="F243" s="30"/>
      <c r="G243" s="31">
        <v>8</v>
      </c>
      <c r="H243" s="31">
        <f t="shared" ref="H243:H267" si="49">I243*(1+J243)</f>
        <v>18</v>
      </c>
      <c r="I243" s="31">
        <v>18</v>
      </c>
      <c r="J243" s="49">
        <v>0</v>
      </c>
      <c r="K243" s="31">
        <v>0.5</v>
      </c>
      <c r="L243" s="50">
        <f t="shared" si="39"/>
        <v>3.71</v>
      </c>
      <c r="M243" s="19">
        <f t="shared" si="40"/>
        <v>2.7189</v>
      </c>
      <c r="N243" s="35">
        <f t="shared" si="46"/>
        <v>32.9289</v>
      </c>
      <c r="O243" s="31">
        <f t="shared" si="47"/>
        <v>32.9289</v>
      </c>
      <c r="P243" s="31">
        <f t="shared" si="48"/>
        <v>0</v>
      </c>
      <c r="Q243" s="53" t="s">
        <v>216</v>
      </c>
    </row>
    <row r="244" s="1" customFormat="1" ht="48" outlineLevel="1" spans="1:17">
      <c r="A244" s="27">
        <v>12</v>
      </c>
      <c r="B244" s="28" t="s">
        <v>219</v>
      </c>
      <c r="C244" s="29" t="s">
        <v>220</v>
      </c>
      <c r="D244" s="28" t="s">
        <v>136</v>
      </c>
      <c r="E244" s="30">
        <v>1</v>
      </c>
      <c r="F244" s="30"/>
      <c r="G244" s="31">
        <v>8</v>
      </c>
      <c r="H244" s="31">
        <f t="shared" si="49"/>
        <v>18</v>
      </c>
      <c r="I244" s="31">
        <v>18</v>
      </c>
      <c r="J244" s="49">
        <v>0</v>
      </c>
      <c r="K244" s="31">
        <v>0.5</v>
      </c>
      <c r="L244" s="50">
        <f t="shared" si="39"/>
        <v>3.71</v>
      </c>
      <c r="M244" s="19">
        <f t="shared" si="40"/>
        <v>2.7189</v>
      </c>
      <c r="N244" s="35">
        <f t="shared" si="46"/>
        <v>32.9289</v>
      </c>
      <c r="O244" s="31">
        <f t="shared" si="47"/>
        <v>32.9289</v>
      </c>
      <c r="P244" s="31">
        <f t="shared" si="48"/>
        <v>0</v>
      </c>
      <c r="Q244" s="53" t="s">
        <v>216</v>
      </c>
    </row>
    <row r="245" s="1" customFormat="1" ht="48" outlineLevel="1" spans="1:17">
      <c r="A245" s="27">
        <v>13</v>
      </c>
      <c r="B245" s="28" t="s">
        <v>221</v>
      </c>
      <c r="C245" s="29" t="s">
        <v>222</v>
      </c>
      <c r="D245" s="28" t="s">
        <v>136</v>
      </c>
      <c r="E245" s="30">
        <v>1</v>
      </c>
      <c r="F245" s="30"/>
      <c r="G245" s="31">
        <v>8</v>
      </c>
      <c r="H245" s="31">
        <f t="shared" si="49"/>
        <v>27</v>
      </c>
      <c r="I245" s="31">
        <v>27</v>
      </c>
      <c r="J245" s="49">
        <v>0</v>
      </c>
      <c r="K245" s="31">
        <v>0.5</v>
      </c>
      <c r="L245" s="50">
        <f t="shared" si="39"/>
        <v>4.97</v>
      </c>
      <c r="M245" s="19">
        <f t="shared" si="40"/>
        <v>3.6423</v>
      </c>
      <c r="N245" s="35">
        <f t="shared" si="46"/>
        <v>44.1123</v>
      </c>
      <c r="O245" s="31">
        <f t="shared" si="47"/>
        <v>44.1123</v>
      </c>
      <c r="P245" s="31">
        <f t="shared" si="48"/>
        <v>0</v>
      </c>
      <c r="Q245" s="53" t="s">
        <v>216</v>
      </c>
    </row>
    <row r="246" s="1" customFormat="1" ht="48" outlineLevel="1" spans="1:17">
      <c r="A246" s="27">
        <v>14</v>
      </c>
      <c r="B246" s="28" t="s">
        <v>223</v>
      </c>
      <c r="C246" s="29" t="s">
        <v>224</v>
      </c>
      <c r="D246" s="28" t="s">
        <v>136</v>
      </c>
      <c r="E246" s="30">
        <v>1</v>
      </c>
      <c r="F246" s="30"/>
      <c r="G246" s="31">
        <v>8</v>
      </c>
      <c r="H246" s="31">
        <f t="shared" si="49"/>
        <v>27</v>
      </c>
      <c r="I246" s="31">
        <v>27</v>
      </c>
      <c r="J246" s="49">
        <v>0</v>
      </c>
      <c r="K246" s="31">
        <v>0.5</v>
      </c>
      <c r="L246" s="50">
        <f t="shared" si="39"/>
        <v>4.97</v>
      </c>
      <c r="M246" s="19">
        <f t="shared" si="40"/>
        <v>3.6423</v>
      </c>
      <c r="N246" s="35">
        <f t="shared" si="46"/>
        <v>44.1123</v>
      </c>
      <c r="O246" s="31">
        <f t="shared" si="47"/>
        <v>44.1123</v>
      </c>
      <c r="P246" s="31">
        <f t="shared" si="48"/>
        <v>0</v>
      </c>
      <c r="Q246" s="53" t="s">
        <v>216</v>
      </c>
    </row>
    <row r="247" s="1" customFormat="1" ht="48" outlineLevel="1" spans="1:17">
      <c r="A247" s="27">
        <v>15</v>
      </c>
      <c r="B247" s="28" t="s">
        <v>225</v>
      </c>
      <c r="C247" s="29" t="s">
        <v>226</v>
      </c>
      <c r="D247" s="28" t="s">
        <v>136</v>
      </c>
      <c r="E247" s="30">
        <v>1</v>
      </c>
      <c r="F247" s="30"/>
      <c r="G247" s="31">
        <v>8</v>
      </c>
      <c r="H247" s="31">
        <f t="shared" si="49"/>
        <v>46</v>
      </c>
      <c r="I247" s="31">
        <v>46</v>
      </c>
      <c r="J247" s="49">
        <v>0</v>
      </c>
      <c r="K247" s="31">
        <v>0.5</v>
      </c>
      <c r="L247" s="50">
        <f t="shared" si="39"/>
        <v>7.63</v>
      </c>
      <c r="M247" s="19">
        <f t="shared" si="40"/>
        <v>5.5917</v>
      </c>
      <c r="N247" s="35">
        <f t="shared" si="46"/>
        <v>67.7217</v>
      </c>
      <c r="O247" s="31">
        <f t="shared" si="47"/>
        <v>67.7217</v>
      </c>
      <c r="P247" s="31">
        <f t="shared" si="48"/>
        <v>0</v>
      </c>
      <c r="Q247" s="53" t="s">
        <v>216</v>
      </c>
    </row>
    <row r="248" s="1" customFormat="1" ht="48" outlineLevel="1" spans="1:17">
      <c r="A248" s="27">
        <v>16</v>
      </c>
      <c r="B248" s="28" t="s">
        <v>227</v>
      </c>
      <c r="C248" s="29" t="s">
        <v>228</v>
      </c>
      <c r="D248" s="28" t="s">
        <v>136</v>
      </c>
      <c r="E248" s="30">
        <v>1</v>
      </c>
      <c r="F248" s="30"/>
      <c r="G248" s="31">
        <v>8</v>
      </c>
      <c r="H248" s="31">
        <f t="shared" si="49"/>
        <v>27</v>
      </c>
      <c r="I248" s="31">
        <v>27</v>
      </c>
      <c r="J248" s="49">
        <v>0</v>
      </c>
      <c r="K248" s="31">
        <v>0.5</v>
      </c>
      <c r="L248" s="50">
        <f t="shared" si="39"/>
        <v>4.97</v>
      </c>
      <c r="M248" s="19">
        <f t="shared" si="40"/>
        <v>3.6423</v>
      </c>
      <c r="N248" s="35">
        <f t="shared" si="46"/>
        <v>44.1123</v>
      </c>
      <c r="O248" s="31">
        <f t="shared" si="47"/>
        <v>44.1123</v>
      </c>
      <c r="P248" s="31">
        <f t="shared" si="48"/>
        <v>0</v>
      </c>
      <c r="Q248" s="53" t="s">
        <v>216</v>
      </c>
    </row>
    <row r="249" s="1" customFormat="1" ht="48" outlineLevel="1" spans="1:17">
      <c r="A249" s="27">
        <v>17</v>
      </c>
      <c r="B249" s="28" t="s">
        <v>229</v>
      </c>
      <c r="C249" s="29" t="s">
        <v>230</v>
      </c>
      <c r="D249" s="28" t="s">
        <v>136</v>
      </c>
      <c r="E249" s="30">
        <v>1</v>
      </c>
      <c r="F249" s="30"/>
      <c r="G249" s="31">
        <v>8</v>
      </c>
      <c r="H249" s="31">
        <f t="shared" si="49"/>
        <v>18</v>
      </c>
      <c r="I249" s="31">
        <v>18</v>
      </c>
      <c r="J249" s="49">
        <v>0</v>
      </c>
      <c r="K249" s="31">
        <v>0.5</v>
      </c>
      <c r="L249" s="50">
        <f t="shared" si="39"/>
        <v>3.71</v>
      </c>
      <c r="M249" s="19">
        <f t="shared" si="40"/>
        <v>2.7189</v>
      </c>
      <c r="N249" s="35">
        <f t="shared" si="46"/>
        <v>32.9289</v>
      </c>
      <c r="O249" s="31">
        <f t="shared" si="47"/>
        <v>32.9289</v>
      </c>
      <c r="P249" s="31">
        <f t="shared" si="48"/>
        <v>0</v>
      </c>
      <c r="Q249" s="53" t="s">
        <v>216</v>
      </c>
    </row>
    <row r="250" s="1" customFormat="1" ht="48" outlineLevel="1" spans="1:17">
      <c r="A250" s="27">
        <v>18</v>
      </c>
      <c r="B250" s="28" t="s">
        <v>231</v>
      </c>
      <c r="C250" s="29" t="s">
        <v>232</v>
      </c>
      <c r="D250" s="28" t="s">
        <v>136</v>
      </c>
      <c r="E250" s="30">
        <v>3</v>
      </c>
      <c r="F250" s="30"/>
      <c r="G250" s="31">
        <v>8</v>
      </c>
      <c r="H250" s="31">
        <f t="shared" si="49"/>
        <v>35.2</v>
      </c>
      <c r="I250" s="31">
        <v>35.2</v>
      </c>
      <c r="J250" s="49">
        <v>0</v>
      </c>
      <c r="K250" s="31">
        <v>0.5</v>
      </c>
      <c r="L250" s="50">
        <f t="shared" si="39"/>
        <v>6.118</v>
      </c>
      <c r="M250" s="19">
        <f t="shared" si="40"/>
        <v>4.48362</v>
      </c>
      <c r="N250" s="35">
        <f t="shared" si="46"/>
        <v>54.30162</v>
      </c>
      <c r="O250" s="31">
        <f t="shared" si="47"/>
        <v>162.90486</v>
      </c>
      <c r="P250" s="31">
        <f t="shared" si="48"/>
        <v>0</v>
      </c>
      <c r="Q250" s="53" t="s">
        <v>216</v>
      </c>
    </row>
    <row r="251" s="1" customFormat="1" ht="48" outlineLevel="1" spans="1:17">
      <c r="A251" s="27">
        <v>19</v>
      </c>
      <c r="B251" s="28" t="s">
        <v>233</v>
      </c>
      <c r="C251" s="29" t="s">
        <v>234</v>
      </c>
      <c r="D251" s="28" t="s">
        <v>136</v>
      </c>
      <c r="E251" s="30">
        <v>3</v>
      </c>
      <c r="F251" s="30"/>
      <c r="G251" s="31">
        <v>8</v>
      </c>
      <c r="H251" s="31">
        <f t="shared" si="49"/>
        <v>35.2</v>
      </c>
      <c r="I251" s="31">
        <v>35.2</v>
      </c>
      <c r="J251" s="49">
        <v>0</v>
      </c>
      <c r="K251" s="31">
        <v>0.5</v>
      </c>
      <c r="L251" s="50">
        <f t="shared" si="39"/>
        <v>6.118</v>
      </c>
      <c r="M251" s="19">
        <f t="shared" si="40"/>
        <v>4.48362</v>
      </c>
      <c r="N251" s="35">
        <f t="shared" si="46"/>
        <v>54.30162</v>
      </c>
      <c r="O251" s="31">
        <f t="shared" si="47"/>
        <v>162.90486</v>
      </c>
      <c r="P251" s="31">
        <f t="shared" si="48"/>
        <v>0</v>
      </c>
      <c r="Q251" s="53" t="s">
        <v>216</v>
      </c>
    </row>
    <row r="252" s="1" customFormat="1" ht="48" outlineLevel="1" spans="1:17">
      <c r="A252" s="27">
        <v>20</v>
      </c>
      <c r="B252" s="28" t="s">
        <v>235</v>
      </c>
      <c r="C252" s="29" t="s">
        <v>236</v>
      </c>
      <c r="D252" s="28" t="s">
        <v>136</v>
      </c>
      <c r="E252" s="30">
        <v>2</v>
      </c>
      <c r="F252" s="30"/>
      <c r="G252" s="31">
        <v>8</v>
      </c>
      <c r="H252" s="31">
        <f t="shared" si="49"/>
        <v>27</v>
      </c>
      <c r="I252" s="31">
        <v>27</v>
      </c>
      <c r="J252" s="49">
        <v>0</v>
      </c>
      <c r="K252" s="31">
        <v>0.5</v>
      </c>
      <c r="L252" s="50">
        <f t="shared" si="39"/>
        <v>4.97</v>
      </c>
      <c r="M252" s="19">
        <f t="shared" si="40"/>
        <v>3.6423</v>
      </c>
      <c r="N252" s="35">
        <f t="shared" si="46"/>
        <v>44.1123</v>
      </c>
      <c r="O252" s="31">
        <f t="shared" si="47"/>
        <v>88.2246</v>
      </c>
      <c r="P252" s="31">
        <f t="shared" si="48"/>
        <v>0</v>
      </c>
      <c r="Q252" s="53" t="s">
        <v>216</v>
      </c>
    </row>
    <row r="253" s="1" customFormat="1" ht="48" outlineLevel="1" spans="1:17">
      <c r="A253" s="27">
        <v>21</v>
      </c>
      <c r="B253" s="28" t="s">
        <v>237</v>
      </c>
      <c r="C253" s="29" t="s">
        <v>238</v>
      </c>
      <c r="D253" s="28" t="s">
        <v>136</v>
      </c>
      <c r="E253" s="30">
        <v>1</v>
      </c>
      <c r="F253" s="30"/>
      <c r="G253" s="31">
        <v>8</v>
      </c>
      <c r="H253" s="31">
        <f t="shared" si="49"/>
        <v>27</v>
      </c>
      <c r="I253" s="31">
        <v>27</v>
      </c>
      <c r="J253" s="49">
        <v>0</v>
      </c>
      <c r="K253" s="31">
        <v>0.5</v>
      </c>
      <c r="L253" s="50">
        <f t="shared" si="39"/>
        <v>4.97</v>
      </c>
      <c r="M253" s="19">
        <f t="shared" si="40"/>
        <v>3.6423</v>
      </c>
      <c r="N253" s="35">
        <f t="shared" si="46"/>
        <v>44.1123</v>
      </c>
      <c r="O253" s="31">
        <f t="shared" si="47"/>
        <v>44.1123</v>
      </c>
      <c r="P253" s="31">
        <f t="shared" si="48"/>
        <v>0</v>
      </c>
      <c r="Q253" s="53" t="s">
        <v>216</v>
      </c>
    </row>
    <row r="254" s="1" customFormat="1" ht="48" outlineLevel="1" spans="1:17">
      <c r="A254" s="27">
        <v>22</v>
      </c>
      <c r="B254" s="28" t="s">
        <v>239</v>
      </c>
      <c r="C254" s="29" t="s">
        <v>240</v>
      </c>
      <c r="D254" s="28" t="s">
        <v>136</v>
      </c>
      <c r="E254" s="30">
        <v>3</v>
      </c>
      <c r="F254" s="30"/>
      <c r="G254" s="31">
        <v>8</v>
      </c>
      <c r="H254" s="31">
        <f t="shared" si="49"/>
        <v>16.5</v>
      </c>
      <c r="I254" s="31">
        <v>16.5</v>
      </c>
      <c r="J254" s="49">
        <v>0</v>
      </c>
      <c r="K254" s="31">
        <v>0.5</v>
      </c>
      <c r="L254" s="50">
        <f t="shared" si="39"/>
        <v>3.5</v>
      </c>
      <c r="M254" s="19">
        <f t="shared" si="40"/>
        <v>2.565</v>
      </c>
      <c r="N254" s="35">
        <f t="shared" si="46"/>
        <v>31.065</v>
      </c>
      <c r="O254" s="31">
        <f t="shared" si="47"/>
        <v>93.195</v>
      </c>
      <c r="P254" s="31">
        <f t="shared" si="48"/>
        <v>0</v>
      </c>
      <c r="Q254" s="53" t="s">
        <v>216</v>
      </c>
    </row>
    <row r="255" s="1" customFormat="1" ht="48" outlineLevel="1" spans="1:17">
      <c r="A255" s="27">
        <v>23</v>
      </c>
      <c r="B255" s="28" t="s">
        <v>241</v>
      </c>
      <c r="C255" s="29" t="s">
        <v>242</v>
      </c>
      <c r="D255" s="28" t="s">
        <v>136</v>
      </c>
      <c r="E255" s="30">
        <v>4</v>
      </c>
      <c r="F255" s="30"/>
      <c r="G255" s="31">
        <v>8</v>
      </c>
      <c r="H255" s="31">
        <f t="shared" si="49"/>
        <v>18.2</v>
      </c>
      <c r="I255" s="31">
        <v>18.2</v>
      </c>
      <c r="J255" s="49">
        <v>0</v>
      </c>
      <c r="K255" s="31">
        <v>0.5</v>
      </c>
      <c r="L255" s="50">
        <f t="shared" si="39"/>
        <v>3.738</v>
      </c>
      <c r="M255" s="19">
        <f t="shared" si="40"/>
        <v>2.73942</v>
      </c>
      <c r="N255" s="35">
        <f t="shared" si="46"/>
        <v>33.17742</v>
      </c>
      <c r="O255" s="31">
        <f t="shared" si="47"/>
        <v>132.70968</v>
      </c>
      <c r="P255" s="31">
        <f t="shared" si="48"/>
        <v>0</v>
      </c>
      <c r="Q255" s="53" t="s">
        <v>216</v>
      </c>
    </row>
    <row r="256" s="1" customFormat="1" ht="48" outlineLevel="1" spans="1:17">
      <c r="A256" s="27">
        <v>24</v>
      </c>
      <c r="B256" s="28" t="s">
        <v>243</v>
      </c>
      <c r="C256" s="29" t="s">
        <v>244</v>
      </c>
      <c r="D256" s="28" t="s">
        <v>136</v>
      </c>
      <c r="E256" s="30">
        <v>2</v>
      </c>
      <c r="F256" s="30"/>
      <c r="G256" s="31">
        <v>8</v>
      </c>
      <c r="H256" s="31">
        <f t="shared" si="49"/>
        <v>30.25</v>
      </c>
      <c r="I256" s="31">
        <v>30.25</v>
      </c>
      <c r="J256" s="49">
        <v>0</v>
      </c>
      <c r="K256" s="31">
        <v>0.5</v>
      </c>
      <c r="L256" s="50">
        <f t="shared" si="39"/>
        <v>5.425</v>
      </c>
      <c r="M256" s="19">
        <f t="shared" si="40"/>
        <v>3.97575</v>
      </c>
      <c r="N256" s="35">
        <f t="shared" si="46"/>
        <v>48.15075</v>
      </c>
      <c r="O256" s="31">
        <f t="shared" si="47"/>
        <v>96.3015</v>
      </c>
      <c r="P256" s="31">
        <f t="shared" si="48"/>
        <v>0</v>
      </c>
      <c r="Q256" s="53" t="s">
        <v>216</v>
      </c>
    </row>
    <row r="257" s="1" customFormat="1" ht="48" outlineLevel="1" spans="1:17">
      <c r="A257" s="27">
        <v>25</v>
      </c>
      <c r="B257" s="28" t="s">
        <v>245</v>
      </c>
      <c r="C257" s="29" t="s">
        <v>246</v>
      </c>
      <c r="D257" s="28" t="s">
        <v>136</v>
      </c>
      <c r="E257" s="30">
        <v>1</v>
      </c>
      <c r="F257" s="30"/>
      <c r="G257" s="31">
        <v>10</v>
      </c>
      <c r="H257" s="31">
        <f t="shared" si="49"/>
        <v>63.8</v>
      </c>
      <c r="I257" s="31">
        <v>63.8</v>
      </c>
      <c r="J257" s="49">
        <v>0</v>
      </c>
      <c r="K257" s="31">
        <v>0.5</v>
      </c>
      <c r="L257" s="50">
        <f t="shared" si="39"/>
        <v>10.402</v>
      </c>
      <c r="M257" s="19">
        <f t="shared" si="40"/>
        <v>7.62318</v>
      </c>
      <c r="N257" s="35">
        <f t="shared" si="46"/>
        <v>92.32518</v>
      </c>
      <c r="O257" s="31">
        <f t="shared" si="47"/>
        <v>92.32518</v>
      </c>
      <c r="P257" s="31">
        <f t="shared" si="48"/>
        <v>0</v>
      </c>
      <c r="Q257" s="53" t="s">
        <v>247</v>
      </c>
    </row>
    <row r="258" s="1" customFormat="1" ht="60" outlineLevel="1" spans="1:17">
      <c r="A258" s="27">
        <v>26</v>
      </c>
      <c r="B258" s="28" t="s">
        <v>248</v>
      </c>
      <c r="C258" s="29" t="s">
        <v>249</v>
      </c>
      <c r="D258" s="28" t="s">
        <v>136</v>
      </c>
      <c r="E258" s="30">
        <v>1</v>
      </c>
      <c r="F258" s="30"/>
      <c r="G258" s="31">
        <v>10</v>
      </c>
      <c r="H258" s="31">
        <f t="shared" si="49"/>
        <v>5</v>
      </c>
      <c r="I258" s="31">
        <v>5</v>
      </c>
      <c r="J258" s="49">
        <v>0</v>
      </c>
      <c r="K258" s="31">
        <v>0.5</v>
      </c>
      <c r="L258" s="50">
        <f t="shared" si="39"/>
        <v>2.17</v>
      </c>
      <c r="M258" s="19">
        <f t="shared" si="40"/>
        <v>1.5903</v>
      </c>
      <c r="N258" s="35">
        <f t="shared" si="46"/>
        <v>19.2603</v>
      </c>
      <c r="O258" s="31">
        <f t="shared" si="47"/>
        <v>19.2603</v>
      </c>
      <c r="P258" s="31">
        <f t="shared" si="48"/>
        <v>0</v>
      </c>
      <c r="Q258" s="53" t="s">
        <v>250</v>
      </c>
    </row>
    <row r="259" s="1" customFormat="1" ht="48" outlineLevel="1" spans="1:17">
      <c r="A259" s="27">
        <v>27</v>
      </c>
      <c r="B259" s="28" t="s">
        <v>251</v>
      </c>
      <c r="C259" s="29" t="s">
        <v>252</v>
      </c>
      <c r="D259" s="28" t="s">
        <v>136</v>
      </c>
      <c r="E259" s="30">
        <v>1</v>
      </c>
      <c r="F259" s="30"/>
      <c r="G259" s="31">
        <v>30</v>
      </c>
      <c r="H259" s="31">
        <f t="shared" si="49"/>
        <v>45</v>
      </c>
      <c r="I259" s="31">
        <v>45</v>
      </c>
      <c r="J259" s="49">
        <v>0</v>
      </c>
      <c r="K259" s="31">
        <v>0.5</v>
      </c>
      <c r="L259" s="50">
        <f t="shared" si="39"/>
        <v>10.57</v>
      </c>
      <c r="M259" s="19">
        <f t="shared" si="40"/>
        <v>7.7463</v>
      </c>
      <c r="N259" s="35">
        <f t="shared" si="46"/>
        <v>93.8163</v>
      </c>
      <c r="O259" s="31">
        <f t="shared" si="47"/>
        <v>93.8163</v>
      </c>
      <c r="P259" s="31">
        <f t="shared" si="48"/>
        <v>0</v>
      </c>
      <c r="Q259" s="53" t="s">
        <v>195</v>
      </c>
    </row>
    <row r="260" s="1" customFormat="1" ht="36" outlineLevel="1" spans="1:17">
      <c r="A260" s="27">
        <v>28</v>
      </c>
      <c r="B260" s="28" t="s">
        <v>253</v>
      </c>
      <c r="C260" s="29" t="s">
        <v>254</v>
      </c>
      <c r="D260" s="28" t="s">
        <v>136</v>
      </c>
      <c r="E260" s="30">
        <v>4</v>
      </c>
      <c r="F260" s="30"/>
      <c r="G260" s="31">
        <v>8</v>
      </c>
      <c r="H260" s="31">
        <f t="shared" si="49"/>
        <v>10.78</v>
      </c>
      <c r="I260" s="31">
        <v>10.78</v>
      </c>
      <c r="J260" s="49">
        <v>0</v>
      </c>
      <c r="K260" s="31">
        <v>0.5</v>
      </c>
      <c r="L260" s="50">
        <f t="shared" si="39"/>
        <v>2.6992</v>
      </c>
      <c r="M260" s="19">
        <f t="shared" si="40"/>
        <v>1.978128</v>
      </c>
      <c r="N260" s="35">
        <f t="shared" si="46"/>
        <v>23.957328</v>
      </c>
      <c r="O260" s="31">
        <f t="shared" si="47"/>
        <v>95.829312</v>
      </c>
      <c r="P260" s="31">
        <f t="shared" si="48"/>
        <v>0</v>
      </c>
      <c r="Q260" s="53" t="s">
        <v>216</v>
      </c>
    </row>
    <row r="261" s="1" customFormat="1" ht="36" outlineLevel="1" spans="1:17">
      <c r="A261" s="27">
        <v>29</v>
      </c>
      <c r="B261" s="28" t="s">
        <v>255</v>
      </c>
      <c r="C261" s="29" t="s">
        <v>256</v>
      </c>
      <c r="D261" s="28" t="s">
        <v>136</v>
      </c>
      <c r="E261" s="30">
        <v>2</v>
      </c>
      <c r="F261" s="30"/>
      <c r="G261" s="31">
        <v>8</v>
      </c>
      <c r="H261" s="31">
        <f t="shared" si="49"/>
        <v>30.25</v>
      </c>
      <c r="I261" s="31">
        <v>30.25</v>
      </c>
      <c r="J261" s="49">
        <v>0</v>
      </c>
      <c r="K261" s="31">
        <v>0.5</v>
      </c>
      <c r="L261" s="50">
        <f t="shared" si="39"/>
        <v>5.425</v>
      </c>
      <c r="M261" s="19">
        <f t="shared" si="40"/>
        <v>3.97575</v>
      </c>
      <c r="N261" s="35">
        <f t="shared" si="46"/>
        <v>48.15075</v>
      </c>
      <c r="O261" s="31">
        <f t="shared" si="47"/>
        <v>96.3015</v>
      </c>
      <c r="P261" s="31">
        <f t="shared" si="48"/>
        <v>0</v>
      </c>
      <c r="Q261" s="53" t="s">
        <v>216</v>
      </c>
    </row>
    <row r="262" s="1" customFormat="1" ht="36" outlineLevel="1" spans="1:17">
      <c r="A262" s="27">
        <v>30</v>
      </c>
      <c r="B262" s="28" t="s">
        <v>259</v>
      </c>
      <c r="C262" s="29" t="s">
        <v>260</v>
      </c>
      <c r="D262" s="28" t="s">
        <v>136</v>
      </c>
      <c r="E262" s="30">
        <f>2+2</f>
        <v>4</v>
      </c>
      <c r="F262" s="30"/>
      <c r="G262" s="31">
        <v>8</v>
      </c>
      <c r="H262" s="31">
        <f t="shared" si="49"/>
        <v>33.55</v>
      </c>
      <c r="I262" s="31">
        <v>33.55</v>
      </c>
      <c r="J262" s="49">
        <v>0</v>
      </c>
      <c r="K262" s="31">
        <v>0.5</v>
      </c>
      <c r="L262" s="50">
        <f t="shared" si="39"/>
        <v>5.887</v>
      </c>
      <c r="M262" s="19">
        <f t="shared" si="40"/>
        <v>4.31433</v>
      </c>
      <c r="N262" s="35">
        <f t="shared" ref="N262:N268" si="50">G262+H262+K262+L262+M262</f>
        <v>52.25133</v>
      </c>
      <c r="O262" s="31">
        <f t="shared" ref="O262:O267" si="51">N262*E262</f>
        <v>209.00532</v>
      </c>
      <c r="P262" s="31">
        <f t="shared" si="48"/>
        <v>0</v>
      </c>
      <c r="Q262" s="53" t="s">
        <v>216</v>
      </c>
    </row>
    <row r="263" s="1" customFormat="1" ht="48" outlineLevel="1" spans="1:17">
      <c r="A263" s="27">
        <v>31</v>
      </c>
      <c r="B263" s="33" t="s">
        <v>261</v>
      </c>
      <c r="C263" s="34" t="s">
        <v>262</v>
      </c>
      <c r="D263" s="35" t="s">
        <v>84</v>
      </c>
      <c r="E263" s="35">
        <v>190.42</v>
      </c>
      <c r="F263" s="35">
        <f>E263</f>
        <v>190.42</v>
      </c>
      <c r="G263" s="31">
        <v>3</v>
      </c>
      <c r="H263" s="31">
        <f t="shared" si="49"/>
        <v>1.575</v>
      </c>
      <c r="I263" s="31">
        <v>1.5</v>
      </c>
      <c r="J263" s="49">
        <v>0.05</v>
      </c>
      <c r="K263" s="31">
        <v>0.3</v>
      </c>
      <c r="L263" s="50">
        <f t="shared" si="39"/>
        <v>0.6825</v>
      </c>
      <c r="M263" s="19">
        <f t="shared" si="40"/>
        <v>0.500175</v>
      </c>
      <c r="N263" s="35">
        <f t="shared" si="50"/>
        <v>6.057675</v>
      </c>
      <c r="O263" s="31">
        <f t="shared" si="51"/>
        <v>1153.5024735</v>
      </c>
      <c r="P263" s="31">
        <f t="shared" si="48"/>
        <v>1153.5024735</v>
      </c>
      <c r="Q263" s="53" t="s">
        <v>263</v>
      </c>
    </row>
    <row r="264" s="1" customFormat="1" ht="48" outlineLevel="1" spans="1:17">
      <c r="A264" s="27">
        <v>32</v>
      </c>
      <c r="B264" s="33" t="s">
        <v>261</v>
      </c>
      <c r="C264" s="34" t="s">
        <v>264</v>
      </c>
      <c r="D264" s="35" t="s">
        <v>84</v>
      </c>
      <c r="E264" s="35">
        <v>364.79</v>
      </c>
      <c r="F264" s="35">
        <f>E264</f>
        <v>364.79</v>
      </c>
      <c r="G264" s="31">
        <v>3</v>
      </c>
      <c r="H264" s="31">
        <f t="shared" si="49"/>
        <v>2.415</v>
      </c>
      <c r="I264" s="31">
        <v>2.3</v>
      </c>
      <c r="J264" s="49">
        <v>0.05</v>
      </c>
      <c r="K264" s="31">
        <v>0.3</v>
      </c>
      <c r="L264" s="50">
        <f t="shared" si="39"/>
        <v>0.8001</v>
      </c>
      <c r="M264" s="19">
        <f t="shared" si="40"/>
        <v>0.586359</v>
      </c>
      <c r="N264" s="35">
        <f t="shared" si="50"/>
        <v>7.101459</v>
      </c>
      <c r="O264" s="31">
        <f t="shared" si="51"/>
        <v>2590.54122861</v>
      </c>
      <c r="P264" s="31">
        <f t="shared" si="48"/>
        <v>2590.54122861</v>
      </c>
      <c r="Q264" s="53" t="s">
        <v>263</v>
      </c>
    </row>
    <row r="265" s="1" customFormat="1" ht="48" outlineLevel="1" spans="1:17">
      <c r="A265" s="27">
        <v>33</v>
      </c>
      <c r="B265" s="33" t="s">
        <v>265</v>
      </c>
      <c r="C265" s="34" t="s">
        <v>266</v>
      </c>
      <c r="D265" s="35" t="s">
        <v>84</v>
      </c>
      <c r="E265" s="35">
        <v>23.79</v>
      </c>
      <c r="F265" s="35">
        <f>E265</f>
        <v>23.79</v>
      </c>
      <c r="G265" s="31">
        <v>5</v>
      </c>
      <c r="H265" s="31">
        <f t="shared" si="49"/>
        <v>2.625</v>
      </c>
      <c r="I265" s="31">
        <v>2.5</v>
      </c>
      <c r="J265" s="49">
        <v>0.05</v>
      </c>
      <c r="K265" s="31">
        <v>0.5</v>
      </c>
      <c r="L265" s="50">
        <f t="shared" si="39"/>
        <v>1.1375</v>
      </c>
      <c r="M265" s="19">
        <f t="shared" si="40"/>
        <v>0.833625</v>
      </c>
      <c r="N265" s="35">
        <f t="shared" si="50"/>
        <v>10.096125</v>
      </c>
      <c r="O265" s="31">
        <f t="shared" si="51"/>
        <v>240.18681375</v>
      </c>
      <c r="P265" s="31">
        <f t="shared" si="48"/>
        <v>240.18681375</v>
      </c>
      <c r="Q265" s="53" t="s">
        <v>267</v>
      </c>
    </row>
    <row r="266" s="1" customFormat="1" ht="48" outlineLevel="1" spans="1:17">
      <c r="A266" s="27">
        <v>34</v>
      </c>
      <c r="B266" s="33" t="s">
        <v>268</v>
      </c>
      <c r="C266" s="34" t="s">
        <v>269</v>
      </c>
      <c r="D266" s="35" t="s">
        <v>84</v>
      </c>
      <c r="E266" s="35">
        <v>5.64</v>
      </c>
      <c r="F266" s="35">
        <f>E266</f>
        <v>5.64</v>
      </c>
      <c r="G266" s="31">
        <v>5</v>
      </c>
      <c r="H266" s="31">
        <f t="shared" si="49"/>
        <v>1.575</v>
      </c>
      <c r="I266" s="31">
        <v>1.5</v>
      </c>
      <c r="J266" s="49">
        <v>0.05</v>
      </c>
      <c r="K266" s="31">
        <v>0.5</v>
      </c>
      <c r="L266" s="50">
        <f t="shared" si="39"/>
        <v>0.9905</v>
      </c>
      <c r="M266" s="19">
        <f t="shared" si="40"/>
        <v>0.725895</v>
      </c>
      <c r="N266" s="35">
        <f t="shared" si="50"/>
        <v>8.791395</v>
      </c>
      <c r="O266" s="31">
        <f t="shared" si="51"/>
        <v>49.5834678</v>
      </c>
      <c r="P266" s="31">
        <f t="shared" si="48"/>
        <v>49.5834678</v>
      </c>
      <c r="Q266" s="53"/>
    </row>
    <row r="267" s="1" customFormat="1" ht="48" outlineLevel="1" spans="1:17">
      <c r="A267" s="27">
        <v>35</v>
      </c>
      <c r="B267" s="33" t="s">
        <v>270</v>
      </c>
      <c r="C267" s="34" t="s">
        <v>271</v>
      </c>
      <c r="D267" s="35" t="s">
        <v>84</v>
      </c>
      <c r="E267" s="35">
        <v>5.18</v>
      </c>
      <c r="F267" s="35">
        <f>E267</f>
        <v>5.18</v>
      </c>
      <c r="G267" s="31">
        <v>5</v>
      </c>
      <c r="H267" s="31">
        <f t="shared" si="49"/>
        <v>3.675</v>
      </c>
      <c r="I267" s="31">
        <v>3.5</v>
      </c>
      <c r="J267" s="49">
        <v>0.05</v>
      </c>
      <c r="K267" s="31">
        <v>0.5</v>
      </c>
      <c r="L267" s="50">
        <f t="shared" si="39"/>
        <v>1.2845</v>
      </c>
      <c r="M267" s="19">
        <f t="shared" si="40"/>
        <v>0.941355</v>
      </c>
      <c r="N267" s="35">
        <f t="shared" si="50"/>
        <v>11.400855</v>
      </c>
      <c r="O267" s="31">
        <f t="shared" si="51"/>
        <v>59.0564289</v>
      </c>
      <c r="P267" s="31">
        <f t="shared" si="48"/>
        <v>59.0564289</v>
      </c>
      <c r="Q267" s="53"/>
    </row>
    <row r="268" s="1" customFormat="1" spans="1:17">
      <c r="A268" s="27">
        <v>36</v>
      </c>
      <c r="B268" s="36" t="s">
        <v>54</v>
      </c>
      <c r="C268" s="36"/>
      <c r="D268" s="36" t="s">
        <v>272</v>
      </c>
      <c r="E268" s="37"/>
      <c r="F268" s="37"/>
      <c r="G268" s="27"/>
      <c r="H268" s="37"/>
      <c r="I268" s="37"/>
      <c r="J268" s="51"/>
      <c r="K268" s="37"/>
      <c r="L268" s="50"/>
      <c r="M268" s="19"/>
      <c r="N268" s="35"/>
      <c r="O268" s="31">
        <f>SUM(O233:O267)</f>
        <v>8900.76318456</v>
      </c>
      <c r="P268" s="31">
        <f>SUM(P233:P267)</f>
        <v>4092.87041256</v>
      </c>
      <c r="Q268" s="53"/>
    </row>
    <row r="269" s="1" customFormat="1" spans="1:17">
      <c r="A269" s="27" t="s">
        <v>273</v>
      </c>
      <c r="B269" s="25" t="s">
        <v>321</v>
      </c>
      <c r="C269" s="25" t="s">
        <v>191</v>
      </c>
      <c r="D269" s="25" t="s">
        <v>192</v>
      </c>
      <c r="E269" s="37"/>
      <c r="F269" s="37"/>
      <c r="G269" s="27"/>
      <c r="H269" s="37"/>
      <c r="I269" s="37"/>
      <c r="J269" s="51"/>
      <c r="K269" s="37"/>
      <c r="L269" s="50"/>
      <c r="M269" s="19"/>
      <c r="N269" s="35"/>
      <c r="O269" s="31"/>
      <c r="P269" s="31"/>
      <c r="Q269" s="53"/>
    </row>
    <row r="270" s="1" customFormat="1" ht="48" outlineLevel="1" spans="1:17">
      <c r="A270" s="27">
        <v>1</v>
      </c>
      <c r="B270" s="28" t="s">
        <v>275</v>
      </c>
      <c r="C270" s="29" t="s">
        <v>276</v>
      </c>
      <c r="D270" s="28" t="s">
        <v>277</v>
      </c>
      <c r="E270" s="27">
        <v>1</v>
      </c>
      <c r="F270" s="27"/>
      <c r="G270" s="27">
        <v>80</v>
      </c>
      <c r="H270" s="27">
        <f>I270*(1+J270)</f>
        <v>650</v>
      </c>
      <c r="I270" s="27">
        <v>650</v>
      </c>
      <c r="J270" s="51">
        <v>0</v>
      </c>
      <c r="K270" s="27">
        <v>15</v>
      </c>
      <c r="L270" s="50">
        <f>(G270+H270+K270)*$L$4</f>
        <v>104.3</v>
      </c>
      <c r="M270" s="19">
        <f>(G270+H270+K270+L270)*$M$4</f>
        <v>76.437</v>
      </c>
      <c r="N270" s="35">
        <f t="shared" ref="N270:N286" si="52">G270+H270+K270+L270+M270</f>
        <v>925.737</v>
      </c>
      <c r="O270" s="31">
        <f t="shared" ref="O270:O286" si="53">N270*E270</f>
        <v>925.737</v>
      </c>
      <c r="P270" s="31">
        <f>F270*N270</f>
        <v>0</v>
      </c>
      <c r="Q270" s="53" t="s">
        <v>137</v>
      </c>
    </row>
    <row r="271" s="1" customFormat="1" ht="48" outlineLevel="1" spans="1:17">
      <c r="A271" s="27">
        <v>2</v>
      </c>
      <c r="B271" s="28" t="s">
        <v>278</v>
      </c>
      <c r="C271" s="29" t="s">
        <v>312</v>
      </c>
      <c r="D271" s="28" t="s">
        <v>277</v>
      </c>
      <c r="E271" s="27">
        <v>1</v>
      </c>
      <c r="F271" s="27"/>
      <c r="G271" s="27">
        <v>300</v>
      </c>
      <c r="H271" s="27">
        <f>I271*(1+J271)</f>
        <v>750</v>
      </c>
      <c r="I271" s="27">
        <v>750</v>
      </c>
      <c r="J271" s="52">
        <v>0</v>
      </c>
      <c r="K271" s="27">
        <v>10</v>
      </c>
      <c r="L271" s="50">
        <f>(G271+H271+K271)*$L$4</f>
        <v>148.4</v>
      </c>
      <c r="M271" s="19">
        <f>(G271+H271+K271+L271)*$M$4</f>
        <v>108.756</v>
      </c>
      <c r="N271" s="35">
        <f t="shared" si="52"/>
        <v>1317.156</v>
      </c>
      <c r="O271" s="31">
        <f t="shared" si="53"/>
        <v>1317.156</v>
      </c>
      <c r="P271" s="31">
        <f t="shared" ref="P271:P286" si="54">F271*N271</f>
        <v>0</v>
      </c>
      <c r="Q271" s="53" t="s">
        <v>280</v>
      </c>
    </row>
    <row r="272" s="1" customFormat="1" ht="48" outlineLevel="1" spans="1:17">
      <c r="A272" s="27">
        <v>3</v>
      </c>
      <c r="B272" s="28" t="s">
        <v>281</v>
      </c>
      <c r="C272" s="29" t="s">
        <v>282</v>
      </c>
      <c r="D272" s="28" t="s">
        <v>277</v>
      </c>
      <c r="E272" s="27">
        <v>1</v>
      </c>
      <c r="F272" s="27"/>
      <c r="G272" s="27">
        <v>80</v>
      </c>
      <c r="H272" s="27">
        <f>I272*(1+J272)</f>
        <v>580</v>
      </c>
      <c r="I272" s="27">
        <v>580</v>
      </c>
      <c r="J272" s="52">
        <v>0</v>
      </c>
      <c r="K272" s="27">
        <v>20</v>
      </c>
      <c r="L272" s="50">
        <f>(G272+H272+K272)*$L$4</f>
        <v>95.2</v>
      </c>
      <c r="M272" s="19">
        <f>(G272+H272+K272+L272)*$M$4</f>
        <v>69.768</v>
      </c>
      <c r="N272" s="35">
        <f t="shared" si="52"/>
        <v>844.968</v>
      </c>
      <c r="O272" s="31">
        <f t="shared" si="53"/>
        <v>844.968</v>
      </c>
      <c r="P272" s="31">
        <f t="shared" si="54"/>
        <v>0</v>
      </c>
      <c r="Q272" s="53" t="s">
        <v>137</v>
      </c>
    </row>
    <row r="273" s="1" customFormat="1" ht="60" outlineLevel="1" spans="1:17">
      <c r="A273" s="27">
        <v>4</v>
      </c>
      <c r="B273" s="28" t="s">
        <v>283</v>
      </c>
      <c r="C273" s="29" t="s">
        <v>322</v>
      </c>
      <c r="D273" s="28" t="s">
        <v>277</v>
      </c>
      <c r="E273" s="27">
        <v>1</v>
      </c>
      <c r="F273" s="27"/>
      <c r="G273" s="27">
        <v>100</v>
      </c>
      <c r="H273" s="27">
        <f>I273*(1+J273)</f>
        <v>1580</v>
      </c>
      <c r="I273" s="27">
        <v>1580</v>
      </c>
      <c r="J273" s="52">
        <v>0</v>
      </c>
      <c r="K273" s="27">
        <v>30</v>
      </c>
      <c r="L273" s="50">
        <f>(G273+H273+K273)*$L$4</f>
        <v>239.4</v>
      </c>
      <c r="M273" s="19">
        <f>(G273+H273+K273+L273)*$M$4</f>
        <v>175.446</v>
      </c>
      <c r="N273" s="35">
        <f t="shared" si="52"/>
        <v>2124.846</v>
      </c>
      <c r="O273" s="31">
        <f t="shared" si="53"/>
        <v>2124.846</v>
      </c>
      <c r="P273" s="31">
        <f t="shared" si="54"/>
        <v>0</v>
      </c>
      <c r="Q273" s="53" t="s">
        <v>137</v>
      </c>
    </row>
    <row r="274" s="1" customFormat="1" ht="48" outlineLevel="1" spans="1:17">
      <c r="A274" s="27">
        <v>5</v>
      </c>
      <c r="B274" s="28" t="s">
        <v>285</v>
      </c>
      <c r="C274" s="29" t="s">
        <v>286</v>
      </c>
      <c r="D274" s="28" t="s">
        <v>277</v>
      </c>
      <c r="E274" s="27">
        <v>1</v>
      </c>
      <c r="F274" s="27"/>
      <c r="G274" s="27">
        <v>15</v>
      </c>
      <c r="H274" s="27">
        <f>I274*(1+J274)</f>
        <v>40</v>
      </c>
      <c r="I274" s="27">
        <v>40</v>
      </c>
      <c r="J274" s="52">
        <v>0</v>
      </c>
      <c r="K274" s="27">
        <v>5</v>
      </c>
      <c r="L274" s="50">
        <f>(G274+H274+K274)*$L$4</f>
        <v>8.4</v>
      </c>
      <c r="M274" s="19">
        <f>(G274+H274+K274+L274)*$M$4</f>
        <v>6.156</v>
      </c>
      <c r="N274" s="35">
        <f t="shared" si="52"/>
        <v>74.556</v>
      </c>
      <c r="O274" s="31">
        <f t="shared" si="53"/>
        <v>74.556</v>
      </c>
      <c r="P274" s="31">
        <f t="shared" si="54"/>
        <v>0</v>
      </c>
      <c r="Q274" s="53" t="s">
        <v>137</v>
      </c>
    </row>
    <row r="275" s="1" customFormat="1" ht="48" outlineLevel="1" spans="1:17">
      <c r="A275" s="27">
        <v>6</v>
      </c>
      <c r="B275" s="28" t="s">
        <v>287</v>
      </c>
      <c r="C275" s="29" t="s">
        <v>288</v>
      </c>
      <c r="D275" s="28" t="s">
        <v>277</v>
      </c>
      <c r="E275" s="27">
        <v>1</v>
      </c>
      <c r="F275" s="27"/>
      <c r="G275" s="27">
        <v>15</v>
      </c>
      <c r="H275" s="37">
        <f t="shared" ref="H275:H286" si="55">I275*(1+J275)</f>
        <v>30</v>
      </c>
      <c r="I275" s="37">
        <v>30</v>
      </c>
      <c r="J275" s="51">
        <v>0</v>
      </c>
      <c r="K275" s="37">
        <v>2</v>
      </c>
      <c r="L275" s="50">
        <f>(G275+H275+K275)*$L$4</f>
        <v>6.58</v>
      </c>
      <c r="M275" s="19">
        <f>(G275+H275+K275+L275)*$M$4</f>
        <v>4.8222</v>
      </c>
      <c r="N275" s="35">
        <f t="shared" si="52"/>
        <v>58.4022</v>
      </c>
      <c r="O275" s="31">
        <f t="shared" si="53"/>
        <v>58.4022</v>
      </c>
      <c r="P275" s="31">
        <f t="shared" si="54"/>
        <v>0</v>
      </c>
      <c r="Q275" s="53" t="s">
        <v>137</v>
      </c>
    </row>
    <row r="276" s="1" customFormat="1" ht="33.75" outlineLevel="1" spans="1:17">
      <c r="A276" s="27">
        <v>7</v>
      </c>
      <c r="B276" s="38" t="s">
        <v>289</v>
      </c>
      <c r="C276" s="39" t="s">
        <v>290</v>
      </c>
      <c r="D276" s="38" t="s">
        <v>277</v>
      </c>
      <c r="E276" s="27">
        <v>2</v>
      </c>
      <c r="F276" s="27"/>
      <c r="G276" s="27">
        <v>15</v>
      </c>
      <c r="H276" s="37">
        <f t="shared" si="55"/>
        <v>30</v>
      </c>
      <c r="I276" s="37">
        <v>30</v>
      </c>
      <c r="J276" s="51">
        <v>0</v>
      </c>
      <c r="K276" s="37">
        <v>2</v>
      </c>
      <c r="L276" s="50">
        <f>(G276+H276+K276)*$L$4</f>
        <v>6.58</v>
      </c>
      <c r="M276" s="19">
        <f>(G276+H276+K276+L276)*$M$4</f>
        <v>4.8222</v>
      </c>
      <c r="N276" s="35">
        <f t="shared" si="52"/>
        <v>58.4022</v>
      </c>
      <c r="O276" s="31">
        <f t="shared" si="53"/>
        <v>116.8044</v>
      </c>
      <c r="P276" s="31">
        <f t="shared" si="54"/>
        <v>0</v>
      </c>
      <c r="Q276" s="53" t="s">
        <v>137</v>
      </c>
    </row>
    <row r="277" s="1" customFormat="1" ht="36" outlineLevel="1" spans="1:17">
      <c r="A277" s="27">
        <v>8</v>
      </c>
      <c r="B277" s="28" t="s">
        <v>291</v>
      </c>
      <c r="C277" s="29" t="s">
        <v>292</v>
      </c>
      <c r="D277" s="28" t="s">
        <v>277</v>
      </c>
      <c r="E277" s="27">
        <v>1</v>
      </c>
      <c r="F277" s="27"/>
      <c r="G277" s="27">
        <v>100</v>
      </c>
      <c r="H277" s="27">
        <f t="shared" si="55"/>
        <v>1500</v>
      </c>
      <c r="I277" s="27">
        <v>1500</v>
      </c>
      <c r="J277" s="52">
        <v>0</v>
      </c>
      <c r="K277" s="27">
        <v>20</v>
      </c>
      <c r="L277" s="50">
        <f>(G277+H277+K277)*$L$4</f>
        <v>226.8</v>
      </c>
      <c r="M277" s="19">
        <f>(G277+H277+K277+L277)*$M$4</f>
        <v>166.212</v>
      </c>
      <c r="N277" s="35">
        <f t="shared" si="52"/>
        <v>2013.012</v>
      </c>
      <c r="O277" s="31">
        <f t="shared" si="53"/>
        <v>2013.012</v>
      </c>
      <c r="P277" s="31">
        <f t="shared" si="54"/>
        <v>0</v>
      </c>
      <c r="Q277" s="53" t="s">
        <v>293</v>
      </c>
    </row>
    <row r="278" s="1" customFormat="1" ht="36" outlineLevel="1" spans="1:17">
      <c r="A278" s="27">
        <v>9</v>
      </c>
      <c r="B278" s="28" t="s">
        <v>294</v>
      </c>
      <c r="C278" s="29" t="s">
        <v>295</v>
      </c>
      <c r="D278" s="28" t="s">
        <v>277</v>
      </c>
      <c r="E278" s="27">
        <v>1</v>
      </c>
      <c r="F278" s="27"/>
      <c r="G278" s="27">
        <v>300</v>
      </c>
      <c r="H278" s="27">
        <f t="shared" si="55"/>
        <v>600</v>
      </c>
      <c r="I278" s="27">
        <v>600</v>
      </c>
      <c r="J278" s="52">
        <v>0</v>
      </c>
      <c r="K278" s="27">
        <v>30</v>
      </c>
      <c r="L278" s="50">
        <f>(G278+H278+K278)*$L$4</f>
        <v>130.2</v>
      </c>
      <c r="M278" s="19">
        <f>(G278+H278+K278+L278)*$M$4</f>
        <v>95.418</v>
      </c>
      <c r="N278" s="35">
        <f t="shared" si="52"/>
        <v>1155.618</v>
      </c>
      <c r="O278" s="31">
        <f t="shared" si="53"/>
        <v>1155.618</v>
      </c>
      <c r="P278" s="31">
        <f t="shared" si="54"/>
        <v>0</v>
      </c>
      <c r="Q278" s="53" t="s">
        <v>293</v>
      </c>
    </row>
    <row r="279" s="1" customFormat="1" ht="60" outlineLevel="1" spans="1:17">
      <c r="A279" s="27">
        <v>10</v>
      </c>
      <c r="B279" s="28" t="s">
        <v>296</v>
      </c>
      <c r="C279" s="29" t="s">
        <v>284</v>
      </c>
      <c r="D279" s="28" t="s">
        <v>277</v>
      </c>
      <c r="E279" s="27">
        <v>1</v>
      </c>
      <c r="F279" s="27"/>
      <c r="G279" s="27">
        <v>80</v>
      </c>
      <c r="H279" s="27">
        <f t="shared" si="55"/>
        <v>650</v>
      </c>
      <c r="I279" s="27">
        <v>650</v>
      </c>
      <c r="J279" s="52">
        <v>0</v>
      </c>
      <c r="K279" s="27">
        <v>10</v>
      </c>
      <c r="L279" s="50">
        <f>(G279+H279+K279)*$L$4</f>
        <v>103.6</v>
      </c>
      <c r="M279" s="19">
        <f>(G279+H279+K279+L279)*$M$4</f>
        <v>75.924</v>
      </c>
      <c r="N279" s="35">
        <f t="shared" si="52"/>
        <v>919.524</v>
      </c>
      <c r="O279" s="31">
        <f t="shared" si="53"/>
        <v>919.524</v>
      </c>
      <c r="P279" s="31">
        <f t="shared" si="54"/>
        <v>0</v>
      </c>
      <c r="Q279" s="53" t="s">
        <v>137</v>
      </c>
    </row>
    <row r="280" s="1" customFormat="1" ht="48" outlineLevel="1" spans="1:17">
      <c r="A280" s="27">
        <v>11</v>
      </c>
      <c r="B280" s="28" t="s">
        <v>298</v>
      </c>
      <c r="C280" s="29" t="s">
        <v>299</v>
      </c>
      <c r="D280" s="28" t="s">
        <v>136</v>
      </c>
      <c r="E280" s="27">
        <v>1</v>
      </c>
      <c r="F280" s="27">
        <v>1</v>
      </c>
      <c r="G280" s="27">
        <v>5</v>
      </c>
      <c r="H280" s="27">
        <f t="shared" si="55"/>
        <v>22</v>
      </c>
      <c r="I280" s="27">
        <v>22</v>
      </c>
      <c r="J280" s="52">
        <v>0</v>
      </c>
      <c r="K280" s="27">
        <v>2</v>
      </c>
      <c r="L280" s="50">
        <f>(G280+H280+K280)*$L$4</f>
        <v>4.06</v>
      </c>
      <c r="M280" s="19">
        <f>(G280+H280+K280+L280)*$M$4</f>
        <v>2.9754</v>
      </c>
      <c r="N280" s="35">
        <f t="shared" si="52"/>
        <v>36.0354</v>
      </c>
      <c r="O280" s="31">
        <f t="shared" si="53"/>
        <v>36.0354</v>
      </c>
      <c r="P280" s="31">
        <f t="shared" si="54"/>
        <v>36.0354</v>
      </c>
      <c r="Q280" s="53" t="s">
        <v>300</v>
      </c>
    </row>
    <row r="281" s="1" customFormat="1" ht="48" outlineLevel="1" spans="1:17">
      <c r="A281" s="27">
        <v>12</v>
      </c>
      <c r="B281" s="28" t="s">
        <v>298</v>
      </c>
      <c r="C281" s="29" t="s">
        <v>301</v>
      </c>
      <c r="D281" s="28" t="s">
        <v>136</v>
      </c>
      <c r="E281" s="27">
        <v>1</v>
      </c>
      <c r="F281" s="27">
        <v>1</v>
      </c>
      <c r="G281" s="27">
        <v>5</v>
      </c>
      <c r="H281" s="27">
        <f t="shared" si="55"/>
        <v>20</v>
      </c>
      <c r="I281" s="27">
        <v>20</v>
      </c>
      <c r="J281" s="52">
        <v>0</v>
      </c>
      <c r="K281" s="27">
        <v>2</v>
      </c>
      <c r="L281" s="50">
        <f>(G281+H281+K281)*$L$4</f>
        <v>3.78</v>
      </c>
      <c r="M281" s="19">
        <f>(G281+H281+K281+L281)*$M$4</f>
        <v>2.7702</v>
      </c>
      <c r="N281" s="35">
        <f t="shared" si="52"/>
        <v>33.5502</v>
      </c>
      <c r="O281" s="31">
        <f t="shared" si="53"/>
        <v>33.5502</v>
      </c>
      <c r="P281" s="31">
        <f t="shared" si="54"/>
        <v>33.5502</v>
      </c>
      <c r="Q281" s="53" t="s">
        <v>300</v>
      </c>
    </row>
    <row r="282" s="1" customFormat="1" ht="36" outlineLevel="1" spans="1:17">
      <c r="A282" s="27">
        <v>13</v>
      </c>
      <c r="B282" s="28" t="s">
        <v>302</v>
      </c>
      <c r="C282" s="29" t="s">
        <v>303</v>
      </c>
      <c r="D282" s="28" t="s">
        <v>136</v>
      </c>
      <c r="E282" s="27">
        <v>1</v>
      </c>
      <c r="F282" s="27"/>
      <c r="G282" s="27">
        <v>15</v>
      </c>
      <c r="H282" s="27">
        <f t="shared" si="55"/>
        <v>50</v>
      </c>
      <c r="I282" s="27">
        <v>50</v>
      </c>
      <c r="J282" s="52">
        <v>0</v>
      </c>
      <c r="K282" s="27">
        <v>5</v>
      </c>
      <c r="L282" s="50">
        <f>(G282+H282+K282)*$L$4</f>
        <v>9.8</v>
      </c>
      <c r="M282" s="19">
        <f>(G282+H282+K282+L282)*$M$4</f>
        <v>7.182</v>
      </c>
      <c r="N282" s="35">
        <f t="shared" si="52"/>
        <v>86.982</v>
      </c>
      <c r="O282" s="31">
        <f t="shared" si="53"/>
        <v>86.982</v>
      </c>
      <c r="P282" s="31">
        <f t="shared" si="54"/>
        <v>0</v>
      </c>
      <c r="Q282" s="53"/>
    </row>
    <row r="283" s="1" customFormat="1" ht="48" outlineLevel="1" spans="1:17">
      <c r="A283" s="27">
        <v>14</v>
      </c>
      <c r="B283" s="28" t="s">
        <v>304</v>
      </c>
      <c r="C283" s="40" t="s">
        <v>305</v>
      </c>
      <c r="D283" s="35" t="s">
        <v>84</v>
      </c>
      <c r="E283" s="41">
        <v>6.38</v>
      </c>
      <c r="F283" s="41">
        <f>E283</f>
        <v>6.38</v>
      </c>
      <c r="G283" s="27">
        <v>12</v>
      </c>
      <c r="H283" s="27">
        <f t="shared" si="55"/>
        <v>7.35</v>
      </c>
      <c r="I283" s="27">
        <v>7</v>
      </c>
      <c r="J283" s="52">
        <v>0.05</v>
      </c>
      <c r="K283" s="27">
        <v>1</v>
      </c>
      <c r="L283" s="50">
        <f>(G283+H283+K283)*$L$4</f>
        <v>2.849</v>
      </c>
      <c r="M283" s="19">
        <f>(G283+H283+K283+L283)*$M$4</f>
        <v>2.08791</v>
      </c>
      <c r="N283" s="35">
        <f t="shared" si="52"/>
        <v>25.28691</v>
      </c>
      <c r="O283" s="31">
        <f t="shared" si="53"/>
        <v>161.3304858</v>
      </c>
      <c r="P283" s="31">
        <f t="shared" si="54"/>
        <v>161.3304858</v>
      </c>
      <c r="Q283" s="53" t="s">
        <v>300</v>
      </c>
    </row>
    <row r="284" s="1" customFormat="1" ht="48" outlineLevel="1" spans="1:17">
      <c r="A284" s="27">
        <v>15</v>
      </c>
      <c r="B284" s="28" t="s">
        <v>304</v>
      </c>
      <c r="C284" s="40" t="s">
        <v>306</v>
      </c>
      <c r="D284" s="35" t="s">
        <v>84</v>
      </c>
      <c r="E284" s="41">
        <v>5.85</v>
      </c>
      <c r="F284" s="41">
        <f>E284</f>
        <v>5.85</v>
      </c>
      <c r="G284" s="27">
        <v>12</v>
      </c>
      <c r="H284" s="27">
        <f t="shared" si="55"/>
        <v>5.25</v>
      </c>
      <c r="I284" s="27">
        <v>5</v>
      </c>
      <c r="J284" s="52">
        <v>0.05</v>
      </c>
      <c r="K284" s="27">
        <v>1</v>
      </c>
      <c r="L284" s="50">
        <f>(G284+H284+K284)*$L$4</f>
        <v>2.555</v>
      </c>
      <c r="M284" s="19">
        <f>(G284+H284+K284+L284)*$M$4</f>
        <v>1.87245</v>
      </c>
      <c r="N284" s="35">
        <f t="shared" si="52"/>
        <v>22.67745</v>
      </c>
      <c r="O284" s="31">
        <f t="shared" si="53"/>
        <v>132.6630825</v>
      </c>
      <c r="P284" s="31">
        <f t="shared" si="54"/>
        <v>132.6630825</v>
      </c>
      <c r="Q284" s="53" t="s">
        <v>300</v>
      </c>
    </row>
    <row r="285" s="1" customFormat="1" ht="48" outlineLevel="1" spans="1:17">
      <c r="A285" s="27">
        <v>16</v>
      </c>
      <c r="B285" s="28" t="s">
        <v>304</v>
      </c>
      <c r="C285" s="40" t="s">
        <v>307</v>
      </c>
      <c r="D285" s="35" t="s">
        <v>84</v>
      </c>
      <c r="E285" s="41">
        <v>2.31</v>
      </c>
      <c r="F285" s="41">
        <f>E285</f>
        <v>2.31</v>
      </c>
      <c r="G285" s="27">
        <v>12</v>
      </c>
      <c r="H285" s="27">
        <f t="shared" si="55"/>
        <v>8.4</v>
      </c>
      <c r="I285" s="27">
        <v>8</v>
      </c>
      <c r="J285" s="52">
        <v>0.05</v>
      </c>
      <c r="K285" s="27">
        <v>1</v>
      </c>
      <c r="L285" s="50">
        <f>(G285+H285+K285)*$L$4</f>
        <v>2.996</v>
      </c>
      <c r="M285" s="19">
        <f>(G285+H285+K285+L285)*$M$4</f>
        <v>2.19564</v>
      </c>
      <c r="N285" s="35">
        <f t="shared" si="52"/>
        <v>26.59164</v>
      </c>
      <c r="O285" s="31">
        <f t="shared" si="53"/>
        <v>61.4266884</v>
      </c>
      <c r="P285" s="31">
        <f t="shared" si="54"/>
        <v>61.4266884</v>
      </c>
      <c r="Q285" s="53" t="s">
        <v>300</v>
      </c>
    </row>
    <row r="286" s="1" customFormat="1" ht="48" outlineLevel="1" spans="1:17">
      <c r="A286" s="27">
        <v>17</v>
      </c>
      <c r="B286" s="28" t="s">
        <v>304</v>
      </c>
      <c r="C286" s="40" t="s">
        <v>308</v>
      </c>
      <c r="D286" s="35" t="s">
        <v>84</v>
      </c>
      <c r="E286" s="41">
        <v>6.63</v>
      </c>
      <c r="F286" s="41">
        <f>E286</f>
        <v>6.63</v>
      </c>
      <c r="G286" s="27">
        <v>12</v>
      </c>
      <c r="H286" s="27">
        <f t="shared" si="55"/>
        <v>6.3</v>
      </c>
      <c r="I286" s="27">
        <v>6</v>
      </c>
      <c r="J286" s="52">
        <v>0.05</v>
      </c>
      <c r="K286" s="27">
        <v>1</v>
      </c>
      <c r="L286" s="50">
        <f>(G286+H286+K286)*$L$4</f>
        <v>2.702</v>
      </c>
      <c r="M286" s="19">
        <f>(G286+H286+K286+L286)*$M$4</f>
        <v>1.98018</v>
      </c>
      <c r="N286" s="35">
        <f t="shared" si="52"/>
        <v>23.98218</v>
      </c>
      <c r="O286" s="31">
        <f t="shared" si="53"/>
        <v>159.0018534</v>
      </c>
      <c r="P286" s="31">
        <f t="shared" si="54"/>
        <v>159.0018534</v>
      </c>
      <c r="Q286" s="53" t="s">
        <v>300</v>
      </c>
    </row>
    <row r="287" s="1" customFormat="1" spans="1:17">
      <c r="A287" s="27">
        <v>18</v>
      </c>
      <c r="B287" s="36" t="s">
        <v>54</v>
      </c>
      <c r="C287" s="36"/>
      <c r="D287" s="36" t="s">
        <v>272</v>
      </c>
      <c r="E287" s="37"/>
      <c r="F287" s="37"/>
      <c r="G287" s="27"/>
      <c r="H287" s="37"/>
      <c r="I287" s="37"/>
      <c r="J287" s="51"/>
      <c r="K287" s="37"/>
      <c r="L287" s="37"/>
      <c r="M287" s="37"/>
      <c r="N287" s="35"/>
      <c r="O287" s="31">
        <f>SUM(O270:O286)</f>
        <v>10221.6133101</v>
      </c>
      <c r="P287" s="31">
        <f>SUM(P270:P286)</f>
        <v>584.0077101</v>
      </c>
      <c r="Q287" s="53"/>
    </row>
    <row r="288" s="1" customFormat="1" spans="1:17">
      <c r="A288" s="27" t="s">
        <v>152</v>
      </c>
      <c r="B288" s="36" t="s">
        <v>323</v>
      </c>
      <c r="C288" s="36" t="s">
        <v>191</v>
      </c>
      <c r="D288" s="36" t="s">
        <v>272</v>
      </c>
      <c r="E288" s="37"/>
      <c r="F288" s="37"/>
      <c r="G288" s="27"/>
      <c r="H288" s="37"/>
      <c r="I288" s="37"/>
      <c r="J288" s="51"/>
      <c r="K288" s="37"/>
      <c r="L288" s="37"/>
      <c r="M288" s="37"/>
      <c r="N288" s="35"/>
      <c r="O288" s="31">
        <f>O268+O287</f>
        <v>19122.37649466</v>
      </c>
      <c r="P288" s="31">
        <f>P268+P287</f>
        <v>4676.87812266</v>
      </c>
      <c r="Q288" s="53"/>
    </row>
  </sheetData>
  <autoFilter ref="A3:Q288">
    <extLst/>
  </autoFilter>
  <mergeCells count="14">
    <mergeCell ref="A1:Q1"/>
    <mergeCell ref="G2:M2"/>
    <mergeCell ref="A2:A4"/>
    <mergeCell ref="B2:B4"/>
    <mergeCell ref="C2:C4"/>
    <mergeCell ref="D2:D4"/>
    <mergeCell ref="E2:E4"/>
    <mergeCell ref="F2:F4"/>
    <mergeCell ref="G3:G4"/>
    <mergeCell ref="K3:K4"/>
    <mergeCell ref="N2:N4"/>
    <mergeCell ref="O2:O4"/>
    <mergeCell ref="P2:P4"/>
    <mergeCell ref="Q2:Q4"/>
  </mergeCells>
  <dataValidations count="2">
    <dataValidation type="list" allowBlank="1" showInputMessage="1" showErrorMessage="1" sqref="D6 D7 D8 D9 D10 D11 D46 D47 D48 D49 D50 D51 D52 D53 D54 D55 D56 D57 D65 D66 D67 D68 D102 D103 D104 D105 D106 D107 D108 D109 D110 D111 D112 D113 D121 D122 D123 D124 D158 D159 D160 D161 D162 D163 D164 D165 D166 D167 D168 D169 D177 D178 D179 D180 D214 D215 D216 D217 D218 D219 D220 D221 D222 D223 D224 D225 D233 D234 D235 D236 D237 D271 D272 D273 D274 D275 D276 D277 D278 D279 D280 D281 D282">
      <formula1>"m,m²,樘,套,件,项,个"</formula1>
    </dataValidation>
    <dataValidation type="list" allowBlank="1" showInputMessage="1" showErrorMessage="1" sqref="D45 D101 D157 D213 D270">
      <formula1>"m,m²,樘,套,件,项"</formula1>
    </dataValidation>
  </dataValidations>
  <pageMargins left="0.75" right="0.75" top="1" bottom="1" header="0.5" footer="0.5"/>
  <pageSetup paperSize="9" scale="7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进度款</vt:lpstr>
      <vt:lpstr>汇总表</vt:lpstr>
      <vt:lpstr>户内精装修</vt:lpstr>
      <vt:lpstr>安装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333</dc:creator>
  <cp:lastModifiedBy>岳鹏</cp:lastModifiedBy>
  <dcterms:created xsi:type="dcterms:W3CDTF">2022-09-22T08:35:00Z</dcterms:created>
  <dcterms:modified xsi:type="dcterms:W3CDTF">2024-06-15T01:56:45Z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7C1652D3F9E24E04B35447C6D6761C9C</vt:lpwstr>
  </property>
  <property fmtid="{D5CDD505-2E9C-101B-9397-08002B2CF9AE}" pid="3" name="KSOProductBuildVer">
    <vt:lpwstr>2052-12.1.0.16929</vt:lpwstr>
  </property>
  <property fmtid="{D5CDD505-2E9C-101B-9397-08002B2CF9AE}" pid="4" name="KSOReadingLayout">
    <vt:bool>true</vt:bool>
  </property>
</Properties>
</file>