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8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内装" sheetId="88" r:id="rId9"/>
    <sheet name="幕墙" sheetId="86" r:id="rId10"/>
    <sheet name="安装" sheetId="90" r:id="rId11"/>
    <sheet name="合同外增加室外监控系统" sheetId="91" r:id="rId12"/>
  </sheets>
  <externalReferences>
    <externalReference r:id="rId13"/>
  </externalReference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8" hidden="1">内装!$A$3:$J$77</definedName>
    <definedName name="_xlnm._FilterDatabase" localSheetId="10" hidden="1">安装!$A$2:$G$207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'2资料存档目录'!$A$1:$F$23</definedName>
    <definedName name="_xlnm.Print_Area" localSheetId="7">'4结算明细汇总表'!$A$1:$E$12</definedName>
    <definedName name="_xlnm.Print_Area" localSheetId="9">幕墙!$A$1:$I$14</definedName>
    <definedName name="w" localSheetId="8">EVALUATE(SUBSTITUTE(SUBSTITUTE(内装!#REF!,"[","*ISTEXT(""["),"]","]"")"))</definedName>
    <definedName name="_xlnm.Print_Area" localSheetId="10">安装!$A$1:$J$207</definedName>
    <definedName name="_xlnm.Print_Area" localSheetId="8">内装!$A$1:$J$77</definedName>
    <definedName name="_xlnm.Print_Titles" localSheetId="8">内装!$1:$3</definedName>
    <definedName name="_xlnm.Print_Titles" localSheetId="10">安装!$1:$4</definedName>
    <definedName name="_xlnm.Print_Area" localSheetId="11">合同外增加室外监控系统!$A$1:$H$20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<sst xmlns="http://schemas.openxmlformats.org/spreadsheetml/2006/main" count="1942" uniqueCount="1042">
  <si>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</si>
  <si>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</si>
  <si>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</si>
  <si>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</si>
  <si>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</si>
  <si>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</si>
  <si>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</si>
  <si>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</si>
  <si>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</si>
  <si>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</si>
  <si>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</si>
  <si>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</si>
  <si>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</si>
  <si>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</si>
  <si>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</si>
  <si>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</si>
  <si>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</si>
  <si>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</si>
  <si>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</si>
  <si>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</si>
  <si>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</si>
  <si>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</si>
  <si>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</si>
  <si>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</si>
  <si>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</si>
  <si>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</si>
  <si>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</si>
  <si>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</si>
  <si>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</si>
  <si>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</si>
  <si>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</si>
  <si>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</si>
  <si>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</si>
  <si>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</si>
  <si>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</si>
  <si>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</si>
  <si>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</si>
  <si>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</si>
  <si>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</si>
  <si>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</si>
  <si>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</si>
  <si>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</si>
  <si>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</si>
  <si>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</si>
  <si>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</si>
  <si>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</si>
  <si>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</si>
  <si>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</si>
  <si>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</si>
  <si>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</si>
  <si>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</si>
  <si>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</si>
  <si>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</si>
  <si>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</si>
  <si>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</si>
  <si>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</si>
  <si>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</si>
  <si>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</si>
  <si>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</si>
  <si>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</si>
  <si>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</si>
  <si>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</si>
  <si>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</si>
  <si>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</si>
  <si>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</si>
  <si>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</si>
  <si>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</si>
  <si>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</si>
  <si>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</si>
  <si>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</si>
  <si>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</si>
  <si>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</si>
  <si>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</si>
  <si>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</si>
  <si>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</si>
  <si>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</si>
  <si>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</si>
  <si>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</si>
  <si>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</si>
  <si>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</si>
  <si>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</si>
  <si>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</si>
  <si>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</si>
  <si>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</si>
  <si>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</si>
  <si>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</si>
  <si>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</si>
  <si>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</si>
  <si>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</si>
  <si>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</si>
  <si>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</si>
  <si>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</si>
  <si>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</si>
  <si>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</si>
  <si>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</si>
  <si>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</si>
  <si>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</si>
  <si>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</si>
  <si>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</si>
  <si>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</si>
  <si>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</si>
  <si>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</si>
  <si>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</si>
  <si>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</si>
  <si>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</si>
  <si>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</si>
  <si>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</si>
  <si>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</si>
  <si>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</si>
  <si>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</si>
  <si>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</si>
  <si>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</si>
  <si>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</si>
  <si>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</si>
  <si>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</si>
  <si>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</si>
  <si>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</si>
  <si>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</si>
  <si>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</si>
  <si>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</si>
  <si>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</si>
  <si>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</si>
  <si>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</si>
  <si>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</si>
  <si>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</si>
  <si>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</si>
  <si>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</si>
  <si>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</si>
  <si>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</si>
  <si>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</si>
  <si>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</si>
  <si>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</si>
  <si>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</si>
  <si>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</si>
  <si>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</si>
  <si>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</si>
  <si>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</si>
  <si>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</si>
  <si>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</si>
  <si>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</si>
  <si>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</si>
  <si>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</si>
  <si>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</si>
  <si>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</si>
  <si>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</si>
  <si>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</si>
  <si>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</si>
  <si>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</si>
  <si>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</si>
  <si>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</si>
  <si>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</si>
  <si>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</si>
  <si>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</si>
  <si>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</si>
  <si>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</si>
  <si>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</si>
  <si>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</si>
  <si>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</si>
  <si>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</si>
  <si>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</si>
  <si>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</si>
  <si>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</si>
  <si>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</si>
  <si>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</si>
  <si>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</si>
  <si>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</si>
  <si>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</si>
  <si>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</si>
  <si>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</si>
  <si>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</si>
  <si>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</si>
  <si>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</si>
  <si>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</si>
  <si>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</si>
  <si>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</si>
  <si>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</si>
  <si>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</si>
  <si>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</si>
  <si>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</si>
  <si>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</si>
  <si>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</si>
  <si>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</si>
  <si>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</si>
  <si>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</si>
  <si>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</si>
  <si>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</si>
  <si>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</si>
  <si>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</si>
  <si>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</si>
  <si>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</si>
  <si>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</si>
  <si>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</si>
  <si>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</si>
  <si>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</si>
  <si>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</si>
  <si>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</si>
  <si>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</si>
  <si>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</si>
  <si>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</si>
  <si>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</si>
  <si>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</si>
  <si>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</si>
  <si>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</si>
  <si>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</si>
  <si>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</si>
  <si>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</si>
  <si>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</si>
  <si>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</si>
  <si>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</si>
  <si>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</si>
  <si>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</si>
  <si>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</si>
  <si>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</si>
  <si>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</si>
  <si>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</si>
  <si>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</si>
  <si>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</si>
  <si>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</si>
  <si>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</si>
  <si>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</si>
  <si>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</si>
  <si>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</si>
  <si>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</si>
  <si>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</si>
  <si>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</si>
  <si>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</si>
  <si>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</si>
  <si>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</si>
  <si>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</si>
  <si>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</si>
  <si>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</si>
  <si>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</si>
  <si>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</si>
  <si>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</si>
  <si>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</si>
  <si>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</si>
  <si>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</si>
  <si>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</si>
  <si>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</si>
  <si>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</si>
  <si>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</si>
  <si>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</si>
  <si>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</si>
  <si>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</si>
  <si>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</si>
  <si>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</si>
  <si>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</si>
  <si>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</si>
  <si>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</si>
  <si>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</si>
  <si>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</si>
  <si>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</si>
  <si>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</si>
  <si>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</si>
  <si>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</si>
  <si>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</si>
  <si>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</si>
  <si>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</si>
  <si>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</si>
  <si>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</si>
  <si>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</si>
  <si>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</si>
  <si>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</si>
  <si>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</si>
  <si>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</si>
  <si>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</si>
  <si>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</si>
  <si>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</si>
  <si>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</si>
  <si>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</si>
  <si>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</si>
  <si>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</si>
  <si>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</si>
  <si>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</si>
  <si>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</si>
  <si>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</si>
  <si>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</si>
  <si>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</si>
  <si>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</si>
  <si>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</si>
  <si>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</si>
  <si>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</si>
  <si>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</si>
  <si>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</si>
  <si>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</si>
  <si>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</si>
  <si>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</si>
  <si>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</si>
  <si>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</si>
  <si>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</si>
  <si>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</si>
  <si>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</si>
  <si>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</si>
  <si>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</si>
  <si>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</si>
  <si>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</si>
  <si>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</si>
  <si>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</si>
  <si>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</si>
  <si>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</si>
  <si>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</si>
  <si>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</si>
  <si>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</si>
  <si>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</si>
  <si>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</si>
  <si>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</si>
  <si>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</si>
  <si>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</si>
  <si>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</si>
  <si>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</si>
  <si>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</si>
  <si>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</si>
  <si>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</si>
  <si>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</si>
  <si>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</si>
  <si>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</si>
  <si>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</si>
  <si>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</si>
  <si>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</si>
  <si>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</si>
  <si>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</si>
  <si>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</si>
  <si>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</si>
  <si>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</si>
  <si>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</si>
  <si>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</si>
  <si>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</si>
  <si>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</si>
  <si>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</si>
  <si>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</si>
  <si>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</si>
  <si>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</si>
  <si>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</si>
  <si>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</si>
  <si>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</si>
  <si>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</si>
  <si>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</si>
  <si>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</si>
  <si>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</si>
  <si>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</si>
  <si>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</si>
  <si>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</si>
  <si>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洛宁项目售楼部内外装工程施工合同 结算审批表</t>
  </si>
  <si>
    <t>项目名称</t>
  </si>
  <si>
    <t>洛宁山水文苑</t>
  </si>
  <si>
    <t>合同编号</t>
  </si>
  <si>
    <t>LNSSWY-JA-022</t>
  </si>
  <si>
    <t>合同名称</t>
  </si>
  <si>
    <t>洛宁项目售楼部内外装工程施工合同</t>
  </si>
  <si>
    <t>合同金额</t>
  </si>
  <si>
    <t>3282563.42元</t>
  </si>
  <si>
    <t>施工单位名称</t>
  </si>
  <si>
    <t>河南浩德装饰工程有限公司</t>
  </si>
  <si>
    <t>乙方送审价</t>
  </si>
  <si>
    <t>3641753.63元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</si>
  <si>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</si>
  <si>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</si>
  <si>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</si>
  <si>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</si>
  <si>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</si>
  <si>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</si>
  <si>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</si>
  <si>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</si>
  <si>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</si>
  <si>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</si>
  <si>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</si>
  <si>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</si>
  <si>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</si>
  <si>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</si>
  <si>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</si>
  <si>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</si>
  <si>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</si>
  <si>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</si>
  <si>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</si>
  <si>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</si>
  <si>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洛宁项目售楼部内外装工程施工合同结算审批表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</si>
  <si>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</si>
  <si>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</si>
  <si>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</si>
  <si>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</si>
  <si>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</si>
  <si>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</si>
  <si>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</si>
  <si>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</si>
  <si>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</si>
  <si>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洛宁项目售楼部内外装工程施工合同结算汇总表</t>
  </si>
  <si>
    <t>第4页</t>
  </si>
  <si>
    <t>洛宁项目售楼部内外装工程施工合同结算价明细汇总表</t>
  </si>
  <si>
    <t>第5页</t>
  </si>
  <si>
    <t>洛宁项目售楼部内外装工程施工合同结算价明细表</t>
  </si>
  <si>
    <t>1份15页</t>
  </si>
  <si>
    <t>第6-20页</t>
  </si>
  <si>
    <t>结算通知书（合同编号：LNSSWY-JA-022）</t>
  </si>
  <si>
    <t>第21页</t>
  </si>
  <si>
    <t>结算申请报告（合同编号：LNSSWY-JA-022）</t>
  </si>
  <si>
    <t>第22页</t>
  </si>
  <si>
    <t>工程验收单（合同编号：LNSSWY-JA-022）</t>
  </si>
  <si>
    <t>第23页</t>
  </si>
  <si>
    <t>复印件</t>
  </si>
  <si>
    <t>授权委托书（合同编号：LNSSWY-JA-022）</t>
  </si>
  <si>
    <t>1份2页</t>
  </si>
  <si>
    <t>第24页</t>
  </si>
  <si>
    <t>工程往来账目明细（合同编号：LNSSWY-JA-022）</t>
  </si>
  <si>
    <t>第25页</t>
  </si>
  <si>
    <t>水电费结清证明（合同编号：LNSSWY-JA-022）</t>
  </si>
  <si>
    <t>第26页</t>
  </si>
  <si>
    <t>洛宁项目售楼部内外装工程施工合同（含审批表）（合同编号：LNSSWY-JA-022）</t>
  </si>
  <si>
    <t>1份36页</t>
  </si>
  <si>
    <t>第27-62页</t>
  </si>
  <si>
    <t>工程结算资料核对确认表</t>
  </si>
  <si>
    <t>第63页</t>
  </si>
  <si>
    <t>施工单位报送预算</t>
  </si>
  <si>
    <t>第64-78页</t>
  </si>
  <si>
    <t>造价师：</t>
  </si>
  <si>
    <t>日期：</t>
  </si>
  <si>
    <t>工程结算汇总表</t>
  </si>
  <si>
    <t>合同编号：LNSSWY-JA-022                          合同金额：3282,563.42元</t>
  </si>
  <si>
    <t>合同名称：洛宁项目售楼部内外装工程施工合同</t>
  </si>
  <si>
    <t>甲    方：洛阳浩德浩康置业有限公司</t>
  </si>
  <si>
    <t>乙    方：河南浩德装饰工程有限公司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</si>
  <si>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</si>
  <si>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</si>
  <si>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</si>
  <si>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</si>
  <si>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</si>
  <si>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</si>
  <si>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</si>
  <si>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</si>
  <si>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</si>
  <si>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</si>
  <si>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</si>
  <si>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</si>
  <si>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</si>
  <si>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</si>
  <si>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</si>
  <si>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</si>
  <si>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</si>
  <si>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</si>
  <si>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</si>
  <si>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</si>
  <si>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</si>
  <si>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</si>
  <si>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</si>
  <si>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</si>
  <si>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</si>
  <si>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</si>
  <si>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</si>
  <si>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</si>
  <si>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</si>
  <si>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</si>
  <si>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</si>
  <si>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</si>
  <si>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</si>
  <si>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洛宁项目售楼部内外装工程施工合同
结算价明细汇总表</t>
  </si>
  <si>
    <t>单位</t>
  </si>
  <si>
    <t>金额（元）</t>
  </si>
  <si>
    <t>合同内结算</t>
  </si>
  <si>
    <t>内装</t>
  </si>
  <si>
    <t>元</t>
  </si>
  <si>
    <t>结算</t>
  </si>
  <si>
    <t>幕墙</t>
  </si>
  <si>
    <t>合同</t>
  </si>
  <si>
    <t>安装（1.3.1+1.3.2）</t>
  </si>
  <si>
    <t>1.3.1</t>
  </si>
  <si>
    <t>安装</t>
  </si>
  <si>
    <t>1.3.2</t>
  </si>
  <si>
    <t>合同外增加室外监控系统</t>
  </si>
  <si>
    <t>小计（1.1~1.3）</t>
  </si>
  <si>
    <t>经双方友好协商一致，该部分金额为</t>
  </si>
  <si>
    <t>舍尾数金额984.76元</t>
  </si>
  <si>
    <t>甲方代表：                                   乙方代表：</t>
  </si>
  <si>
    <t>日期：                                        日期：</t>
  </si>
  <si>
    <t>洛宁山水文苑室内精装修工程量清单-土建</t>
  </si>
  <si>
    <t>项目特征</t>
  </si>
  <si>
    <t>工程量</t>
  </si>
  <si>
    <t>综合单价（元）</t>
  </si>
  <si>
    <t>合价（元）</t>
  </si>
  <si>
    <t>品牌</t>
  </si>
  <si>
    <t>其中：主材</t>
  </si>
  <si>
    <t>墙体</t>
  </si>
  <si>
    <t>轻钢龙骨隔墙</t>
  </si>
  <si>
    <t>1.厚度：100mm厚
2.做法：75系轻钢龙骨单层12mm厚纸面石膏板隔墙
3.详见图纸设计</t>
  </si>
  <si>
    <t>m2</t>
  </si>
  <si>
    <t>石膏板：泰山
轻钢龙骨：欧圣飞</t>
  </si>
  <si>
    <t>玻璃隔墙</t>
  </si>
  <si>
    <t>1.12mm厚超白钢化
2.不锈钢基座包边
3.含玻璃门及锁具等五金件
4.详见图纸设计</t>
  </si>
  <si>
    <t>超白钢化</t>
  </si>
  <si>
    <t>玻璃隔墙处渐变膜</t>
  </si>
  <si>
    <t>1.玻璃隔墙处渐变膜
2.详见图纸设计</t>
  </si>
  <si>
    <t>钢架墙体</t>
  </si>
  <si>
    <t>1.钢架墙体</t>
  </si>
  <si>
    <t>地面</t>
  </si>
  <si>
    <t>砖砌地台</t>
  </si>
  <si>
    <t>1.MU7.5砖砌地台
2.详见图纸设计
3.工程量为水平投影面积</t>
  </si>
  <si>
    <t>石材地面</t>
  </si>
  <si>
    <t>ST-01
1.10-15mm厚1:3水泥砂浆找平层
2.素水泥砂浆结合层一遍
3.30mm厚1:3干硬性水泥砂浆
4.5-10水泥膏结合层(浅色石材用白水泥)或瓷砖胶
5.20mm厚大理石
6.专用填缝剂填缝或硬化结晶
7.详见图纸设计
8.部位：楼梯地台</t>
  </si>
  <si>
    <t>爱马仕灰</t>
  </si>
  <si>
    <t>含二楼楼梯平台交接处</t>
  </si>
  <si>
    <t>石材楼梯面</t>
  </si>
  <si>
    <t>ST-03
1.10-15mm厚1:3水泥砂浆找平层
2.素水泥砂浆结合层一遍
3.30mm厚1:3干硬性水泥砂浆
4.5-10水泥膏结合层(浅色石材用白水泥)或瓷砖胶
5.20mm厚大理石
6.专用填缝剂填缝或硬化结晶
7.详见图纸设计
8.部位：楼梯踏步</t>
  </si>
  <si>
    <t>爵士白</t>
  </si>
  <si>
    <t>瓷砖地面</t>
  </si>
  <si>
    <t>CT-01
1.15mm厚1:3水泥砂浆找平层
2.素水泥砂浆结合层一遍
3.30mm厚1:3干硬性水泥砂浆
4.5-10水泥膏结合层或瓷砖胶
5.12mm厚瓷砖
6.详见图纸设计
7.部位：一层大厅、二层办公区</t>
  </si>
  <si>
    <t>一层（诺贝尔）二层（帕米尼）</t>
  </si>
  <si>
    <t>CT-01
1.10-15mm厚1:3水泥砂浆找平层
2.1.5mm厚JS涂膜防水层
3.10mm厚1:3水泥砂浆防水保护层
4.素水泥砂浆结合层一遍
5.30mm厚1:3干硬性水泥砂浆
6.5-10水泥膏结合层或瓷砖胶
7.12mm厚瓷砖
8.填缝(详见地面标注)
9.详见图纸设计
10.部位：一层卫生间、二楼盥洗室</t>
  </si>
  <si>
    <t>CT-01
1.10-15mm厚1:3水泥砂浆找平层
2.1.5mm厚JS涂膜防水层
3.10mm厚1:3水泥砂浆防水保护层
4.素水泥砂浆结合层一遍
5.30mm厚1:3干硬性水泥砂浆
6.5-10水泥膏结合层或瓷砖胶
7.12mm厚瓷砖
8.填缝(详见地面标注)
9.详见图纸设计
10.部位：二楼盥洗室</t>
  </si>
  <si>
    <t>现场封样为10mm厚</t>
  </si>
  <si>
    <t>CT-04
1.15mm厚1:3水泥砂浆找平层
2.素水泥砂浆结合层一遍
3.30mm厚1:3干硬性水泥砂浆
4.5-10水泥膏结合层或瓷砖胶
5.12mm厚瓷砖
6.详见图纸设计
7.部位：一层办公区、电井</t>
  </si>
  <si>
    <t>（帕米尼）</t>
  </si>
  <si>
    <t>CT-06
1.15mm厚1:3水泥砂浆找平层
2.素水泥砂浆结合层一遍
3.30mm厚1:3干硬性水泥砂浆
4.5-10水泥膏结合层或瓷砖胶
5.12mm厚瓷砖
6.详见图纸设计
7.部位：二层按揭室、营销办公室、财务室、项目总办公室、监控室、会议室、敞开办公室、公共区域、卫生间</t>
  </si>
  <si>
    <t>CT-04
1.10-15mm厚1:3水泥砂浆找平层
2.1.5mm厚JS涂膜防水层
3.10mm厚1:3水泥砂浆防水保护层
4.素水泥砂浆结合层一遍
5.30mm厚1:3干硬性水泥砂浆
6.5-10水泥膏结合层或瓷砖胶
7.12mm厚瓷砖
8.填缝(详见地面标注)
9.详见图纸设计
10.部位：保洁间、二楼卫生间</t>
  </si>
  <si>
    <t>蜜蜂古堡，天美家华，速一，任选一种</t>
  </si>
  <si>
    <t>广场砖地面</t>
  </si>
  <si>
    <t>CT-05
1.15mm厚1:3水泥砂浆找平层
2.素水泥砂浆结合层一遍
3.30mm厚1:3干硬性水泥砂浆
4.5-10水泥膏结合层或瓷砖胶
5.315*525mm广场砖
6.详见图纸设计
7.部位：一层办公区、电井</t>
  </si>
  <si>
    <t>PC砖</t>
  </si>
  <si>
    <t>过门石</t>
  </si>
  <si>
    <t>ST-01
1.10-15mm厚1:3水泥砂浆找平层
2.素水泥砂浆结合层一遍
3.30mm厚1:3干硬性水泥砂浆
4.5-10水泥膏结合层(浅色石材用白水泥)或瓷砖胶
5.20mm厚大理石
6.专用填缝剂填缝或硬化结晶
7.详见图纸设计
8.部位：过门石</t>
  </si>
  <si>
    <t>m</t>
  </si>
  <si>
    <t>人造石
1.10-15mm厚1:3水泥砂浆找平层
2.素水泥砂浆结合层一遍
3.30mm厚1:3干硬性水泥砂浆
4.5-10水泥膏结合层(浅色石材用白水泥)或瓷砖胶
5.20mm厚大理石
6.专用填缝剂填缝或硬化结晶
7.详见图纸设计
8.部位：过门石</t>
  </si>
  <si>
    <t>金属踢脚线</t>
  </si>
  <si>
    <t>MT-01
1.1.2mm厚深灰色不锈钢踢脚线高度40mm
2.9mm厚阻燃板
3.详见图纸设计</t>
  </si>
  <si>
    <t>定制</t>
  </si>
  <si>
    <t>天棚</t>
  </si>
  <si>
    <t>天棚吊顶</t>
  </si>
  <si>
    <t>PT-01
1.φ8钢筋吊杆,双向吊点,800~1200
2.50系列轻钢龙骨
3.双层纸面石膏板
4.白色乳胶漆饰面
5.含工艺缝、开灯孔、检修口、吊顶跌级造型、窗帘盒等费用
6.含不锈钢线条造型
7.详见图纸设计
8.工程量为水平投影面积</t>
  </si>
  <si>
    <t>木纹贴膜吊顶</t>
  </si>
  <si>
    <t>WD-02
1.φ8钢筋吊杆,双向吊点,800~1200
2.50系列轻钢龙骨
3.双层纸面石膏板
4.木纹贴膜
5.含工艺缝、开灯孔、检修口、吊顶跌级造型、窗帘盒等费用
6.含不锈钢线条造型
7.详见图纸设计
8.工程量为水平投影面积
9.部位：一层洽谈区、水吧台</t>
  </si>
  <si>
    <t>WD-02
1.φ8钢筋吊杆,双向吊点,800~1200
2.50系列轻钢龙骨
3.双层纸面石膏板
4.木纹贴膜
5.含工艺缝、开灯孔、检修口、吊顶跌级造型、窗帘盒等费用
6.含不锈钢线条造型
7.详见图纸设计
8.工程量为水平投影面积
9.部位：挑空区</t>
  </si>
  <si>
    <t>做法变更</t>
  </si>
  <si>
    <t>WD-02
1.φ8钢筋吊杆,双向吊点,800~1200
2.50系列轻钢龙骨
3.15mm厚阻燃板、9.5mm纸面石膏板
4.木纹贴膜
5.含工艺缝、开灯孔、检修口、吊顶跌级造型、窗帘盒等费用
6.含不锈钢线条造型
7.详见图纸设计
8.工程量为水平投影面积
9.部位：挑空区</t>
  </si>
  <si>
    <t>PT-02
1.φ8钢筋吊杆,双向吊点,800~1200
2.50系列轻钢龙骨
3.双层防水石膏板
4.白色防水乳胶漆饰面
5.含工艺缝、开灯孔、检修口、吊顶跌级造型等费用
6.含不锈钢线条造型
7.详见图纸设计
8.工程量为水平投影面积
9.部位：卫生间、保洁间</t>
  </si>
  <si>
    <t>天棚刷乳胶漆</t>
  </si>
  <si>
    <t>PT-01
1.基层处理
2.批刮腻子三遍
3.一底二面漆
4.详见图纸设计
5.部位：电井、物料室</t>
  </si>
  <si>
    <t>三棵树</t>
  </si>
  <si>
    <t>墙面</t>
  </si>
  <si>
    <t>乳胶漆墙面</t>
  </si>
  <si>
    <t>PT-01
1.刮白胶腻子找平三遍
2.抗碱度漆（底漆）一遍
3.乳胶漆（面漆）一遍
4.乳胶漆（面漆）一遍
5.详见图纸设计
6.工程量为立面面积</t>
  </si>
  <si>
    <t>PT-01
1.双层9.5mm纸面石膏板
2.刮白胶腻子找平三遍
3.抗碱度漆（底漆）一遍
4.乳胶漆（面漆）一遍
5.乳胶漆（面漆）一遍
6.详见图纸设计
6.工程量为立面面积</t>
  </si>
  <si>
    <t>一层工法墙</t>
  </si>
  <si>
    <t>1.20*40*2.5mm镀锌管骨架、15mm阻燃板+石膏板、白色涂料饰面；
2.含灯槽、不锈钢收边等为完成本项工作所需的所有内容</t>
  </si>
  <si>
    <t>艺术涂料墙面</t>
  </si>
  <si>
    <t>PT-03
1.刮白胶腻子找平三遍
2.抗碱度漆（底漆）一遍
3.乳胶漆（面漆）一遍
4.乳胶漆（面漆）一遍
5.含装饰金属线条
6.详见图纸设计
7.工程量为立面面积</t>
  </si>
  <si>
    <t>PT-03
1.15厘阻燃板条(装饰层50mm以内)卡式龙骨配50副龙骨、中距400(装饰层80mm左右)
2.双层9.5mm厚纸面石膏板
3.艺术涂料饰面
4.含装饰金属线条
5.做法详见图纸设计</t>
  </si>
  <si>
    <t>石膏板：泰山
轻钢龙骨：欧圣飞
阻燃板：优家缘</t>
  </si>
  <si>
    <t>干挂石材龙骨/钢架墙体龙骨</t>
  </si>
  <si>
    <t>1.L50*5镀锌角钢及镀锌槽钢@1200钢架刷防锈漆（4m以下用8#槽钢；4-5m用10#槽钢；5-6m用12#槽钢）
2.详见图纸设计
3.工程量为图示龙骨规格、间距按重量计算</t>
  </si>
  <si>
    <t>kg</t>
  </si>
  <si>
    <t>钢架墙体乳胶漆基层墙面</t>
  </si>
  <si>
    <t>1.15mm阻燃板墙面基层
2.9.5mm纸面石膏板
3.工程量为立面面积
4.部位：二楼临空墙</t>
  </si>
  <si>
    <t>面层单列、龙骨单列</t>
  </si>
  <si>
    <t>干挂石材墙面</t>
  </si>
  <si>
    <t>ST-02
1.膨胀螺栓固定预埋铁件与钢筋混凝土结构
2.镀锌挂件安装石材（石材背面、侧面需做背胶处理）
3.石材完成面做防护剂2遍
4.含装饰金属线条
5.详见图纸设计
6.工程量为立面面积</t>
  </si>
  <si>
    <t>莱茵米黄</t>
  </si>
  <si>
    <t>石材按展开面积计算，龙骨单列</t>
  </si>
  <si>
    <t>粘贴石材墙面</t>
  </si>
  <si>
    <t>ST-04
1.1.5mm厚JS涂膜防水层
2.10mm厚1:3水泥砂浆防水保护层
3.刷素水泥浆一遍
4.5mm厚1:1水泥砂浆加水重20%建筑胶结合层（浅色石材用水泥）（石材背面、侧面需做背胶处理）或瓷砖胶粘贴石材
5.石材完成面做防护剂2遍
6.详见图纸设计
7.工程量为立面面积
8.部位：卫生间洗漱台区域</t>
  </si>
  <si>
    <t>防鱼肚白人造石或防石材岩板</t>
  </si>
  <si>
    <t>挂贴瓷砖墙面</t>
  </si>
  <si>
    <t>CT-02 600*1200mm瓷砖
1.1.5mm厚JS涂膜防水层
2.10mm厚1:3水泥砂浆防水保护层
3.刷素水泥浆一遍
4.双股18号(1.219mm)铜丝与塑料膨胀螺栓绑定素水泥浆5-10mm1:1水泥砂浆加水重20%建筑胶结合层挂贴瓷砖
5.瓷砖勾缝处理
6.详见图纸设计
7.工程量为立面面积
8.部位：一层卫生间墙面</t>
  </si>
  <si>
    <t>诺贝尔</t>
  </si>
  <si>
    <t>粘贴瓷砖墙面</t>
  </si>
  <si>
    <t>CT-03 300*600mm瓷砖
1.1.5mm厚JS涂膜防水层
2.10mm厚1:3水泥砂浆防水保护层
3.刷素水泥浆一遍
4.5mm厚1:1水泥砂浆加水重20%建筑胶结合层（浅色石材用水泥）（石材背面、侧面需做背胶处理）或瓷砖胶粘贴瓷砖
5.瓷砖勾缝处理
6.详见图纸设计
7.工程量为立面面积
8.二层卫生间墙面</t>
  </si>
  <si>
    <t>帕米尼</t>
  </si>
  <si>
    <t>壁布硬包墙面</t>
  </si>
  <si>
    <t>WP-01
1.15厘阻燃板条（装饰层50mm以内），卡式龙骨配50副龙骨、中距400（装饰层80mm左右）、中距400
2.15mm阻燃板墙面基层
3.15mm密度板（防火防潮防蛀处理）
4.编制壁布
5.工程量为立面面积</t>
  </si>
  <si>
    <t>木饰面柜体</t>
  </si>
  <si>
    <t>1.柜体深度：350mm
2.做法：横撑25厚实木贴皮板横撑，竖向支撑10mm宽不锈钢，厚度1.0mm，背有灯槽，背板20mm实木贴皮挂板
3.详见图纸设计
4.工程量为垂直投影面积</t>
  </si>
  <si>
    <t>木饰面柜体后软膜灯箱</t>
  </si>
  <si>
    <r>
      <rPr>
        <sz val="10"/>
        <rFont val="宋体"/>
        <charset val="134"/>
      </rPr>
      <t>1.柜体后</t>
    </r>
    <r>
      <rPr>
        <sz val="10"/>
        <color rgb="FFFF0000"/>
        <rFont val="宋体"/>
        <charset val="134"/>
      </rPr>
      <t>软膜灯箱</t>
    </r>
    <r>
      <rPr>
        <sz val="10"/>
        <rFont val="宋体"/>
        <charset val="134"/>
      </rPr>
      <t xml:space="preserve">
2.含灯珠、背板等
3.详见图纸设计
4.工程量为垂直投影面积</t>
    </r>
  </si>
  <si>
    <t>1.柜体深度：400mm
2.做法：横撑25厚实木贴皮板横撑，竖向支撑10mm宽不锈钢，厚度1.0mm，背有灯槽，背板20mm实木贴皮挂板
3.详见图纸设计
4.工程量为垂直投影面积
5.部位：办公区域</t>
  </si>
  <si>
    <t>不锈钢柜子</t>
  </si>
  <si>
    <t>1.柜体深度：640mm
2.做法：15mm厚阻燃板、20*30木龙骨、不锈钢柜子
3.详见图纸设计
4.工程量为垂直投影面积</t>
  </si>
  <si>
    <t>木纹转印铝格栅</t>
  </si>
  <si>
    <t>MT-03
1.做法：30*50铝方通，间距40木纹转印
2.详见图纸设计
3.部位：二楼临空区域
4.工程量为垂直投影面积</t>
  </si>
  <si>
    <t>木制花格造型</t>
  </si>
  <si>
    <t>WD-03
1.厚度：30mm
2.材质：奥松板雕刻作色混油漆
3.做法详见图纸设计</t>
  </si>
  <si>
    <t>现场验收厚度为25mm，且封样设计院写按25mm厚施工</t>
  </si>
  <si>
    <t>木饰面格栅墙面</t>
  </si>
  <si>
    <t>1.15厘阻燃板条(装饰层50mm以内)卡式龙骨配50副龙骨、中距400(装饰层80mm左右)
2.15mm阻燃板墙面基层
3.3mm成品木饰面板
4.做法详见图纸设计</t>
  </si>
  <si>
    <t>签约区、收银室</t>
  </si>
  <si>
    <t>木饰面凹槽墙面</t>
  </si>
  <si>
    <t>1.15mm厚阻燃板、WD01木饰面10*10MM间距15MM
4.做法详见图纸设计</t>
  </si>
  <si>
    <t>木饰面墙面</t>
  </si>
  <si>
    <t>木纹贴膜墙面</t>
  </si>
  <si>
    <t>WD-02
1.15厘阻燃板条(装饰层50mm以内)卡式龙骨配50副龙骨、中距400(装饰层80mm左右)
2.双层9.5mm厚纸面石膏板
3.木纹贴膜
4.含装饰金属线条
5.做法详见图纸设计</t>
  </si>
  <si>
    <t>金属隔断</t>
  </si>
  <si>
    <t>MT-02
1.古铜色山水造型金属隔断
2.详见图纸设计
3.部位：门厅入口
4.工程量为垂直投影面积</t>
  </si>
  <si>
    <t>不锈钢logo</t>
  </si>
  <si>
    <t>MT-01
1.1.2mm厚深灰色不锈钢LOGO
2.背发光
3.详见图纸设计</t>
  </si>
  <si>
    <t>组</t>
  </si>
  <si>
    <t>卫生间</t>
  </si>
  <si>
    <t>卫生间隔断</t>
  </si>
  <si>
    <t>1.基层种类：25厚铝蜂窝板外贴PVC木纹膜材质
2.不锈钢基座包边
3.配套五金件(成品拉手、门夹、挂钩等)
4.详见图纸设计
5.部位：一层公厕</t>
  </si>
  <si>
    <t>小便隔断</t>
  </si>
  <si>
    <t>GL-02
1.5+5夹丝玻璃
2.不锈钢包边
3.详见图纸设计
4.部位：一层公厕</t>
  </si>
  <si>
    <t>1.基层种类：25mm厚抗倍特板
2.不锈钢基座包边
3.配套五金件(成品拉手、门夹、挂钩等)
4.详见图纸设计
5.部位：二层公厕</t>
  </si>
  <si>
    <t>现场验收厚度为12mm</t>
  </si>
  <si>
    <t>1.基层种类：25mm厚抗倍特板
2.详见图纸设计
3.部位：二层公厕</t>
  </si>
  <si>
    <t>大理石洗漱台</t>
  </si>
  <si>
    <t>ST-04
1.面层种类：20mm厚大理石
2.龙骨种类：镀锌型钢龙骨
3.台下500mm高木饰面柜体
4.工程量为水平投影面积
5.做法详见图纸设计</t>
  </si>
  <si>
    <t>洗手台银镜</t>
  </si>
  <si>
    <t>GL-03
1.6mm银镜
2.基层种类：15mm厚阻燃夹板
3.龙骨种类：18厘木夹板条或卡式龙骨配50副龙骨双向、中距300
4.详见图纸做法</t>
  </si>
  <si>
    <t>卫生纸盒</t>
  </si>
  <si>
    <t>1.卫生纸盒</t>
  </si>
  <si>
    <t>个</t>
  </si>
  <si>
    <t>与现场沟通为营销自主采购</t>
  </si>
  <si>
    <t>其他</t>
  </si>
  <si>
    <t>定制套装木门</t>
  </si>
  <si>
    <t>1.尺寸：0.8*2.6m/0.9*2.6m
2.含门楣、门套线
3.做法详见图纸设计</t>
  </si>
  <si>
    <t>樘</t>
  </si>
  <si>
    <t>1.尺寸：0.6*2.6m
2.含门楣、门套线
3.做法详见图纸设计</t>
  </si>
  <si>
    <t>定制双开木门</t>
  </si>
  <si>
    <t>1.尺寸：1.4*2.6m
2.含门楣、门套线
3.做法详见图纸设计</t>
  </si>
  <si>
    <t>接待台</t>
  </si>
  <si>
    <t>ST-05
1.1.05m高，0.8mm宽接待台
2.内部钢架20*40方钢焊接，15mm阻燃板基层
3.做法详见图纸设计</t>
  </si>
  <si>
    <t>水吧台</t>
  </si>
  <si>
    <t>ST-05
1.1.05m高，0.85mm宽接待台
2.内部钢架20*40方钢焊接，15mm阻燃板基层
3.做法详见图纸设计</t>
  </si>
  <si>
    <t>图纸节点DY06-1显示为ST-06大理石，清单为ST-05大理石；价格不调整</t>
  </si>
  <si>
    <t>儿童活动桌</t>
  </si>
  <si>
    <t>0.8宽
1.0.8m高，白松实木搽色清漆，厚度120mm
2.40mm厚亚克力板支撑，3块，高度580mm，宽度600mm
3.做法详见图纸设计</t>
  </si>
  <si>
    <t>现场验收厚度为80mm</t>
  </si>
  <si>
    <t>洽谈区吧台</t>
  </si>
  <si>
    <t>ST-05
1.0.7mm宽洽谈区吧台榆木实木板清漆罩面，厚度120mm           2.石材基墩，450*450宽，饰面白色人造石，基层40*40钢骨架，阻燃板基层
3.做法详见图纸设计</t>
  </si>
  <si>
    <t>收银台</t>
  </si>
  <si>
    <t>ST-05
1.0.8m高，0.65mm宽收银台
内部20*40镀锌方钢骨架400*400，15mm阻燃板基层，石材台面白色石英石
2.做法详见图纸设计</t>
  </si>
  <si>
    <t>楼梯</t>
  </si>
  <si>
    <t>1.楼梯做法详见图纸设计
2.工程量为水平投影面积</t>
  </si>
  <si>
    <t>楼梯栏板</t>
  </si>
  <si>
    <t>GL-01
1.12mm厚超白钢化玻璃
2.做法详见图纸设计</t>
  </si>
  <si>
    <t>钢构楼梯</t>
  </si>
  <si>
    <t>1.含钢构楼梯的制作、安装、刷漆；
2.楼梯面层中金属线条；
3.乳胶漆天棚（含骨架等）
4.即除石材面层外楼梯所需的所有工作内容</t>
  </si>
  <si>
    <t>项</t>
  </si>
  <si>
    <t>石材窗台石</t>
  </si>
  <si>
    <t>1.一层石材窗台石
2.做法详见图纸设计</t>
  </si>
  <si>
    <t>人造石窗台石</t>
  </si>
  <si>
    <t>1.二层人造石窗台石
2.做法详见图纸设计</t>
  </si>
  <si>
    <t>合计</t>
  </si>
  <si>
    <t>洛宁山水文苑室内精装修工程量清单-外幕墙</t>
  </si>
  <si>
    <t>龙骨</t>
  </si>
  <si>
    <t>1.龙骨：镀锌型钢龙骨
2.其他说明:包括为满足设计图纸、验收规范规定施工所需的一切工序</t>
  </si>
  <si>
    <t>T</t>
  </si>
  <si>
    <t>按图纸设计尺寸以重量计算</t>
  </si>
  <si>
    <t>预埋钢板</t>
  </si>
  <si>
    <t>1.钢材主要选用标准型钢或钢板，材质Q235B，热浸镀锌处理，钢材采用氟碳漆喷涂或聚氨酯漆处理，防锈漆宜采用环氧富锌（或无机富锌）类防锈漆，底漆、中间漆和面漆共三道
2.镀锌钢埋板
3.其他说明:包括为满足设计图纸、验收规范规定施工所需的一切工序</t>
  </si>
  <si>
    <t>花岗岩石材</t>
  </si>
  <si>
    <t>1.面层：25mm厚米黄色花岗岩石材
2.不锈钢螺栓，不锈钢挂件等
3.石材封边切割、倒角详见图纸设计
4.其他说明:包括为满足设计图纸、验收规范规定施工所需的一切工序</t>
  </si>
  <si>
    <t>按图示设计尺寸以展开面积计算
（黄金麻）</t>
  </si>
  <si>
    <t>铝单板</t>
  </si>
  <si>
    <t>1.铝板采用2.5mm厚单层氟碳喷涂铝板
2.泡沫棒，耐候胶，铝合金角码等
3.铝单板封边详见图纸设计
4.其他说明:包括为满足设计图纸、验收规范规定施工所需的一切工序</t>
  </si>
  <si>
    <t>按图示设计尺寸以面积计算</t>
  </si>
  <si>
    <t>玻璃幕墙</t>
  </si>
  <si>
    <t>1.6mm＋12A（中空层）＋6mmLow-e遮阳型中空钢化玻璃，用于玻璃幕墙系统
2.铝合金龙骨，铝合金角码，化学锚栓等
3.玻璃幕墙封边、压块详见图纸设计
4.锁具等五金件
5.其他说明:包括为满足设计图纸、验收规范规定施工所需的一切工序</t>
  </si>
  <si>
    <t>玻璃门</t>
  </si>
  <si>
    <t>1.12mm（透明钢化）玻璃，用于弹簧门系统
2.铝合金龙骨，铝合金角码，化学锚栓等
3.地弹簧、锁具等五金件
4.其他说明:包括为满足设计图纸、验收规范规定施工所需的一切工序</t>
  </si>
  <si>
    <t>按图纸设计尺寸以重量计算。与现场沟通，玻璃门做法均为中空</t>
  </si>
  <si>
    <t>格栅</t>
  </si>
  <si>
    <t>1.成品铝合金格栅表面氟碳喷漆
2.其他说明:包括为满足设计图纸、验收规范规定施工所需的一切工序</t>
  </si>
  <si>
    <t>门厅钢材</t>
  </si>
  <si>
    <t>1.龙骨：200*200*8镀锌钢管，80*60*4镀锌钢管，60*60*4镀锌钢管
2.其他说明:包括为满足设计图纸、验收规范规定施工所需的一切工序</t>
  </si>
  <si>
    <t>夹绢玻璃</t>
  </si>
  <si>
    <t>1.12+0.89+12mm厚钢化夹绢玻璃</t>
  </si>
  <si>
    <t>真石漆</t>
  </si>
  <si>
    <t>1.真石漆
2.部位：外立面、女儿墙内侧</t>
  </si>
  <si>
    <t>洛宁山水文苑室内精装修工程量清单-安装</t>
  </si>
  <si>
    <t>合同工程量</t>
  </si>
  <si>
    <t>竣工图纸
工程量</t>
  </si>
  <si>
    <t>给排水工程</t>
  </si>
  <si>
    <t>给水</t>
  </si>
  <si>
    <t>钢塑管</t>
  </si>
  <si>
    <t>1.安装部位：室内
2.介质：给水
3.材质、规格：钢塑管、DN50
4.连接形式：管件连接
5.压力试验及吹、洗设计要求：满足设计和规范的要求
6.含管道支架制作安装及刷油，做法详见图纸设计
7.含预留洞、堵洞等</t>
  </si>
  <si>
    <t>1.安装部位：室内
2.介质：给水
3.材质、规格：钢塑管、DN40
4.连接形式：管件连接
5.压力试验及吹、洗设计要求：满足设计和规范的要求
6.含管道支架制作安装及刷油，做法详见图纸设计
7.含预留洞、堵洞等</t>
  </si>
  <si>
    <t>1.安装部位：室内
2.介质：给水
3.材质、规格：钢塑管、DN15
4.连接形式：管件连接
5.压力试验及吹、洗设计要求：满足设计和规范的要求
6.含管道支架制作安装及刷油，做法详见图纸设计
7.含预留洞、堵洞等</t>
  </si>
  <si>
    <t>PPR给水管</t>
  </si>
  <si>
    <t>1.安装部位（室内、外）：室内
2.输送介质：冷水
3.材质：S4级PP-R
4.型号、规格：De50
5.连接方式：热熔连接
6.压力试验及吹、洗设计要求：满足设计和规范的要求
7.含嵌铜管件、管卡等安装
8.含预留洞、堵洞等</t>
  </si>
  <si>
    <t>1.安装部位（室内、外）：室内
2.输送介质：冷水
3.材质：S4级PP-R
4.型号、规格：De40
5.连接方式：热熔连接
6.压力试验及吹、洗设计要求：满足设计和规范的要求
7.含嵌铜管件、管卡等安装
8.含预留洞、堵洞等</t>
  </si>
  <si>
    <t>1.安装部位（室内、外）：室内
2.输送介质：冷水
3.材质：S4级PP-R
4.型号、规格：De32
5.连接方式：热熔连接
6.压力试验及吹、洗设计要求：满足设计和规范的要求
7.含嵌铜管件、管卡等安装
8.含预留洞、堵洞等</t>
  </si>
  <si>
    <t>1.安装部位（室内、外）：室内
2.输送介质：冷水
3.材质：S4级PP-R
4.型号、规格：De25
5.连接方式：热熔连接
6.压力试验及吹、洗设计要求：满足设计和规范的要求
7.含嵌铜管件、管卡等安装
8.含预留洞、堵洞等</t>
  </si>
  <si>
    <t>1.安装部位（室内、外）：室内
2.输送介质：冷水
3.材质：S4级PP-R
4.型号、规格：De20
5.连接方式：热熔连接
6.压力试验及吹、洗设计要求：满足设计和规范的要求
7.含嵌铜管件、管卡等安装
8.含预留洞、堵洞等</t>
  </si>
  <si>
    <t>1.安装部位（室内、外）：室内
2.输送介质：热水
3.材质：S3.2级PP-R
4.型号、规格：De20
5.连接方式：热熔连接
6.压力试验及吹、洗设计要求：满足设计和规范的要求
7.含嵌铜管件、管卡等安装
8.含预留洞、堵洞等</t>
  </si>
  <si>
    <t>小厨宝</t>
  </si>
  <si>
    <t>1.名称:小厨宝
2.规格、类型:详见图纸设计及选型表</t>
  </si>
  <si>
    <t>套</t>
  </si>
  <si>
    <t>净水器</t>
  </si>
  <si>
    <t>1.名称:净水器
2.规格、类型:详见图纸设计及选型表</t>
  </si>
  <si>
    <t>截止阀</t>
  </si>
  <si>
    <t>1.类型：截止阀
2.规格：DN40
3.连接形式：螺纹连接
4.其他详见图纸设计、相关图集、规范等</t>
  </si>
  <si>
    <t>1.类型：截止阀
2.规格：DN32
3.连接形式：螺纹连接
4.其他详见图纸设计、相关图集、规范等</t>
  </si>
  <si>
    <t>1.类型：截止阀
2.规格：DN25
3.连接形式：螺纹连接
4.其他详见图纸设计、相关图集、规范等</t>
  </si>
  <si>
    <t>1.类型：截止阀
2.规格：DN20
3.连接形式：螺纹连接
4.其他详见图纸设计、相关图集、规范等</t>
  </si>
  <si>
    <t>1.类型：截止阀
2.规格：DN15
3.连接形式：螺纹连接
4.其他详见图纸设计、相关图集、规范等</t>
  </si>
  <si>
    <t>自动排气阀</t>
  </si>
  <si>
    <t>1.类型：自动排气阀
2.规格：DN15
3.连接形式：螺纹连接
4.其他详见图纸设计、相关图集、规范等</t>
  </si>
  <si>
    <t>柔性防水套管</t>
  </si>
  <si>
    <t>1.名称、类型：柔性防水套管
2.材质：碳钢
3.规格：DN50
4.填料材质：阻燃密实材料</t>
  </si>
  <si>
    <t>一般钢套管</t>
  </si>
  <si>
    <t>1.名称、类型：一般钢套管制作安装
2.材质：碳钢
3.介质管道规格：DN40
4.填料材质：阻燃密实材料</t>
  </si>
  <si>
    <t>1.名称、类型：一般钢套管制作安装
2.材质：碳钢
3.介质管道规格：DN32
4.填料材质：阻燃密实材料</t>
  </si>
  <si>
    <t>1.名称、类型：一般钢套管制作安装
2.材质：碳钢
3.介质管道规格：DN15
4.填料材质：阻燃密实材料</t>
  </si>
  <si>
    <t>管道绝热</t>
  </si>
  <si>
    <t>1.绝热材料品种：橡塑管壳
2.绝热厚度：40mm
3.管道外径：89mm以下</t>
  </si>
  <si>
    <t>m3</t>
  </si>
  <si>
    <t>防潮层、保护层</t>
  </si>
  <si>
    <t>1.材料：管道保温后，保温层外采用双导铝箔胶带缠绕保护
2.详见图纸设计</t>
  </si>
  <si>
    <t>水表井</t>
  </si>
  <si>
    <t>1、名称：水表井
2、规格：给水管室外阀门井及水表作法参见国标05S502第43页~53页</t>
  </si>
  <si>
    <t>座</t>
  </si>
  <si>
    <t>水表井内水表</t>
  </si>
  <si>
    <t>1、名称：水表（水表井内）
2、材质：满足规范及图纸要求
3、规格：DN50
4、连接方式：螺纹连接
5、其他：详见图纸设计、相关图集、规范等</t>
  </si>
  <si>
    <t>水表井内闸阀</t>
  </si>
  <si>
    <t>1、名称：闸阀（水表井内）
2、材质：满足规范及图纸要求
3、规格：DN50
4、连接方式：螺纹连接
5、其他：详见图纸设计、相关图集、规范等</t>
  </si>
  <si>
    <t>水表井内止回阀</t>
  </si>
  <si>
    <t>1、名称：止回阀（水表井内）
2、材质：满足规范及图纸要求
3、规格：DN50
4、连接方式：螺纹连接
5、其他：详见图纸设计、相关图集、规范等</t>
  </si>
  <si>
    <t>消防软管卷盘</t>
  </si>
  <si>
    <t>1、名称：消防软管卷盘
2、其他：详见图纸设计、相关图集、规范等</t>
  </si>
  <si>
    <t>挖土方</t>
  </si>
  <si>
    <t>1、类型：沟槽挖土方
2、挖土深度：1.5m以内
3、其他：详见图纸设计、相关图集、规范等</t>
  </si>
  <si>
    <t>回填土</t>
  </si>
  <si>
    <t>1、类型：回填、夯实
2、其他：详见图纸设计、相关图集、规范等</t>
  </si>
  <si>
    <t>排水</t>
  </si>
  <si>
    <t>排水管（硬聚氯乙烯中空螺旋UPVC管）</t>
  </si>
  <si>
    <t>1.安装部位:室内
2.介质:排水
3.材质、规格:硬聚氯乙烯中空螺旋UPVC管、de110
4.连接形式:粘接
5.含管卡管件、阻火圈等安装
6.含预留洞、堵洞等
7.压力试验及吹、洗设计要求:满足设计和规范的要求</t>
  </si>
  <si>
    <t>UPVC排水管</t>
  </si>
  <si>
    <t>1.安装部位:室内
2.介质:排水
3.材质、规格:UPVC、de110
4.连接形式:粘接
5.含管卡管件、阻火圈等安装
6.含预留洞、堵洞等
7.压力试验及吹、洗设计要求:满足设计和规范的要求</t>
  </si>
  <si>
    <t>1.安装部位:室内
2.介质:排水
3.材质、规格:UPVC、de75
4.连接形式:粘接
5.含管卡管件等安装
6.含预留洞、堵洞等
7.压力试验及吹、洗设计要求:满足设计和规范的要求</t>
  </si>
  <si>
    <t>1.安装部位:室内
2.介质:排水
3.材质、规格:UPVC、de50
4.连接形式:粘接
5.含管卡管件等安装
6.含预留洞、堵洞等
7.压力试验及吹、洗设计要求:满足设计和规范的要求</t>
  </si>
  <si>
    <t>不锈钢防臭型地漏</t>
  </si>
  <si>
    <t>1.材质:不锈钢
2.型号、规格:DN50地漏（带存水弯）
3.详见图纸设计及选型表</t>
  </si>
  <si>
    <t>不锈钢水槽</t>
  </si>
  <si>
    <t>1.名称:不锈钢水槽（一层）
2.规格、类型:详见图纸设计及选型表
3.其他:含五金配件及水龙头等与之相关的一切费用</t>
  </si>
  <si>
    <t>洗手盆</t>
  </si>
  <si>
    <t>1.名称:洗手盆（一层）
2.规格、类型:详见图纸设计及选型表
3.其他:含五金配件及水龙头等与之相关的一切费用</t>
  </si>
  <si>
    <t>因水龙头现场安装位恒洁，协商后此项不再计入</t>
  </si>
  <si>
    <t>坐便器</t>
  </si>
  <si>
    <t>1.名称:坐便器（一层）
2.规格、类型:详见图纸设计及选型表
3.其他:含五金配件及角阀等与之相关的一切费用</t>
  </si>
  <si>
    <t xml:space="preserve">小便器（含感应器） </t>
  </si>
  <si>
    <t>1.名称:小便器（含感应器） （一层）
2.规格、类型:详见图纸设计及选型表
3.其他:含五金配件及角阀等与之相关的一切费用</t>
  </si>
  <si>
    <t>拖布池</t>
  </si>
  <si>
    <t>1.名称:拖布池 
2.规格、类型:详见图纸设计及选型表
3.其他:含五金配件及水龙头等与之相关的一切费用</t>
  </si>
  <si>
    <t>蹲便器</t>
  </si>
  <si>
    <t>1.名称:蹲便器（二层）
2.规格、类型:详见图纸设计及选型表
3.其他:含五金配件及角阀等与之相关的一切费用</t>
  </si>
  <si>
    <t>1.名称:小便器（含感应器） （二层）
2.规格、类型:详见图纸设计及选型表
3.其他:含五金配件及角阀等与之相关的一切费用</t>
  </si>
  <si>
    <t>1.名称:洗手盆（二层）
2.规格、类型:详见图纸设计及选型表
3.其他:含五金配件及水龙头等与之相关的一切费用</t>
  </si>
  <si>
    <t>1.名称、类型：柔性防水套管
2.材质：碳钢
3.规格：DN100
4.填料材质：阻燃密实材料</t>
  </si>
  <si>
    <t>1、类型：沟槽挖土方及回填
2、挖土深度：1.5m以内
3、其他：详见图纸设计、相关图集、规范等</t>
  </si>
  <si>
    <t>电气工程</t>
  </si>
  <si>
    <t>强电</t>
  </si>
  <si>
    <t>增加</t>
  </si>
  <si>
    <t>电力电缆</t>
  </si>
  <si>
    <t>1.名称:电力电缆
2.型号.规格:WDZ-YJY-4*70+1*35mm2
3.材质:铜芯
4.敷设方式、部位:管内及桥架内
5.电压等级(kV):1KV以下
6.含电缆头的制作安装</t>
  </si>
  <si>
    <t>1.名称:电力电缆
2.型号.规格:WDZ-YJY-4*35+1*16mm2
3.材质:铜芯
4.敷设方式、部位:管内及桥架内
5.电压等级(kV):1KV以下
6.含电缆头的制作安装</t>
  </si>
  <si>
    <t>1.名称:电力电缆
2.型号.规格:WDZ-YJY-3*4mm2
3.材质:铜芯
4.敷设方式、部位:管内及桥架内
5.电压等级(kV):1KV以下
6.含电缆头的制作安装</t>
  </si>
  <si>
    <t>配管</t>
  </si>
  <si>
    <t>1.名称:电气配管
2.材质:焊接钢管
3.规格:SC100
4.配置形式:暗配</t>
  </si>
  <si>
    <t>1.名称:电气配管
2.材质:焊接钢管
3.规格:SC80
4.配置形式:暗配</t>
  </si>
  <si>
    <t>1.名称:电气配管
2.材质:焊接钢管
3.规格:SC65
4.配置形式:暗配</t>
  </si>
  <si>
    <t>照明配电总箱AP</t>
  </si>
  <si>
    <t>1.名称：配电总箱
2.型号：AP
3.规格：800*1500*400
4.基础形式、材质、规格：基础槽钢
5.含端子板接线
6..安装方式：落地安装 地面起抬40公分</t>
  </si>
  <si>
    <t>台</t>
  </si>
  <si>
    <t>照明配电箱1AL</t>
  </si>
  <si>
    <t>1.名称：照明配电箱
2.型号：1AL
3.规格：600*600*200
4.含端子板接线
5.安装方式：挂墙安装 距地1.5米</t>
  </si>
  <si>
    <t>照明配电箱2AL</t>
  </si>
  <si>
    <t>1.名称：照明配电箱
2.型号：2AL
3.规格：500*400*150
4.含端子板接线
5.安装方式：挂墙安装 距地1.5米</t>
  </si>
  <si>
    <t>A型应急照明箱PD1</t>
  </si>
  <si>
    <r>
      <rPr>
        <sz val="8"/>
        <rFont val="宋体"/>
        <charset val="134"/>
      </rPr>
      <t>1.名称：配电箱
2.型号：PD1
3.规格：</t>
    </r>
    <r>
      <rPr>
        <sz val="8"/>
        <color indexed="10"/>
        <rFont val="宋体"/>
        <charset val="134"/>
      </rPr>
      <t>500*400*150</t>
    </r>
    <r>
      <rPr>
        <sz val="8"/>
        <rFont val="宋体"/>
        <charset val="134"/>
      </rPr>
      <t xml:space="preserve">
4.安装方式：明装 </t>
    </r>
  </si>
  <si>
    <t>强电桥架</t>
  </si>
  <si>
    <t>1.名称：强电桥架
2.型号、规格：槽式 150*75
3.材质：钢制
4.含桥架支撑架</t>
  </si>
  <si>
    <t>防火堵洞</t>
  </si>
  <si>
    <t>1.名称:防火堵洞
2.材质:防火泥
3.部位:桥架穿楼板及墙处
4.满足设计和规范的要求</t>
  </si>
  <si>
    <t>1.名称:电力电缆
2.型号.规格:WDZ-YJY-5*10mm2
3.材质:铜芯
4.敷设方式、部位:管内及桥架内
5.电压等级(kV):1KV以下
6.含电缆头的制作安装</t>
  </si>
  <si>
    <t>1.名称:电力电缆
2.型号、规格:WDZ-YJY-4*25+1*16mm2
3.材质:铜芯
4.敷设方式、部位:管内及桥架内
5.电压等级(kV):1KV以下
6.含电缆头的制作安装</t>
  </si>
  <si>
    <t>1.名称:电力电缆
2.型号.规格:WDZ-YJY-0.6/1KV-4x95+1x50
3.材质:铜芯
4.敷设方式、部位:管内及桥架内
5.电压等级(kV):1KV以下
6.含电缆头的制作安装</t>
  </si>
  <si>
    <t>1.名称:电力电缆
2.型号、规格:WDZ-YJY-3*2.5mm2
3.材质:铜芯
4.敷设方式、部位:管内及桥架内
5.电压等级(kV):1KV以下
6.含电缆头的制作安装</t>
  </si>
  <si>
    <t>1.名称:电气配管
2.材质:焊接钢管
3.规格:DN50
4.配置形式:暗配</t>
  </si>
  <si>
    <t>1.名称:电气配管
2.材质:焊接钢管
3.规格:DN40
4.配置形式:暗配</t>
  </si>
  <si>
    <t>1.名称:电气配管
2.材质:焊接钢管
3.规格:DN20
4.配置形式:暗配</t>
  </si>
  <si>
    <t>1.名称:电气配管
2.材质:JDG
3.规格:DN25
4.配置形式:暗配</t>
  </si>
  <si>
    <t>1.名称:电气配管
2.材质:JDG 
3.规格:DN20
4.配置形式:暗配</t>
  </si>
  <si>
    <t>1.名称:电气配管
2.材质:JDG 
3.规格:DN16
4.配置形式:暗配</t>
  </si>
  <si>
    <t>配线</t>
  </si>
  <si>
    <t>1.名称:管内穿线
2.配线形式:照明线路
3.型号、规格:WDZ-BYJ-2.5mm2
4.材质:铜芯</t>
  </si>
  <si>
    <t>1.名称:管内穿线
2.配线形式:照明线路
3.型号、规格:WDZ-BYJ-4mm2
4.材质:铜芯</t>
  </si>
  <si>
    <t>1.名称:管内穿线
2.配线形式:照明线路
3.型号、规格:WDZ-BYJ-6mm2
4.材质:铜芯</t>
  </si>
  <si>
    <t>1.名称:桥架内穿线
2.配线形式:照明线路
3.型号、规格:WDZ-BYJ-2.5mm2
4.材质:铜芯</t>
  </si>
  <si>
    <t>1.名称:桥架内穿线
2.配线形式:照明线路
3.型号、规格:WDZ-BYJ-4mm2
4.材质:铜芯</t>
  </si>
  <si>
    <t>1.名称:桥架内穿线
2.配线形式:照明线路
3.型号、规格:WDZ-BYJ-6mm2
4.材质:铜芯</t>
  </si>
  <si>
    <t>1.名称:桥架内穿线
2.配线形式:照明线路
3.型号、规格:NH-RYS-2X2.5mm2</t>
  </si>
  <si>
    <t>照明开关</t>
  </si>
  <si>
    <t>1.名称:单极开关
2.规格:220V 10A
3.安装方式:暗装 距地1.3米</t>
  </si>
  <si>
    <t>1.名称:双极开关
2.规格:220V 10A
3.安装方式:暗装 距地1.3米</t>
  </si>
  <si>
    <t>1.名称:三极开关
2.规格:220V 10A
3.安装方式:暗装 距地1.3米</t>
  </si>
  <si>
    <t>1.名称:单联双控开关
2.规格:220V 10A
3.安装方式:暗装 距地1.3米</t>
  </si>
  <si>
    <t>插座</t>
  </si>
  <si>
    <t>1.名称:五孔插座（2个并排）
2.规格:220V 10A 安全型
3.安装方式:暗装 距地0.3米</t>
  </si>
  <si>
    <t>1.名称:单相五孔插座
2.规格:220V 10A 安全型
3.安装方式:暗装 距地0.3米</t>
  </si>
  <si>
    <t>1.名称:地面五孔插座
2.规格:220V 10A 安全型
3.安装方式:地面安装</t>
  </si>
  <si>
    <t>1.名称:防水五孔插座W
2.规格:220V 10A 安全型
3.安装方式:暗装 距地1.3米</t>
  </si>
  <si>
    <t>1.名称:电视五孔插座V
2.规格:220V 10A 安全型
3.安装方式:暗装 距地1.3米</t>
  </si>
  <si>
    <t>1.名称:小厨宝插座CB
2.规格:220V 16A 安全型
3.安装方式:暗装 距地0.5米</t>
  </si>
  <si>
    <t>1.名称:防水五孔马桶插座M
2.规格:220V 10A 安全型
3.安装方式:暗装 距地0.3米</t>
  </si>
  <si>
    <t>1.名称:净水机插座J
2.规格:220V 10A 安全型
3.安装方式:家具上</t>
  </si>
  <si>
    <t>接线盒</t>
  </si>
  <si>
    <t>1.名称:塑料接线盒
2.材质:86H
3.安装形式:暗装</t>
  </si>
  <si>
    <t>嵌装筒灯T1</t>
  </si>
  <si>
    <t xml:space="preserve">1.名称:嵌入式筒灯T1
2.规格:15W
3.安装方式:居中安装
4.其他详图纸和技术要求及灯具选样表  </t>
  </si>
  <si>
    <t>嵌装式射灯（入射角可调）S1</t>
  </si>
  <si>
    <t xml:space="preserve">1.名称:嵌装式射灯（入射角可调）S1
2.规格:15W
3.其他详图纸和技术要求及灯具选样表  </t>
  </si>
  <si>
    <t>嵌装式射灯（入射角可调）S2</t>
  </si>
  <si>
    <t xml:space="preserve">1.名称:嵌装式射灯（入射角可调）S2
2.规格:15W
3.其他详图纸和技术要求及灯具选样表  </t>
  </si>
  <si>
    <t>嵌装式射灯（入射角可调）S3</t>
  </si>
  <si>
    <t xml:space="preserve">1.名称:嵌装式射灯（入射角可调）S3
2.规格:3W
3.其他详图纸和技术要求  </t>
  </si>
  <si>
    <t>嵌装式射灯（入射角可调）S4</t>
  </si>
  <si>
    <t xml:space="preserve">1.名称:嵌装式射灯（入射角可调）S4
2.规格:15W
3.其他详图纸和技术要求及灯具选样表  </t>
  </si>
  <si>
    <t>嵌装式射灯（入射角可调）L1</t>
  </si>
  <si>
    <t xml:space="preserve">1.名称:轨道射灯G1
2.规格:15W
3.其他详图纸和技术要求及灯具选样表  </t>
  </si>
  <si>
    <t>LED灯带（天花）L1</t>
  </si>
  <si>
    <t xml:space="preserve">1.名称:LED灯带（天花）L1
2.规格:9.6W
3.安装方式:居中安装
4.其他详图纸和技术要求及灯具选样表  </t>
  </si>
  <si>
    <t>米</t>
  </si>
  <si>
    <t>LED线型灯带（天花）L2</t>
  </si>
  <si>
    <t xml:space="preserve">1.名称:LED线型灯带（天花）L2
2.规格:9.6W
3.安装方式:居中安装
4.其他详图纸和技术要求及灯具选样表  </t>
  </si>
  <si>
    <t>A型安全出口标志灯</t>
  </si>
  <si>
    <t>1.名称:A型安全出口标志灯
2.规格:TY-BLJC系列 DC36V~3W 持续时间大于90分钟 巡检、常亮、频闪
3.安装方式:门框上方0.2m
4.其他详图纸和技术要求</t>
  </si>
  <si>
    <t>A型疏散出口标志灯</t>
  </si>
  <si>
    <t>1.名称:A型疏散出口标志灯
2.规格:TY-BLJC系列 DC36V~3W 持续时间大于90分钟 巡检、常亮、频闪
3.安装方式:门框上方0.2m
4.其他详图纸和技术要求</t>
  </si>
  <si>
    <t>A型应急标志灯-双面单向</t>
  </si>
  <si>
    <t>1.名称:A型应急标志灯-双面单向
2.规格:TY-BLJC系列 DC36V~3W 持续时间大于90分钟 巡检、常亮、频闪
3.安装方式:吊装 距地2.5m
4.其他详图纸和技术要求</t>
  </si>
  <si>
    <t>A型方向标志灯</t>
  </si>
  <si>
    <t>1.名称:A型方向标志灯
2.规格:TY-BLJC系列 DC36V~3W 持续时间大于90分钟 巡检、常亮、频闪
3.安装方式:距地0.5m
4.其他详图纸和技术要求</t>
  </si>
  <si>
    <t>A型双方向标志灯</t>
  </si>
  <si>
    <t>1.名称:A型双方向标志灯
2.规格:TY-BLJC系列 DC36V~3W 持续时间大于90分钟 巡检、常亮、频闪
3.安装方式:距地0.5m
4.其他详图纸和技术要求</t>
  </si>
  <si>
    <t>A型应急照明灯</t>
  </si>
  <si>
    <t>1.名称:A型应急照明灯
2.规格:TY-BLJC系列 DC36V~10W 持续时间大于90分钟 巡检、常亮、频闪
3.安装方式:距地2.5m
4.其他详图纸和技术要求</t>
  </si>
  <si>
    <t>A型应急照明筒灯</t>
  </si>
  <si>
    <t>1.名称:A型应急照明筒灯
2.规格:TY-BLJC系列 DC36V~10W 持续时间大于90分钟 巡检、常亮、频闪
3.安装方式:嵌顶安装
4.其他详图纸和技术要求</t>
  </si>
  <si>
    <t>1.名称:接线盒
2.材质:塑料
3.规格:86H
4.安装形式:暗装</t>
  </si>
  <si>
    <t>灭火器</t>
  </si>
  <si>
    <t>1、名称：灭火器组（含箱体）
2、规格：2MF/ABC3
3、其他：详见图纸设计、相关图集、规范等</t>
  </si>
  <si>
    <t>弱电</t>
  </si>
  <si>
    <t>综合布线</t>
  </si>
  <si>
    <t>2.1.1</t>
  </si>
  <si>
    <t>弱电桥架</t>
  </si>
  <si>
    <t>1.名称：弱电桥架
2.型号、规格：槽式 150*75
3.材质：钢制
4.含桥架支撑架</t>
  </si>
  <si>
    <t>2.1.2</t>
  </si>
  <si>
    <t>1.名称:防火堵洞
2.材质:2mm厚钢板、防火泥
3.方式:用钢板封堵，空洞处用防火泥满填
4.部位:桥架穿楼板及墙处</t>
  </si>
  <si>
    <t>处</t>
  </si>
  <si>
    <t>2.1.3</t>
  </si>
  <si>
    <t>穿套接紧定式钢管</t>
  </si>
  <si>
    <t>1.名称:电气配管
2.材质:穿套接紧定式钢管
3.规格:JDG20
4.配置形式:吊顶内或沿墙暗敷设</t>
  </si>
  <si>
    <t>2.1.4</t>
  </si>
  <si>
    <t>六芯非屏蔽网线</t>
  </si>
  <si>
    <t>1.名称:六芯非屏蔽网线
2.敷设方式:穿管或桥架内敷设</t>
  </si>
  <si>
    <t>2.1.5</t>
  </si>
  <si>
    <t>综合布线配线架</t>
  </si>
  <si>
    <t>1.名称:24口网络配线架
2.规格:机架式</t>
  </si>
  <si>
    <t>2.1.6</t>
  </si>
  <si>
    <t>1.名称:1*50口110配线架
2.规格:机架式</t>
  </si>
  <si>
    <t>2.1.7</t>
  </si>
  <si>
    <t>光纤配线单元LIU</t>
  </si>
  <si>
    <t>1.名称:光纤配线单元LIU</t>
  </si>
  <si>
    <t>2.1.8</t>
  </si>
  <si>
    <t>接入交换机SW</t>
  </si>
  <si>
    <t>1.名称:接入交换机SW</t>
  </si>
  <si>
    <t>2.1.9</t>
  </si>
  <si>
    <t>数据点</t>
  </si>
  <si>
    <t>1.名称:单口网络插座TO</t>
  </si>
  <si>
    <t>2.1.10</t>
  </si>
  <si>
    <t>WIFI数据点</t>
  </si>
  <si>
    <t>1.名称:WIFI数据点AP</t>
  </si>
  <si>
    <t>2.1.11</t>
  </si>
  <si>
    <t>电话/网络接口</t>
  </si>
  <si>
    <t>1.名称:电话/网络接口TP0</t>
  </si>
  <si>
    <t>2.1.12</t>
  </si>
  <si>
    <t>1.名称:接线盒
2.材质规格:金属
3.安装形式:暗配</t>
  </si>
  <si>
    <t>监控系统</t>
  </si>
  <si>
    <t>2.2.1</t>
  </si>
  <si>
    <t>显示设备</t>
  </si>
  <si>
    <t>1.名称:监控管理电脑</t>
  </si>
  <si>
    <t>2.2.2</t>
  </si>
  <si>
    <t>录像设备</t>
  </si>
  <si>
    <t>1.名称:16路硬盘录像机
2.含3*4T存储</t>
  </si>
  <si>
    <t>2.2.3</t>
  </si>
  <si>
    <t>交换机</t>
  </si>
  <si>
    <t>1.名称：24口核心交换机</t>
  </si>
  <si>
    <t>2.2.4</t>
  </si>
  <si>
    <t>1.名称：24口千兆光纤PoE交换机</t>
  </si>
  <si>
    <t>2.2.5</t>
  </si>
  <si>
    <t>弱电箱</t>
  </si>
  <si>
    <t>1.名称：弱电箱</t>
  </si>
  <si>
    <t>2.2.6</t>
  </si>
  <si>
    <t>12V监控专用电源</t>
  </si>
  <si>
    <t>1.名称：12V监控专用电源</t>
  </si>
  <si>
    <t>2.2.7</t>
  </si>
  <si>
    <t>摄像机</t>
  </si>
  <si>
    <t>1.名称：半球型摄像机
2.内含：LIU/PDU</t>
  </si>
  <si>
    <t>2.2.8</t>
  </si>
  <si>
    <t>2.2.9</t>
  </si>
  <si>
    <t>2.2.10</t>
  </si>
  <si>
    <t>1.名称:电气配管
2.材质:穿套接紧定式钢管
3.规格:JDG16
4.配置形式:吊顶内或沿墙暗敷设</t>
  </si>
  <si>
    <t>2.2.11</t>
  </si>
  <si>
    <t>1.名称:电气穿线
2.配线形式:管内或桥架内敷设
3.型号、规格:ZRVVR-3*1.5</t>
  </si>
  <si>
    <t>2.2.12</t>
  </si>
  <si>
    <t>双绞线缆</t>
  </si>
  <si>
    <t>1.名称:双绞线缆
2.规格：Cat5e
2.敷设方式:管内或桥架内敷设</t>
  </si>
  <si>
    <t>背景音乐</t>
  </si>
  <si>
    <t>2.3.1</t>
  </si>
  <si>
    <t>2.3.2</t>
  </si>
  <si>
    <t>1.名称:电气穿线
2.配线形式:管内线路
3.型号、规格:RVVP2*0.5</t>
  </si>
  <si>
    <t>2.3.3</t>
  </si>
  <si>
    <t>功放</t>
  </si>
  <si>
    <t>1.名称：功放
2.规格：120W</t>
  </si>
  <si>
    <t>2.3.4</t>
  </si>
  <si>
    <t>CD/DVD播放器</t>
  </si>
  <si>
    <t>1.名称：CD/DVD播放器</t>
  </si>
  <si>
    <t>2.3.5</t>
  </si>
  <si>
    <t>数字调谐器</t>
  </si>
  <si>
    <t>1.名称：数字调谐器</t>
  </si>
  <si>
    <t>2.3.6</t>
  </si>
  <si>
    <t>分区寻呼分控台</t>
  </si>
  <si>
    <t>1.名称：分区寻呼分控台</t>
  </si>
  <si>
    <t>2.3.7</t>
  </si>
  <si>
    <t>音箱</t>
  </si>
  <si>
    <t>1.名称：高质量吸顶音箱
2.规格：5W
3.安装方式：吸顶</t>
  </si>
  <si>
    <t>2.3.8</t>
  </si>
  <si>
    <t>空调系统</t>
  </si>
  <si>
    <t>室内机</t>
  </si>
  <si>
    <r>
      <rPr>
        <sz val="8"/>
        <rFont val="宋体"/>
        <charset val="134"/>
      </rPr>
      <t>1.名称：室</t>
    </r>
    <r>
      <rPr>
        <sz val="8"/>
        <color rgb="FFFF0000"/>
        <rFont val="宋体"/>
        <charset val="134"/>
      </rPr>
      <t>内</t>
    </r>
    <r>
      <rPr>
        <sz val="8"/>
        <rFont val="宋体"/>
        <charset val="134"/>
      </rPr>
      <t>机（含支架制作安装、除锈刷油，调试，减震等）
2.规格：HVR-160F/G2FZBp
3.其他要求：满足设计、图集及相关规范要求</t>
    </r>
  </si>
  <si>
    <t>1.名称：室内机（含支架制作安装、除锈刷油，调试，减震等）
2.规格：HVR-140F/G2FZBp
3.其他要求：满足设计、图集及相关规范要求</t>
  </si>
  <si>
    <t>1.名称：室内机（含支架制作安装、除锈刷油，调试，减震等）
2.规格：HVR-80FG/G2FZBp
3.其他要求：满足设计、图集及相关规范要求</t>
  </si>
  <si>
    <t>1.名称：室内机（含支架制作安装、除锈刷油，调试，减震等）
2.规格：HVR-80F/G2FZBp
3.其他要求：满足设计、图集及相关规范要求</t>
  </si>
  <si>
    <t>1.名称：室内机（含支架制作安装、除锈刷油，调试，减震等）
2.规格：HVR-63F/G2FZBp
3.其他要求：满足设计、图集及相关规范要求</t>
  </si>
  <si>
    <t>1.名称：室内机（含支架制作安装、除锈刷油，调试，减震等）
2.规格：HVR-50F/G2FZBp
3.其他要求：满足设计、图集及相关规范要求</t>
  </si>
  <si>
    <t>1.名称：室内机（含支架制作安装、除锈刷油，调试，减震等）
2.规格：HVR-36F/G2FZBp
3.其他要求：满足设计、图集及相关规范要求</t>
  </si>
  <si>
    <t>1.名称：室内机（含支架制作安装、除锈刷油，调试，减震等）
2.规格：HVR-28F/G2FZBp
3.其他要求：满足设计、图集及相关规范要求</t>
  </si>
  <si>
    <t>1.名称：室内机（含支架制作安装、除锈刷油，调试，减震等）
2.规格：HVR-22F/G2FZBp
3.其他要求：满足设计、图集及相关规范要求</t>
  </si>
  <si>
    <t>室外机</t>
  </si>
  <si>
    <t>1.名称：室外机（含支架制作安装、除锈刷油，调试，减震等）
2.规格：HVR-1064W/SM2FZBph
3.参数：其他要求：满足设计、图集及相关规范要求</t>
  </si>
  <si>
    <t>单面彩钢酚醛复合风管</t>
  </si>
  <si>
    <t>1.名称：镀锌钢板风管（含支架制作安装、除锈刷油等）
2.规格：周长450mm＜周长≤1000mm
3.保温做法：详见图纸及规范
4.厚度：符合GB50243-2016
5.其他要求：满足设计、图集及相关规范要求</t>
  </si>
  <si>
    <t>1.名称：镀锌钢板风管（含支架制作安装、除锈刷油等）
2.规格：周长1000mm＜周长≤1500mm
3.保温做法：详见图纸及规范
4.厚度：符合GB50243-2016
5.其他要求：满足设计、图集及相关规范要求</t>
  </si>
  <si>
    <t>防火软接</t>
  </si>
  <si>
    <t>1.名称：防火软接
2.规格型号、材质：详图纸和技术要求
3.其他要求：满足设计、图集及相关规范要求</t>
  </si>
  <si>
    <t>单层活动百叶风口</t>
  </si>
  <si>
    <t>1.名称：单层活动百叶风口
2.规格：1500×200mm
3.材质：详图纸和技术要求 
4.其他要求：满足设计、图集及相关规范要求</t>
  </si>
  <si>
    <t>1.名称：单层活动百叶风口
2.规格：1300×300mm
3.材质：详图纸和技术要求 
4.其他要求：满足设计、图集及相关规范要求</t>
  </si>
  <si>
    <t>1.名称：单层活动百叶风口
2.规格：1000*300mm
3.材质：详图纸和技术要求 
4.其他要求：满足设计、图集及相关规范要求</t>
  </si>
  <si>
    <t>1.名称：单层活动百叶风口
2.规格：800×300mm
3.材质：详图纸和技术要求 
4.其他要求：满足设计、图集及相关规范要求</t>
  </si>
  <si>
    <t>1.名称：单层活动百叶风口
2.规格：700×300mm
3.材质：详图纸和技术要求 
4.其他要求：满足设计、图集及相关规范要求</t>
  </si>
  <si>
    <t>1.名称：单层活动百叶风口
2.规格：550×300mm
3.材质：详图纸和技术要求 
4.其他要求：满足设计、图集及相关规范要求</t>
  </si>
  <si>
    <t>1.名称：单层活动百叶风口
2.规格：450×300mm
3.材质：详图纸和技术要求 
4.其他要求：满足设计、图集及相关规范要求</t>
  </si>
  <si>
    <t>双层活动百叶风口</t>
  </si>
  <si>
    <t>1.名称：双层活动百叶风口
2.规格：350×350mm
3.材质：详图纸和技术要求 
4.其他要求：满足设计、图集及相关规范要求</t>
  </si>
  <si>
    <t>1.名称：双层活动百叶风口
2.规格：320×320mm
3.材质：详图纸和技术要求 
4.其他要求：满足设计、图集及相关规范要求</t>
  </si>
  <si>
    <t>1.名称：双层活动百叶风口
2.规格：300×300mm
3.材质：详图纸和技术要求 
4.其他要求：满足设计、图集及相关规范要求</t>
  </si>
  <si>
    <t>1.名称：双层活动百叶风口
2.规格：280×280mm
3.材质：详图纸和技术要求 
4.其他要求：满足设计、图集及相关规范要求</t>
  </si>
  <si>
    <t>1.名称：双层活动百叶风口
2.规格：250×250mm
3.材质：详图纸和技术要求 
4.其他要求：满足设计、图集及相关规范要求</t>
  </si>
  <si>
    <t>不锈钢雕刻风口</t>
  </si>
  <si>
    <t>1.名称：不锈钢雕刻风口
2.规格：1040×200mm
3.材质：详图纸和技术要求 
4.其他要求：满足设计、图集及相关规范要求</t>
  </si>
  <si>
    <t>侧风口</t>
  </si>
  <si>
    <t>1.名称：侧风口
2.规格：750×150mm
3.材质：详图纸和技术要求 
4.其他要求：满足设计、图集及相关规范要求</t>
  </si>
  <si>
    <t>分歧器</t>
  </si>
  <si>
    <t>1.名称：分歧器
2.规格：HFQ-102F
3.其他要求：满足设计、图集及相关规范要求</t>
  </si>
  <si>
    <t>1.名称：分歧器
2.规格：HFQ-162F
3.其他要求：满足设计、图集及相关规范要求</t>
  </si>
  <si>
    <t>1.名称：分歧器
2.规格：HFQ-242F
3.其他要求：满足设计、图集及相关规范要求</t>
  </si>
  <si>
    <t>1.名称：分歧器
2.规格：HFQ-302F
3.其他要求：满足设计、图集及相关规范要求</t>
  </si>
  <si>
    <t>1.名称：分歧器
2.规格：HFQ-M32F
3.其他要求：满足设计、图集及相关规范要求</t>
  </si>
  <si>
    <t>制冷剂管道</t>
  </si>
  <si>
    <t>1.名称：制冷剂管道（含制冷剂，支架制作安装、除锈刷油等）
2.材料：去磷无缝紫铜管
3.规格：¢6.35mm
4.厚度：0.8mm
5.其他要求：其他要求：满足设计、图集及相关规范要求</t>
  </si>
  <si>
    <t>1.名称：制冷剂管道（含制冷剂，支架制作安装、除锈刷油等）
2.材料：去磷无缝紫铜管
3.规格：¢9.53mm
4.厚度：0.8mm
5.其他要求：其他要求：满足设计、图集及相关规范要求</t>
  </si>
  <si>
    <t>1.名称：制冷剂管道（含制冷剂，支架制作安装、除锈刷油等）
2.材料：去磷无缝紫铜管
3.规格：¢12.7mm
4.厚度：0.8mm
5.其他要求：其他要求：满足设计、图集及相关规范要求</t>
  </si>
  <si>
    <t>1.名称：制冷剂管道（含制冷剂，支架制作安装、除锈刷油等）
2.材料：去磷无缝紫铜管
3.规格：¢15.88mm
4.厚度：0.8mm
5.其他要求：其他要求：满足设计、图集及相关规范要求</t>
  </si>
  <si>
    <t>1.名称：制冷剂管道（含制冷剂，支架制作安装、除锈刷油等）
2.材料：去磷无缝紫铜管
3.规格：¢19.05mm
4.厚度：0.8mm
5.其他要求：其他要求：满足设计、图集及相关规范要求</t>
  </si>
  <si>
    <t>1.名称：制冷剂管道（含制冷剂，支架制作安装、除锈刷油等）
2.材料：去磷无缝紫铜管
3.规格：¢22.2mm
4.厚度：0.8mm
5.其他要求：其他要求：满足设计、图集及相关规范要求</t>
  </si>
  <si>
    <t>1.名称：制冷剂管道（含制冷剂，支架制作安装、除锈刷油等）
2.材料：去磷无缝紫铜管
3.规格：¢25.4mm
4.厚度：0.8mm
5.其他要求：其他要求：满足设计、图集及相关规范要求</t>
  </si>
  <si>
    <t>1.名称：制冷剂管道（含制冷剂，支架制作安装、除锈刷油等）
2.材料：去磷无缝紫铜管
3.规格：¢28.6mm
4.厚度：0.8mm
5.其他要求：其他要求：满足设计、图集及相关规范要求</t>
  </si>
  <si>
    <t>1.名称：制冷剂管道（含制冷剂，支架制作安装、除锈刷油等）
2.材料：去磷无缝紫铜管
3.规格：¢31.75mm
4.厚度：0.8mm
5.其他要求：其他要求：满足设计、图集及相关规范要求</t>
  </si>
  <si>
    <t>1.名称：制冷剂管道（含制冷剂，支架制作安装、除锈刷油等）
2.材料：去磷无缝紫铜管
3.规格：¢38.1mm
4.厚度：0.8mm
5.其他要求：其他要求：满足设计、图集及相关规范要求</t>
  </si>
  <si>
    <t>空调冷凝水管</t>
  </si>
  <si>
    <t>1.名称：空调冷凝水管（含支架制作安装、除锈刷油等）
2.材料：UPVC塑料管
3.规格：De25
4.其他要求：其他要求：满足设计、图集及相关规范要求</t>
  </si>
  <si>
    <t>1.名称：空调冷凝水管（含支架制作安装、除锈刷油等）
2.材料：UPVC塑料管
3.规格：De32
4.其他要求：其他要求：满足设计、图集及相关规范要求</t>
  </si>
  <si>
    <t>1.名称：空调冷凝水管（含支架制作安装、除锈刷油等）
2.材料：UPVC塑料管
3.规格：De40
4.其他要求：其他要求：满足设计、图集及相关规范要求</t>
  </si>
  <si>
    <t>1.名称：空调冷凝水管（含支架制作安装、除锈刷油等）
2.材料：UPVC塑料管
3.规格：De50
4.其他要求：其他要求：满足设计、图集及相关规范要求</t>
  </si>
  <si>
    <t>冷凝水管保温层</t>
  </si>
  <si>
    <t>1.名称：冷凝水管保温层
2.保温厚度：10mm
3.材料：难燃B1级橡塑材料
4.其他要求：其他要求：满足设计、图集及相关规范要求</t>
  </si>
  <si>
    <t>室内制冷剂管道保温层</t>
  </si>
  <si>
    <t>1.名称：室内制冷剂管道保温层
2.保温厚度：15mm（d≤φ12.7）
3.材料：难燃B1级橡塑材料
4.其他要求：其他要求：满足设计、图集及相关规范要求</t>
  </si>
  <si>
    <t>1.名称：室内制冷剂管道保温层
2.保温厚度：20mm（d≥φ15.88）
3.材料：难燃B1级橡塑材料
4.其他要求：其他要求：满足设计、图集及相关规范要求</t>
  </si>
  <si>
    <t>1.名称：室外制冷剂管道保温层
2.保温厚度：30mm（d≥φ15.88）
3.材料：难燃B1级橡塑材料
4.其他要求：其他要求：满足设计、图集及相关规范要求</t>
  </si>
  <si>
    <t>室外制冷剂管道保护层</t>
  </si>
  <si>
    <t>1.名称：室外制冷剂管道保护层
2.材料：稀松布
3.规格：详图纸和技术要求
4.其他要求：其他要求：满足设计、图集及相关规范要求</t>
  </si>
  <si>
    <t>室外制冷剂管道保护层刷漆</t>
  </si>
  <si>
    <t>1.名称：室外制冷剂管道保护层刷漆
2.材料：防晒漆（三遍）
3.规格：详图纸和技术要求
4.其他要求：其他要求：满足设计、图集及相关规范要求</t>
  </si>
  <si>
    <t>山水文苑售楼部外围监控及AP报价清单</t>
  </si>
  <si>
    <t xml:space="preserve">序号            </t>
  </si>
  <si>
    <t xml:space="preserve">  设备名称                          </t>
  </si>
  <si>
    <t>规格型号</t>
  </si>
  <si>
    <t xml:space="preserve">单位      </t>
  </si>
  <si>
    <t xml:space="preserve">数量 </t>
  </si>
  <si>
    <t>单价</t>
  </si>
  <si>
    <t>金额</t>
  </si>
  <si>
    <t>枪式摄像机</t>
  </si>
  <si>
    <t>海康B12 200万像素
50米红外双光</t>
  </si>
  <si>
    <t>海康威视</t>
  </si>
  <si>
    <t>摄像机电源</t>
  </si>
  <si>
    <t>专用</t>
  </si>
  <si>
    <t>配套</t>
  </si>
  <si>
    <t>摄像机支架</t>
  </si>
  <si>
    <t>硬盘硬盘录像机</t>
  </si>
  <si>
    <t>1.名称:.32路硬盘录像机
2.含1*4T存储</t>
  </si>
  <si>
    <t>显示器</t>
  </si>
  <si>
    <t>50寸</t>
  </si>
  <si>
    <t>国产</t>
  </si>
  <si>
    <t>机柜</t>
  </si>
  <si>
    <t>1.2米</t>
  </si>
  <si>
    <t>8口千兆交换机</t>
  </si>
  <si>
    <t>立杆</t>
  </si>
  <si>
    <t>3.5米组合杆
（含地笼、水泥基础）</t>
  </si>
  <si>
    <t>根</t>
  </si>
  <si>
    <t>订制</t>
  </si>
  <si>
    <t>无线AP</t>
  </si>
  <si>
    <t>IAP200-620</t>
  </si>
  <si>
    <t>迈普</t>
  </si>
  <si>
    <t>数据线</t>
  </si>
  <si>
    <t>监控专用8+2</t>
  </si>
  <si>
    <t>凯讯</t>
  </si>
  <si>
    <t>光纤收发器</t>
  </si>
  <si>
    <t>单模单纤</t>
  </si>
  <si>
    <t>对</t>
  </si>
  <si>
    <t>光讯</t>
  </si>
  <si>
    <t>光纤</t>
  </si>
  <si>
    <t>12芯</t>
  </si>
  <si>
    <t>通信专用</t>
  </si>
  <si>
    <t>光纤配件</t>
  </si>
  <si>
    <t>法兰跳线</t>
  </si>
  <si>
    <t>熔纤</t>
  </si>
  <si>
    <t>一用一备</t>
  </si>
  <si>
    <t>芯</t>
  </si>
  <si>
    <t>电源线</t>
  </si>
  <si>
    <t>RVV 2*1.0</t>
  </si>
  <si>
    <t>设备箱</t>
  </si>
  <si>
    <t>300*400</t>
  </si>
  <si>
    <t>穿线管</t>
  </si>
  <si>
    <t>Φ25</t>
  </si>
  <si>
    <t>合计A：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</si>
</sst>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  <numFmt numFmtId="179" formatCode="0.00&quot;元&quot;"/>
    <numFmt numFmtId="180" formatCode="[DBNum2][$RMB]General;[Red][DBNum2][$RMB]General"/>
    <numFmt numFmtId="181" formatCode="0_ "/>
  </numFmts>
  <fonts count="63">
    <font>
      <sz val="12"/>
      <name val="宋体"/>
      <charset val="134"/>
    </font>
    <font>
      <sz val="22"/>
      <name val="宋体"/>
      <charset val="134"/>
    </font>
    <font>
      <b/>
      <sz val="18"/>
      <name val="新宋体"/>
      <charset val="134"/>
    </font>
    <font>
      <b/>
      <sz val="12"/>
      <name val="新宋体"/>
      <charset val="134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color rgb="FF000000"/>
      <name val="宋体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sz val="10.5"/>
      <name val="楷体_GB2312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indexed="10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18" applyNumberFormat="0" applyAlignment="0" applyProtection="0">
      <alignment vertical="center"/>
    </xf>
    <xf numFmtId="0" fontId="50" fillId="6" borderId="19" applyNumberFormat="0" applyAlignment="0" applyProtection="0">
      <alignment vertical="center"/>
    </xf>
    <xf numFmtId="0" fontId="51" fillId="6" borderId="18" applyNumberFormat="0" applyAlignment="0" applyProtection="0">
      <alignment vertical="center"/>
    </xf>
    <xf numFmtId="0" fontId="52" fillId="7" borderId="20" applyNumberForma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0" fillId="0" borderId="0" xfId="0" applyFill="1">
      <alignment vertical="center"/>
    </xf>
    <xf numFmtId="0" fontId="21" fillId="0" borderId="0" xfId="0" applyFont="1" applyFill="1" applyAlignme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177" fontId="22" fillId="0" borderId="9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6" fillId="0" borderId="0" xfId="50" applyFont="1" applyAlignment="1">
      <alignment horizontal="center" vertical="center" wrapText="1"/>
    </xf>
    <xf numFmtId="0" fontId="27" fillId="0" borderId="2" xfId="50" applyFont="1" applyBorder="1" applyAlignment="1">
      <alignment horizontal="center" vertical="center" wrapText="1"/>
    </xf>
    <xf numFmtId="0" fontId="27" fillId="0" borderId="3" xfId="50" applyFont="1" applyBorder="1" applyAlignment="1">
      <alignment horizontal="center" vertical="center" wrapText="1"/>
    </xf>
    <xf numFmtId="0" fontId="27" fillId="0" borderId="5" xfId="50" applyFont="1" applyBorder="1" applyAlignment="1">
      <alignment horizontal="center" vertical="center" wrapText="1"/>
    </xf>
    <xf numFmtId="0" fontId="27" fillId="0" borderId="4" xfId="50" applyFont="1" applyBorder="1" applyAlignment="1">
      <alignment horizontal="center" vertical="center" wrapText="1"/>
    </xf>
    <xf numFmtId="0" fontId="27" fillId="0" borderId="1" xfId="50" applyFont="1" applyBorder="1" applyAlignment="1">
      <alignment horizontal="center" vertical="center" wrapText="1"/>
    </xf>
    <xf numFmtId="177" fontId="27" fillId="0" borderId="1" xfId="50" applyNumberFormat="1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1" fillId="0" borderId="4" xfId="5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7" fontId="21" fillId="0" borderId="1" xfId="50" applyNumberFormat="1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7" fillId="0" borderId="6" xfId="5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9" fontId="29" fillId="0" borderId="1" xfId="0" applyNumberFormat="1" applyFont="1" applyFill="1" applyBorder="1" applyAlignment="1">
      <alignment horizontal="justify" vertical="center" wrapText="1"/>
    </xf>
    <xf numFmtId="180" fontId="29" fillId="0" borderId="1" xfId="0" applyNumberFormat="1" applyFont="1" applyFill="1" applyBorder="1" applyAlignment="1">
      <alignment horizontal="justify" vertical="center" wrapText="1"/>
    </xf>
    <xf numFmtId="181" fontId="29" fillId="0" borderId="1" xfId="0" applyNumberFormat="1" applyFont="1" applyFill="1" applyBorder="1" applyAlignment="1">
      <alignment horizontal="justify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justify" vertical="center"/>
    </xf>
    <xf numFmtId="0" fontId="34" fillId="0" borderId="0" xfId="0" applyFont="1" applyFill="1" applyAlignment="1">
      <alignment horizontal="left" vertical="center" wrapText="1"/>
    </xf>
    <xf numFmtId="180" fontId="0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5" fillId="0" borderId="0" xfId="2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36" fillId="0" borderId="2" xfId="22" applyFont="1" applyFill="1" applyBorder="1" applyAlignment="1">
      <alignment horizontal="center" vertical="center" wrapText="1"/>
    </xf>
    <xf numFmtId="0" fontId="36" fillId="0" borderId="3" xfId="22" applyFont="1" applyFill="1" applyBorder="1" applyAlignment="1">
      <alignment horizontal="center" vertical="center" wrapText="1"/>
    </xf>
    <xf numFmtId="0" fontId="36" fillId="0" borderId="5" xfId="22" applyFont="1" applyFill="1" applyBorder="1" applyAlignment="1">
      <alignment horizontal="center" vertical="center" wrapText="1"/>
    </xf>
    <xf numFmtId="0" fontId="36" fillId="0" borderId="4" xfId="22" applyFont="1" applyFill="1" applyBorder="1" applyAlignment="1">
      <alignment horizontal="center" vertical="center" wrapText="1"/>
    </xf>
    <xf numFmtId="0" fontId="36" fillId="0" borderId="1" xfId="22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36" fillId="0" borderId="11" xfId="22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justify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4" fontId="39" fillId="0" borderId="6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179" fontId="39" fillId="0" borderId="6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wrapText="1"/>
    </xf>
    <xf numFmtId="0" fontId="29" fillId="0" borderId="6" xfId="0" applyNumberFormat="1" applyFont="1" applyFill="1" applyBorder="1" applyAlignment="1">
      <alignment horizontal="left" wrapText="1"/>
    </xf>
    <xf numFmtId="0" fontId="40" fillId="0" borderId="1" xfId="0" applyNumberFormat="1" applyFont="1" applyFill="1" applyBorder="1" applyAlignment="1">
      <alignment horizontal="left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left" wrapText="1"/>
    </xf>
    <xf numFmtId="0" fontId="29" fillId="0" borderId="10" xfId="0" applyNumberFormat="1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2" xfId="0" applyBorder="1">
      <alignment vertical="center"/>
    </xf>
    <xf numFmtId="0" fontId="0" fillId="3" borderId="12" xfId="0" applyFill="1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0" borderId="14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  <cellStyle name="常规 7" xfId="52"/>
  </cellStyles>
  <tableStyles count="0" defaultTableStyle="TableStyleMedium9" defaultPivotStyle="PivotStyleLight16"/>
  <colors>
    <mruColors>
      <color rgb="007F9698"/>
      <color rgb="00009698"/>
      <color rgb="000061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31;&#23425;&#39033;&#30446;&#21806;&#27004;&#37096;&#20869;&#22806;&#35013;&#24037;&#31243;&#26045;&#24037;&#21512;&#21516;&#32467;&#31639;&#36164;&#26009;&#12304;&#22372;&#23439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#楼 "/>
      <sheetName val="2#楼 "/>
      <sheetName val="6#楼"/>
      <sheetName val="7#楼"/>
      <sheetName val="1结算审批表"/>
      <sheetName val="2资料存档目录"/>
      <sheetName val="3工程结算汇总表"/>
      <sheetName val="4结算明细汇总表"/>
      <sheetName val="内装"/>
      <sheetName val="幕墙"/>
      <sheetName val="安装"/>
      <sheetName val="合同外增加室外监控系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D10">
            <v>2539766.45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</row>
    <row r="2" spans="1:28">
      <c r="A2" s="193" t="s">
        <v>1</v>
      </c>
      <c r="B2" s="193" t="s">
        <v>2</v>
      </c>
      <c r="C2" s="193" t="s">
        <v>3</v>
      </c>
      <c r="D2" s="193" t="s">
        <v>4</v>
      </c>
      <c r="E2" s="193" t="s">
        <v>5</v>
      </c>
      <c r="F2" s="193" t="s">
        <v>6</v>
      </c>
      <c r="G2" s="193" t="s">
        <v>7</v>
      </c>
      <c r="H2" s="193" t="s">
        <v>8</v>
      </c>
      <c r="I2" s="193" t="s">
        <v>9</v>
      </c>
      <c r="J2" s="193" t="s">
        <v>10</v>
      </c>
      <c r="K2" s="193" t="s">
        <v>11</v>
      </c>
      <c r="L2" s="193" t="s">
        <v>12</v>
      </c>
      <c r="M2" s="193" t="s">
        <v>13</v>
      </c>
      <c r="N2" s="193" t="s">
        <v>14</v>
      </c>
      <c r="O2" s="193" t="s">
        <v>15</v>
      </c>
      <c r="P2" s="193" t="s">
        <v>16</v>
      </c>
      <c r="Q2" s="193" t="s">
        <v>17</v>
      </c>
      <c r="R2" s="193" t="s">
        <v>18</v>
      </c>
      <c r="S2" s="193" t="s">
        <v>19</v>
      </c>
      <c r="T2" s="193" t="s">
        <v>20</v>
      </c>
      <c r="U2" s="193" t="s">
        <v>21</v>
      </c>
      <c r="V2" s="193" t="s">
        <v>22</v>
      </c>
      <c r="W2" s="193" t="s">
        <v>23</v>
      </c>
      <c r="X2" s="193" t="s">
        <v>24</v>
      </c>
      <c r="Y2" s="193" t="s">
        <v>25</v>
      </c>
      <c r="Z2" s="193" t="s">
        <v>26</v>
      </c>
      <c r="AA2" s="193" t="s">
        <v>27</v>
      </c>
      <c r="AB2" s="193" t="s">
        <v>28</v>
      </c>
    </row>
    <row r="3" spans="1:28">
      <c r="A3" s="193" t="s">
        <v>29</v>
      </c>
      <c r="B3" s="193" t="s">
        <v>30</v>
      </c>
      <c r="C3" s="193"/>
      <c r="D3" s="193"/>
      <c r="E3" s="193"/>
      <c r="F3" s="193"/>
      <c r="G3" s="193">
        <v>1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>
        <f>SUM(E3:AA3)</f>
        <v>1</v>
      </c>
    </row>
    <row r="4" spans="1:28">
      <c r="A4" s="193" t="s">
        <v>31</v>
      </c>
      <c r="B4" s="193" t="s">
        <v>32</v>
      </c>
      <c r="C4" s="193"/>
      <c r="D4" s="193"/>
      <c r="E4" s="193">
        <v>1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>
        <f t="shared" ref="AB4:AB67" si="0">SUM(E4:AA4)</f>
        <v>1</v>
      </c>
    </row>
    <row r="5" spans="1:28">
      <c r="A5" s="193" t="s">
        <v>33</v>
      </c>
      <c r="B5" s="193" t="s">
        <v>34</v>
      </c>
      <c r="C5" s="193"/>
      <c r="D5" s="193"/>
      <c r="E5" s="193">
        <v>1</v>
      </c>
      <c r="F5" s="193">
        <v>1</v>
      </c>
      <c r="G5" s="193">
        <v>1</v>
      </c>
      <c r="H5" s="193">
        <v>2</v>
      </c>
      <c r="I5" s="193">
        <v>2</v>
      </c>
      <c r="J5" s="193">
        <v>2</v>
      </c>
      <c r="K5" s="193">
        <v>2</v>
      </c>
      <c r="L5" s="193">
        <v>2</v>
      </c>
      <c r="M5" s="193">
        <v>2</v>
      </c>
      <c r="N5" s="193">
        <v>2</v>
      </c>
      <c r="O5" s="193">
        <v>2</v>
      </c>
      <c r="P5" s="193">
        <v>2</v>
      </c>
      <c r="Q5" s="193">
        <v>2</v>
      </c>
      <c r="R5" s="193">
        <v>2</v>
      </c>
      <c r="S5" s="193">
        <v>2</v>
      </c>
      <c r="T5" s="193">
        <v>2</v>
      </c>
      <c r="U5" s="193">
        <v>2</v>
      </c>
      <c r="V5" s="193">
        <v>2</v>
      </c>
      <c r="W5" s="193">
        <v>2</v>
      </c>
      <c r="X5" s="193">
        <v>2</v>
      </c>
      <c r="Y5" s="193">
        <v>2</v>
      </c>
      <c r="Z5" s="193">
        <v>2</v>
      </c>
      <c r="AA5" s="193">
        <v>1</v>
      </c>
      <c r="AB5" s="193">
        <f t="shared" si="0"/>
        <v>42</v>
      </c>
    </row>
    <row r="6" spans="1:28">
      <c r="A6" s="193" t="s">
        <v>35</v>
      </c>
      <c r="B6" s="193" t="s">
        <v>36</v>
      </c>
      <c r="C6" s="193"/>
      <c r="D6" s="193"/>
      <c r="E6" s="193">
        <v>1</v>
      </c>
      <c r="F6" s="193">
        <v>1</v>
      </c>
      <c r="G6" s="193">
        <v>1</v>
      </c>
      <c r="H6" s="193"/>
      <c r="I6" s="193">
        <v>1</v>
      </c>
      <c r="J6" s="193">
        <v>1</v>
      </c>
      <c r="K6" s="193">
        <v>1</v>
      </c>
      <c r="L6" s="193">
        <v>1</v>
      </c>
      <c r="M6" s="193">
        <v>1</v>
      </c>
      <c r="N6" s="193">
        <v>1</v>
      </c>
      <c r="O6" s="193">
        <v>1</v>
      </c>
      <c r="P6" s="193">
        <v>1</v>
      </c>
      <c r="Q6" s="193">
        <v>1</v>
      </c>
      <c r="R6" s="193">
        <v>1</v>
      </c>
      <c r="S6" s="193">
        <v>1</v>
      </c>
      <c r="T6" s="193">
        <v>1</v>
      </c>
      <c r="U6" s="193">
        <v>1</v>
      </c>
      <c r="V6" s="193">
        <v>1</v>
      </c>
      <c r="W6" s="193">
        <v>1</v>
      </c>
      <c r="X6" s="193">
        <v>1</v>
      </c>
      <c r="Y6" s="193">
        <v>1</v>
      </c>
      <c r="Z6" s="193">
        <v>1</v>
      </c>
      <c r="AA6" s="193"/>
      <c r="AB6" s="193">
        <f t="shared" si="0"/>
        <v>21</v>
      </c>
    </row>
    <row r="7" spans="1:28">
      <c r="A7" s="193" t="s">
        <v>37</v>
      </c>
      <c r="B7" s="193" t="s">
        <v>38</v>
      </c>
      <c r="C7" s="193"/>
      <c r="D7" s="193"/>
      <c r="E7" s="193">
        <v>1</v>
      </c>
      <c r="F7" s="193">
        <v>1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>
        <f t="shared" si="0"/>
        <v>2</v>
      </c>
    </row>
    <row r="8" spans="1:28">
      <c r="A8" s="193" t="s">
        <v>39</v>
      </c>
      <c r="B8" s="193" t="s">
        <v>40</v>
      </c>
      <c r="C8" s="193"/>
      <c r="D8" s="193"/>
      <c r="E8" s="193">
        <v>1</v>
      </c>
      <c r="F8" s="193"/>
      <c r="G8" s="193">
        <v>4</v>
      </c>
      <c r="H8" s="193">
        <v>2</v>
      </c>
      <c r="I8" s="193">
        <v>2</v>
      </c>
      <c r="J8" s="193">
        <v>2</v>
      </c>
      <c r="K8" s="193">
        <v>2</v>
      </c>
      <c r="L8" s="193">
        <v>2</v>
      </c>
      <c r="M8" s="193">
        <v>2</v>
      </c>
      <c r="N8" s="193">
        <v>2</v>
      </c>
      <c r="O8" s="193">
        <v>2</v>
      </c>
      <c r="P8" s="193">
        <v>2</v>
      </c>
      <c r="Q8" s="193">
        <v>2</v>
      </c>
      <c r="R8" s="193">
        <v>2</v>
      </c>
      <c r="S8" s="193">
        <v>2</v>
      </c>
      <c r="T8" s="193">
        <v>2</v>
      </c>
      <c r="U8" s="193">
        <v>2</v>
      </c>
      <c r="V8" s="193">
        <v>2</v>
      </c>
      <c r="W8" s="193">
        <v>2</v>
      </c>
      <c r="X8" s="193">
        <v>2</v>
      </c>
      <c r="Y8" s="193">
        <v>2</v>
      </c>
      <c r="Z8" s="193">
        <v>2</v>
      </c>
      <c r="AA8" s="193"/>
      <c r="AB8" s="193">
        <f t="shared" si="0"/>
        <v>43</v>
      </c>
    </row>
    <row r="9" spans="1:28">
      <c r="A9" s="193" t="s">
        <v>41</v>
      </c>
      <c r="B9" s="193" t="s">
        <v>42</v>
      </c>
      <c r="C9" s="193"/>
      <c r="D9" s="193"/>
      <c r="E9" s="193"/>
      <c r="F9" s="193">
        <v>1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>
        <f t="shared" si="0"/>
        <v>1</v>
      </c>
    </row>
    <row r="10" spans="1:28">
      <c r="A10" s="193" t="s">
        <v>43</v>
      </c>
      <c r="B10" s="193" t="s">
        <v>44</v>
      </c>
      <c r="C10" s="193"/>
      <c r="D10" s="193"/>
      <c r="E10" s="193"/>
      <c r="F10" s="193">
        <v>2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>
        <f t="shared" si="0"/>
        <v>2</v>
      </c>
    </row>
    <row r="11" spans="1:28">
      <c r="A11" s="193" t="s">
        <v>45</v>
      </c>
      <c r="B11" s="193" t="s">
        <v>46</v>
      </c>
      <c r="C11" s="193"/>
      <c r="D11" s="193"/>
      <c r="E11" s="193"/>
      <c r="F11" s="193">
        <v>2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>
        <f t="shared" si="0"/>
        <v>2</v>
      </c>
    </row>
    <row r="12" spans="1:28">
      <c r="A12" s="193" t="s">
        <v>47</v>
      </c>
      <c r="B12" s="193" t="s">
        <v>48</v>
      </c>
      <c r="C12" s="193"/>
      <c r="D12" s="193"/>
      <c r="E12" s="193"/>
      <c r="F12" s="193">
        <v>4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>
        <f t="shared" si="0"/>
        <v>4</v>
      </c>
    </row>
    <row r="13" spans="1:28">
      <c r="A13" s="193" t="s">
        <v>49</v>
      </c>
      <c r="B13" s="193" t="s">
        <v>50</v>
      </c>
      <c r="C13" s="193"/>
      <c r="D13" s="193"/>
      <c r="E13" s="193"/>
      <c r="F13" s="193">
        <v>1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>
        <f t="shared" si="0"/>
        <v>1</v>
      </c>
    </row>
    <row r="14" spans="1:28">
      <c r="A14" s="193" t="s">
        <v>51</v>
      </c>
      <c r="B14" s="193" t="s">
        <v>52</v>
      </c>
      <c r="C14" s="193"/>
      <c r="D14" s="193"/>
      <c r="E14" s="193"/>
      <c r="F14" s="193">
        <v>1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>
        <f t="shared" si="0"/>
        <v>1</v>
      </c>
    </row>
    <row r="15" spans="1:28">
      <c r="A15" s="193" t="s">
        <v>53</v>
      </c>
      <c r="B15" s="193" t="s">
        <v>54</v>
      </c>
      <c r="C15" s="193"/>
      <c r="D15" s="193"/>
      <c r="E15" s="193"/>
      <c r="F15" s="193">
        <v>1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>
        <f t="shared" si="0"/>
        <v>1</v>
      </c>
    </row>
    <row r="16" spans="1:28">
      <c r="A16" s="193" t="s">
        <v>55</v>
      </c>
      <c r="B16" s="193" t="s">
        <v>56</v>
      </c>
      <c r="C16" s="193"/>
      <c r="D16" s="193"/>
      <c r="E16" s="193"/>
      <c r="F16" s="193">
        <v>1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>
        <f t="shared" si="0"/>
        <v>1</v>
      </c>
    </row>
    <row r="17" spans="1:28">
      <c r="A17" s="193" t="s">
        <v>57</v>
      </c>
      <c r="B17" s="193" t="s">
        <v>58</v>
      </c>
      <c r="C17" s="193"/>
      <c r="D17" s="193"/>
      <c r="E17" s="193"/>
      <c r="F17" s="193">
        <v>2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>
        <f t="shared" si="0"/>
        <v>2</v>
      </c>
    </row>
    <row r="18" spans="1:28">
      <c r="A18" s="193" t="s">
        <v>59</v>
      </c>
      <c r="B18" s="193" t="s">
        <v>60</v>
      </c>
      <c r="C18" s="193"/>
      <c r="D18" s="193"/>
      <c r="E18" s="193"/>
      <c r="F18" s="193">
        <v>1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>
        <f t="shared" si="0"/>
        <v>1</v>
      </c>
    </row>
    <row r="19" spans="1:28">
      <c r="A19" s="193" t="s">
        <v>61</v>
      </c>
      <c r="B19" s="193" t="s">
        <v>62</v>
      </c>
      <c r="C19" s="193"/>
      <c r="D19" s="193"/>
      <c r="E19" s="193"/>
      <c r="F19" s="193">
        <v>1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>
        <f t="shared" si="0"/>
        <v>1</v>
      </c>
    </row>
    <row r="20" spans="1:28">
      <c r="A20" s="193" t="s">
        <v>63</v>
      </c>
      <c r="B20" s="193" t="s">
        <v>64</v>
      </c>
      <c r="C20" s="193"/>
      <c r="D20" s="193"/>
      <c r="E20" s="193"/>
      <c r="F20" s="193">
        <v>1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>
        <f t="shared" si="0"/>
        <v>1</v>
      </c>
    </row>
    <row r="21" spans="1:28">
      <c r="A21" s="193" t="s">
        <v>65</v>
      </c>
      <c r="B21" s="193" t="s">
        <v>66</v>
      </c>
      <c r="C21" s="193"/>
      <c r="D21" s="193"/>
      <c r="E21" s="193"/>
      <c r="F21" s="193">
        <v>7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>
        <f t="shared" si="0"/>
        <v>7</v>
      </c>
    </row>
    <row r="22" spans="1:28">
      <c r="A22" s="193" t="s">
        <v>67</v>
      </c>
      <c r="B22" s="193" t="s">
        <v>68</v>
      </c>
      <c r="C22" s="193"/>
      <c r="D22" s="193"/>
      <c r="E22" s="193"/>
      <c r="F22" s="193">
        <v>1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>
        <f t="shared" si="0"/>
        <v>1</v>
      </c>
    </row>
    <row r="23" spans="1:28">
      <c r="A23" s="193" t="s">
        <v>69</v>
      </c>
      <c r="B23" s="193" t="s">
        <v>70</v>
      </c>
      <c r="C23" s="193"/>
      <c r="D23" s="193"/>
      <c r="E23" s="193"/>
      <c r="F23" s="193">
        <v>6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>
        <f t="shared" si="0"/>
        <v>6</v>
      </c>
    </row>
    <row r="24" spans="1:28">
      <c r="A24" s="193" t="s">
        <v>71</v>
      </c>
      <c r="B24" s="193" t="s">
        <v>72</v>
      </c>
      <c r="C24" s="193"/>
      <c r="D24" s="193"/>
      <c r="E24" s="193"/>
      <c r="F24" s="193">
        <v>4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>
        <f t="shared" si="0"/>
        <v>4</v>
      </c>
    </row>
    <row r="25" spans="1:28">
      <c r="A25" s="193" t="s">
        <v>73</v>
      </c>
      <c r="B25" s="193" t="s">
        <v>74</v>
      </c>
      <c r="C25" s="193"/>
      <c r="D25" s="193"/>
      <c r="E25" s="193"/>
      <c r="F25" s="193">
        <v>1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>
        <f t="shared" si="0"/>
        <v>1</v>
      </c>
    </row>
    <row r="26" spans="1:28">
      <c r="A26" s="193" t="s">
        <v>75</v>
      </c>
      <c r="B26" s="193" t="s">
        <v>76</v>
      </c>
      <c r="C26" s="193"/>
      <c r="D26" s="193"/>
      <c r="E26" s="193"/>
      <c r="F26" s="193">
        <v>1</v>
      </c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>
        <f t="shared" si="0"/>
        <v>1</v>
      </c>
    </row>
    <row r="27" spans="1:28">
      <c r="A27" s="193" t="s">
        <v>77</v>
      </c>
      <c r="B27" s="193" t="s">
        <v>78</v>
      </c>
      <c r="C27" s="193"/>
      <c r="D27" s="193"/>
      <c r="E27" s="193"/>
      <c r="F27" s="193">
        <v>1</v>
      </c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>
        <f t="shared" si="0"/>
        <v>1</v>
      </c>
    </row>
    <row r="28" spans="1:28">
      <c r="A28" s="193" t="s">
        <v>79</v>
      </c>
      <c r="B28" s="193" t="s">
        <v>80</v>
      </c>
      <c r="C28" s="193"/>
      <c r="D28" s="193"/>
      <c r="E28" s="193"/>
      <c r="F28" s="193">
        <v>1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>
        <f t="shared" si="0"/>
        <v>1</v>
      </c>
    </row>
    <row r="29" spans="1:28">
      <c r="A29" s="193" t="s">
        <v>81</v>
      </c>
      <c r="B29" s="193" t="s">
        <v>82</v>
      </c>
      <c r="C29" s="193"/>
      <c r="D29" s="193"/>
      <c r="E29" s="193"/>
      <c r="F29" s="193">
        <v>1</v>
      </c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>
        <f t="shared" si="0"/>
        <v>1</v>
      </c>
    </row>
    <row r="30" spans="1:28">
      <c r="A30" s="193" t="s">
        <v>83</v>
      </c>
      <c r="B30" s="193" t="s">
        <v>84</v>
      </c>
      <c r="C30" s="193"/>
      <c r="D30" s="193"/>
      <c r="E30" s="193"/>
      <c r="F30" s="193">
        <v>1</v>
      </c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>
        <f t="shared" si="0"/>
        <v>1</v>
      </c>
    </row>
    <row r="31" spans="1:28">
      <c r="A31" s="193" t="s">
        <v>85</v>
      </c>
      <c r="B31" s="193" t="s">
        <v>86</v>
      </c>
      <c r="C31" s="193"/>
      <c r="D31" s="193"/>
      <c r="E31" s="193"/>
      <c r="F31" s="193">
        <v>1</v>
      </c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>
        <f t="shared" si="0"/>
        <v>1</v>
      </c>
    </row>
    <row r="32" spans="1:28">
      <c r="A32" s="193" t="s">
        <v>87</v>
      </c>
      <c r="B32" s="193" t="s">
        <v>88</v>
      </c>
      <c r="C32" s="193"/>
      <c r="D32" s="193"/>
      <c r="E32" s="193"/>
      <c r="F32" s="193"/>
      <c r="G32" s="193">
        <v>2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>
        <f t="shared" si="0"/>
        <v>2</v>
      </c>
    </row>
    <row r="33" spans="1:28">
      <c r="A33" s="193" t="s">
        <v>89</v>
      </c>
      <c r="B33" s="193" t="s">
        <v>90</v>
      </c>
      <c r="C33" s="193"/>
      <c r="D33" s="193"/>
      <c r="E33" s="193"/>
      <c r="F33" s="193"/>
      <c r="G33" s="193">
        <v>3</v>
      </c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>
        <f t="shared" si="0"/>
        <v>3</v>
      </c>
    </row>
    <row r="34" spans="1:28">
      <c r="A34" s="193" t="s">
        <v>91</v>
      </c>
      <c r="B34" s="193" t="s">
        <v>92</v>
      </c>
      <c r="C34" s="193"/>
      <c r="D34" s="193"/>
      <c r="E34" s="193"/>
      <c r="F34" s="193"/>
      <c r="G34" s="193">
        <v>1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>
        <f t="shared" si="0"/>
        <v>1</v>
      </c>
    </row>
    <row r="35" spans="1:28">
      <c r="A35" s="193" t="s">
        <v>93</v>
      </c>
      <c r="B35" s="193" t="s">
        <v>94</v>
      </c>
      <c r="C35" s="193"/>
      <c r="D35" s="193"/>
      <c r="E35" s="193"/>
      <c r="F35" s="193"/>
      <c r="G35" s="193">
        <v>1</v>
      </c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>
        <f t="shared" si="0"/>
        <v>1</v>
      </c>
    </row>
    <row r="36" spans="1:28">
      <c r="A36" s="193" t="s">
        <v>95</v>
      </c>
      <c r="B36" s="193" t="s">
        <v>96</v>
      </c>
      <c r="C36" s="193"/>
      <c r="D36" s="193"/>
      <c r="E36" s="193"/>
      <c r="F36" s="193"/>
      <c r="G36" s="193">
        <v>1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>
        <f t="shared" si="0"/>
        <v>1</v>
      </c>
    </row>
    <row r="37" spans="1:28">
      <c r="A37" s="193" t="s">
        <v>97</v>
      </c>
      <c r="B37" s="193" t="s">
        <v>98</v>
      </c>
      <c r="C37" s="193"/>
      <c r="D37" s="193"/>
      <c r="E37" s="193"/>
      <c r="F37" s="193"/>
      <c r="G37" s="193">
        <v>1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>
        <f t="shared" si="0"/>
        <v>1</v>
      </c>
    </row>
    <row r="38" spans="1:28">
      <c r="A38" s="193" t="s">
        <v>99</v>
      </c>
      <c r="B38" s="193" t="s">
        <v>100</v>
      </c>
      <c r="C38" s="193"/>
      <c r="D38" s="193"/>
      <c r="E38" s="193"/>
      <c r="F38" s="193"/>
      <c r="G38" s="193">
        <v>1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>
        <f t="shared" si="0"/>
        <v>1</v>
      </c>
    </row>
    <row r="39" spans="1:28">
      <c r="A39" s="193" t="s">
        <v>101</v>
      </c>
      <c r="B39" s="193" t="s">
        <v>102</v>
      </c>
      <c r="C39" s="193"/>
      <c r="D39" s="193"/>
      <c r="E39" s="193"/>
      <c r="F39" s="193"/>
      <c r="G39" s="193">
        <v>1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>
        <f t="shared" si="0"/>
        <v>1</v>
      </c>
    </row>
    <row r="40" spans="1:28">
      <c r="A40" s="193" t="s">
        <v>103</v>
      </c>
      <c r="B40" s="193" t="s">
        <v>104</v>
      </c>
      <c r="C40" s="193"/>
      <c r="D40" s="193"/>
      <c r="E40" s="193"/>
      <c r="F40" s="193"/>
      <c r="G40" s="193">
        <v>1</v>
      </c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>
        <f t="shared" si="0"/>
        <v>1</v>
      </c>
    </row>
    <row r="41" spans="1:28">
      <c r="A41" s="193" t="s">
        <v>105</v>
      </c>
      <c r="B41" s="193" t="s">
        <v>106</v>
      </c>
      <c r="C41" s="193"/>
      <c r="D41" s="193"/>
      <c r="E41" s="193"/>
      <c r="F41" s="193"/>
      <c r="G41" s="193">
        <v>1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>
        <f t="shared" si="0"/>
        <v>1</v>
      </c>
    </row>
    <row r="42" spans="1:28">
      <c r="A42" s="193" t="s">
        <v>107</v>
      </c>
      <c r="B42" s="193" t="s">
        <v>108</v>
      </c>
      <c r="C42" s="193"/>
      <c r="D42" s="193"/>
      <c r="E42" s="193"/>
      <c r="F42" s="193"/>
      <c r="G42" s="193">
        <v>1</v>
      </c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>
        <f t="shared" si="0"/>
        <v>1</v>
      </c>
    </row>
    <row r="43" spans="1:28">
      <c r="A43" s="193" t="s">
        <v>109</v>
      </c>
      <c r="B43" s="193" t="s">
        <v>110</v>
      </c>
      <c r="C43" s="193"/>
      <c r="D43" s="193"/>
      <c r="E43" s="193"/>
      <c r="F43" s="193"/>
      <c r="G43" s="193">
        <v>1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>
        <f t="shared" si="0"/>
        <v>1</v>
      </c>
    </row>
    <row r="44" spans="1:28">
      <c r="A44" s="193" t="s">
        <v>111</v>
      </c>
      <c r="B44" s="193" t="s">
        <v>112</v>
      </c>
      <c r="C44" s="193"/>
      <c r="D44" s="193"/>
      <c r="E44" s="193"/>
      <c r="F44" s="193"/>
      <c r="G44" s="193">
        <v>1</v>
      </c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>
        <f t="shared" si="0"/>
        <v>1</v>
      </c>
    </row>
    <row r="45" spans="1:28">
      <c r="A45" s="193" t="s">
        <v>113</v>
      </c>
      <c r="B45" s="193" t="s">
        <v>114</v>
      </c>
      <c r="C45" s="193"/>
      <c r="D45" s="193"/>
      <c r="E45" s="193"/>
      <c r="F45" s="193"/>
      <c r="G45" s="193">
        <v>6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>
        <f t="shared" si="0"/>
        <v>6</v>
      </c>
    </row>
    <row r="46" spans="1:28">
      <c r="A46" s="193" t="s">
        <v>115</v>
      </c>
      <c r="B46" s="193" t="s">
        <v>116</v>
      </c>
      <c r="C46" s="193"/>
      <c r="D46" s="193"/>
      <c r="E46" s="193"/>
      <c r="F46" s="193"/>
      <c r="G46" s="193">
        <v>1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>
        <f t="shared" si="0"/>
        <v>1</v>
      </c>
    </row>
    <row r="47" spans="1:28">
      <c r="A47" s="193" t="s">
        <v>117</v>
      </c>
      <c r="B47" s="195" t="s">
        <v>118</v>
      </c>
      <c r="C47" s="193"/>
      <c r="D47" s="193"/>
      <c r="E47" s="193"/>
      <c r="F47" s="193"/>
      <c r="G47" s="193">
        <v>1</v>
      </c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>
        <f t="shared" si="0"/>
        <v>1</v>
      </c>
    </row>
    <row r="48" spans="1:28">
      <c r="A48" s="193" t="s">
        <v>119</v>
      </c>
      <c r="B48" s="193" t="s">
        <v>120</v>
      </c>
      <c r="C48" s="193"/>
      <c r="D48" s="193"/>
      <c r="E48" s="193"/>
      <c r="F48" s="193"/>
      <c r="G48" s="193">
        <v>4</v>
      </c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>
        <f t="shared" si="0"/>
        <v>4</v>
      </c>
    </row>
    <row r="49" spans="1:28">
      <c r="A49" s="193" t="s">
        <v>121</v>
      </c>
      <c r="B49" s="193" t="s">
        <v>122</v>
      </c>
      <c r="C49" s="193"/>
      <c r="D49" s="193"/>
      <c r="E49" s="193"/>
      <c r="F49" s="193"/>
      <c r="G49" s="193">
        <v>1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>
        <f t="shared" si="0"/>
        <v>1</v>
      </c>
    </row>
    <row r="50" spans="1:28">
      <c r="A50" s="193" t="s">
        <v>123</v>
      </c>
      <c r="B50" s="193" t="s">
        <v>124</v>
      </c>
      <c r="C50" s="193"/>
      <c r="D50" s="193"/>
      <c r="E50" s="193"/>
      <c r="F50" s="193"/>
      <c r="G50" s="193">
        <v>1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>
        <f t="shared" si="0"/>
        <v>1</v>
      </c>
    </row>
    <row r="51" spans="1:28">
      <c r="A51" s="193" t="s">
        <v>125</v>
      </c>
      <c r="B51" s="193" t="s">
        <v>126</v>
      </c>
      <c r="C51" s="193"/>
      <c r="D51" s="193"/>
      <c r="E51" s="193"/>
      <c r="F51" s="193"/>
      <c r="G51" s="193">
        <v>1</v>
      </c>
      <c r="H51" s="193">
        <v>2</v>
      </c>
      <c r="I51" s="193">
        <v>2</v>
      </c>
      <c r="J51" s="193">
        <v>2</v>
      </c>
      <c r="K51" s="193">
        <v>2</v>
      </c>
      <c r="L51" s="193">
        <v>2</v>
      </c>
      <c r="M51" s="193">
        <v>2</v>
      </c>
      <c r="N51" s="193">
        <v>2</v>
      </c>
      <c r="O51" s="193">
        <v>2</v>
      </c>
      <c r="P51" s="193">
        <v>2</v>
      </c>
      <c r="Q51" s="193">
        <v>2</v>
      </c>
      <c r="R51" s="193">
        <v>2</v>
      </c>
      <c r="S51" s="193">
        <v>2</v>
      </c>
      <c r="T51" s="193">
        <v>2</v>
      </c>
      <c r="U51" s="193">
        <v>2</v>
      </c>
      <c r="V51" s="193">
        <v>2</v>
      </c>
      <c r="W51" s="193">
        <v>2</v>
      </c>
      <c r="X51" s="193">
        <v>2</v>
      </c>
      <c r="Y51" s="193">
        <v>2</v>
      </c>
      <c r="Z51" s="193">
        <v>2</v>
      </c>
      <c r="AA51" s="193">
        <v>2</v>
      </c>
      <c r="AB51" s="193">
        <f t="shared" si="0"/>
        <v>41</v>
      </c>
    </row>
    <row r="52" spans="1:28">
      <c r="A52" s="193" t="s">
        <v>127</v>
      </c>
      <c r="B52" s="193" t="s">
        <v>128</v>
      </c>
      <c r="C52" s="193"/>
      <c r="D52" s="193"/>
      <c r="E52" s="193"/>
      <c r="F52" s="193"/>
      <c r="G52" s="193">
        <v>1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>
        <f t="shared" si="0"/>
        <v>1</v>
      </c>
    </row>
    <row r="53" spans="1:28">
      <c r="A53" s="193" t="s">
        <v>129</v>
      </c>
      <c r="B53" s="193" t="s">
        <v>130</v>
      </c>
      <c r="C53" s="193"/>
      <c r="D53" s="193"/>
      <c r="E53" s="193"/>
      <c r="F53" s="193"/>
      <c r="G53" s="193">
        <v>1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>
        <f t="shared" si="0"/>
        <v>1</v>
      </c>
    </row>
    <row r="54" spans="1:28">
      <c r="A54" s="193" t="s">
        <v>131</v>
      </c>
      <c r="B54" s="193" t="s">
        <v>132</v>
      </c>
      <c r="C54" s="193"/>
      <c r="D54" s="193"/>
      <c r="E54" s="193"/>
      <c r="F54" s="193"/>
      <c r="G54" s="193">
        <v>1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>
        <f t="shared" si="0"/>
        <v>1</v>
      </c>
    </row>
    <row r="55" spans="1:28">
      <c r="A55" s="193" t="s">
        <v>133</v>
      </c>
      <c r="B55" s="194" t="s">
        <v>134</v>
      </c>
      <c r="C55" s="194"/>
      <c r="D55" s="194"/>
      <c r="E55" s="194"/>
      <c r="F55" s="194"/>
      <c r="G55" s="194">
        <v>1</v>
      </c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3">
        <f t="shared" si="0"/>
        <v>1</v>
      </c>
    </row>
    <row r="56" spans="1:28">
      <c r="A56" s="198" t="s">
        <v>135</v>
      </c>
      <c r="B56" s="193" t="s">
        <v>136</v>
      </c>
      <c r="C56" s="193"/>
      <c r="D56" s="193"/>
      <c r="E56" s="193"/>
      <c r="F56" s="193"/>
      <c r="G56" s="193">
        <v>2</v>
      </c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>
        <f t="shared" si="0"/>
        <v>2</v>
      </c>
    </row>
    <row r="57" spans="1:28">
      <c r="A57" s="198" t="s">
        <v>137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>
        <f t="shared" si="0"/>
        <v>0</v>
      </c>
    </row>
    <row r="58" spans="1:28">
      <c r="A58" s="198" t="s">
        <v>138</v>
      </c>
      <c r="B58" s="193" t="s">
        <v>139</v>
      </c>
      <c r="C58" s="193"/>
      <c r="D58" s="193"/>
      <c r="E58" s="193"/>
      <c r="F58" s="193"/>
      <c r="G58" s="193">
        <v>1</v>
      </c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>
        <f t="shared" si="0"/>
        <v>1</v>
      </c>
    </row>
    <row r="59" spans="1:28">
      <c r="A59" s="198" t="s">
        <v>140</v>
      </c>
      <c r="B59" s="193" t="s">
        <v>141</v>
      </c>
      <c r="C59" s="193"/>
      <c r="D59" s="193"/>
      <c r="E59" s="193"/>
      <c r="F59" s="193"/>
      <c r="G59" s="193"/>
      <c r="H59" s="193">
        <v>1</v>
      </c>
      <c r="I59" s="193">
        <v>1</v>
      </c>
      <c r="J59" s="193">
        <v>1</v>
      </c>
      <c r="K59" s="193">
        <v>1</v>
      </c>
      <c r="L59" s="193">
        <v>1</v>
      </c>
      <c r="M59" s="193">
        <v>1</v>
      </c>
      <c r="N59" s="193">
        <v>1</v>
      </c>
      <c r="O59" s="193">
        <v>1</v>
      </c>
      <c r="P59" s="193">
        <v>1</v>
      </c>
      <c r="Q59" s="193">
        <v>1</v>
      </c>
      <c r="R59" s="193">
        <v>1</v>
      </c>
      <c r="S59" s="193">
        <v>1</v>
      </c>
      <c r="T59" s="193">
        <v>1</v>
      </c>
      <c r="U59" s="193">
        <v>1</v>
      </c>
      <c r="V59" s="193">
        <v>1</v>
      </c>
      <c r="W59" s="193">
        <v>1</v>
      </c>
      <c r="X59" s="193">
        <v>1</v>
      </c>
      <c r="Y59" s="193">
        <v>1</v>
      </c>
      <c r="Z59" s="193">
        <v>1</v>
      </c>
      <c r="AA59" s="193"/>
      <c r="AB59" s="193">
        <f t="shared" si="0"/>
        <v>19</v>
      </c>
    </row>
    <row r="60" spans="1:28">
      <c r="A60" s="198" t="s">
        <v>142</v>
      </c>
      <c r="B60" s="193" t="s">
        <v>143</v>
      </c>
      <c r="C60" s="193"/>
      <c r="D60" s="193"/>
      <c r="E60" s="193"/>
      <c r="F60" s="193"/>
      <c r="G60" s="193"/>
      <c r="H60" s="193">
        <v>1</v>
      </c>
      <c r="I60" s="193">
        <v>1</v>
      </c>
      <c r="J60" s="193">
        <v>1</v>
      </c>
      <c r="K60" s="193">
        <v>1</v>
      </c>
      <c r="L60" s="193">
        <v>1</v>
      </c>
      <c r="M60" s="193">
        <v>1</v>
      </c>
      <c r="N60" s="193">
        <v>1</v>
      </c>
      <c r="O60" s="193">
        <v>1</v>
      </c>
      <c r="P60" s="193">
        <v>1</v>
      </c>
      <c r="Q60" s="193">
        <v>1</v>
      </c>
      <c r="R60" s="193">
        <v>1</v>
      </c>
      <c r="S60" s="193">
        <v>1</v>
      </c>
      <c r="T60" s="193">
        <v>1</v>
      </c>
      <c r="U60" s="193">
        <v>1</v>
      </c>
      <c r="V60" s="193">
        <v>1</v>
      </c>
      <c r="W60" s="193">
        <v>1</v>
      </c>
      <c r="X60" s="193">
        <v>1</v>
      </c>
      <c r="Y60" s="193">
        <v>1</v>
      </c>
      <c r="Z60" s="193">
        <v>1</v>
      </c>
      <c r="AA60" s="193"/>
      <c r="AB60" s="193">
        <f t="shared" si="0"/>
        <v>19</v>
      </c>
    </row>
    <row r="61" spans="1:28">
      <c r="A61" s="198" t="s">
        <v>144</v>
      </c>
      <c r="B61" s="193" t="s">
        <v>145</v>
      </c>
      <c r="C61" s="193"/>
      <c r="D61" s="193"/>
      <c r="E61" s="193"/>
      <c r="F61" s="193"/>
      <c r="G61" s="193"/>
      <c r="H61" s="193">
        <v>4</v>
      </c>
      <c r="I61" s="193">
        <v>4</v>
      </c>
      <c r="J61" s="193">
        <v>4</v>
      </c>
      <c r="K61" s="193">
        <v>4</v>
      </c>
      <c r="L61" s="193">
        <v>4</v>
      </c>
      <c r="M61" s="193">
        <v>4</v>
      </c>
      <c r="N61" s="193">
        <v>4</v>
      </c>
      <c r="O61" s="193">
        <v>4</v>
      </c>
      <c r="P61" s="193">
        <v>4</v>
      </c>
      <c r="Q61" s="193">
        <v>4</v>
      </c>
      <c r="R61" s="193">
        <v>4</v>
      </c>
      <c r="S61" s="193">
        <v>4</v>
      </c>
      <c r="T61" s="193">
        <v>4</v>
      </c>
      <c r="U61" s="193">
        <v>4</v>
      </c>
      <c r="V61" s="193">
        <v>4</v>
      </c>
      <c r="W61" s="193">
        <v>4</v>
      </c>
      <c r="X61" s="193">
        <v>4</v>
      </c>
      <c r="Y61" s="193">
        <v>4</v>
      </c>
      <c r="Z61" s="193">
        <v>4</v>
      </c>
      <c r="AA61" s="193"/>
      <c r="AB61" s="193">
        <f t="shared" si="0"/>
        <v>76</v>
      </c>
    </row>
    <row r="62" spans="1:28">
      <c r="A62" s="198" t="s">
        <v>146</v>
      </c>
      <c r="B62" s="193" t="s">
        <v>147</v>
      </c>
      <c r="C62" s="193"/>
      <c r="D62" s="193"/>
      <c r="E62" s="193"/>
      <c r="F62" s="193"/>
      <c r="G62" s="193"/>
      <c r="H62" s="193">
        <v>3</v>
      </c>
      <c r="I62" s="193">
        <v>3</v>
      </c>
      <c r="J62" s="193">
        <v>3</v>
      </c>
      <c r="K62" s="193">
        <v>3</v>
      </c>
      <c r="L62" s="193">
        <v>3</v>
      </c>
      <c r="M62" s="193">
        <v>3</v>
      </c>
      <c r="N62" s="193">
        <v>3</v>
      </c>
      <c r="O62" s="193">
        <v>3</v>
      </c>
      <c r="P62" s="193">
        <v>3</v>
      </c>
      <c r="Q62" s="193">
        <v>3</v>
      </c>
      <c r="R62" s="193">
        <v>3</v>
      </c>
      <c r="S62" s="193">
        <v>3</v>
      </c>
      <c r="T62" s="193">
        <v>3</v>
      </c>
      <c r="U62" s="193">
        <v>3</v>
      </c>
      <c r="V62" s="193">
        <v>3</v>
      </c>
      <c r="W62" s="193">
        <v>3</v>
      </c>
      <c r="X62" s="193">
        <v>3</v>
      </c>
      <c r="Y62" s="193">
        <v>3</v>
      </c>
      <c r="Z62" s="193">
        <v>3</v>
      </c>
      <c r="AA62" s="193"/>
      <c r="AB62" s="193">
        <f t="shared" si="0"/>
        <v>57</v>
      </c>
    </row>
    <row r="63" spans="1:28">
      <c r="A63" s="198" t="s">
        <v>148</v>
      </c>
      <c r="B63" s="193" t="s">
        <v>149</v>
      </c>
      <c r="C63" s="193"/>
      <c r="D63" s="193"/>
      <c r="E63" s="193"/>
      <c r="F63" s="193"/>
      <c r="G63" s="193"/>
      <c r="H63" s="193">
        <v>6</v>
      </c>
      <c r="I63" s="193">
        <v>6</v>
      </c>
      <c r="J63" s="193">
        <v>6</v>
      </c>
      <c r="K63" s="193">
        <v>6</v>
      </c>
      <c r="L63" s="193">
        <v>6</v>
      </c>
      <c r="M63" s="193">
        <v>6</v>
      </c>
      <c r="N63" s="193">
        <v>6</v>
      </c>
      <c r="O63" s="193">
        <v>6</v>
      </c>
      <c r="P63" s="193">
        <v>6</v>
      </c>
      <c r="Q63" s="193">
        <v>6</v>
      </c>
      <c r="R63" s="193">
        <v>6</v>
      </c>
      <c r="S63" s="193">
        <v>6</v>
      </c>
      <c r="T63" s="193">
        <v>6</v>
      </c>
      <c r="U63" s="193">
        <v>6</v>
      </c>
      <c r="V63" s="193">
        <v>6</v>
      </c>
      <c r="W63" s="193">
        <v>6</v>
      </c>
      <c r="X63" s="193">
        <v>6</v>
      </c>
      <c r="Y63" s="193">
        <v>6</v>
      </c>
      <c r="Z63" s="193">
        <v>6</v>
      </c>
      <c r="AA63" s="193"/>
      <c r="AB63" s="193">
        <f t="shared" si="0"/>
        <v>114</v>
      </c>
    </row>
    <row r="64" spans="1:28">
      <c r="A64" s="198" t="s">
        <v>150</v>
      </c>
      <c r="B64" s="193" t="s">
        <v>151</v>
      </c>
      <c r="C64" s="193"/>
      <c r="D64" s="193"/>
      <c r="E64" s="193"/>
      <c r="F64" s="193"/>
      <c r="G64" s="193"/>
      <c r="H64" s="193">
        <v>6</v>
      </c>
      <c r="I64" s="193">
        <v>6</v>
      </c>
      <c r="J64" s="193">
        <v>6</v>
      </c>
      <c r="K64" s="193">
        <v>6</v>
      </c>
      <c r="L64" s="193">
        <v>6</v>
      </c>
      <c r="M64" s="193">
        <v>6</v>
      </c>
      <c r="N64" s="193">
        <v>6</v>
      </c>
      <c r="O64" s="193">
        <v>6</v>
      </c>
      <c r="P64" s="193">
        <v>6</v>
      </c>
      <c r="Q64" s="193">
        <v>6</v>
      </c>
      <c r="R64" s="193">
        <v>6</v>
      </c>
      <c r="S64" s="193">
        <v>6</v>
      </c>
      <c r="T64" s="193">
        <v>6</v>
      </c>
      <c r="U64" s="193">
        <v>6</v>
      </c>
      <c r="V64" s="193">
        <v>6</v>
      </c>
      <c r="W64" s="193">
        <v>6</v>
      </c>
      <c r="X64" s="193">
        <v>6</v>
      </c>
      <c r="Y64" s="193">
        <v>6</v>
      </c>
      <c r="Z64" s="193">
        <v>6</v>
      </c>
      <c r="AA64" s="193"/>
      <c r="AB64" s="193">
        <f t="shared" si="0"/>
        <v>114</v>
      </c>
    </row>
    <row r="65" spans="1:28">
      <c r="A65" s="198" t="s">
        <v>152</v>
      </c>
      <c r="B65" s="193" t="s">
        <v>153</v>
      </c>
      <c r="C65" s="193"/>
      <c r="D65" s="193"/>
      <c r="E65" s="193"/>
      <c r="F65" s="193"/>
      <c r="G65" s="193"/>
      <c r="H65" s="193">
        <v>3</v>
      </c>
      <c r="I65" s="193">
        <v>1</v>
      </c>
      <c r="J65" s="193">
        <v>1</v>
      </c>
      <c r="K65" s="193">
        <v>1</v>
      </c>
      <c r="L65" s="193">
        <v>2</v>
      </c>
      <c r="M65" s="193">
        <v>1</v>
      </c>
      <c r="N65" s="193">
        <v>2</v>
      </c>
      <c r="O65" s="193">
        <v>1</v>
      </c>
      <c r="P65" s="193">
        <v>1</v>
      </c>
      <c r="Q65" s="193">
        <v>1</v>
      </c>
      <c r="R65" s="193">
        <v>1</v>
      </c>
      <c r="S65" s="193">
        <v>1</v>
      </c>
      <c r="T65" s="193">
        <v>1</v>
      </c>
      <c r="U65" s="193">
        <v>1</v>
      </c>
      <c r="V65" s="193">
        <v>1</v>
      </c>
      <c r="W65" s="193">
        <v>1</v>
      </c>
      <c r="X65" s="193">
        <v>1</v>
      </c>
      <c r="Y65" s="193">
        <v>1</v>
      </c>
      <c r="Z65" s="193">
        <v>1</v>
      </c>
      <c r="AA65" s="193"/>
      <c r="AB65" s="193">
        <f t="shared" si="0"/>
        <v>23</v>
      </c>
    </row>
    <row r="66" spans="1:28">
      <c r="A66" s="198" t="s">
        <v>154</v>
      </c>
      <c r="B66" s="193" t="s">
        <v>155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>
        <f t="shared" si="0"/>
        <v>0</v>
      </c>
    </row>
    <row r="67" spans="1:28">
      <c r="A67" s="198" t="s">
        <v>156</v>
      </c>
      <c r="B67" s="193" t="s">
        <v>157</v>
      </c>
      <c r="C67" s="193"/>
      <c r="D67" s="193"/>
      <c r="E67" s="193"/>
      <c r="F67" s="193"/>
      <c r="G67" s="193"/>
      <c r="H67" s="193">
        <v>1</v>
      </c>
      <c r="I67" s="193">
        <v>1</v>
      </c>
      <c r="J67" s="193">
        <v>1</v>
      </c>
      <c r="K67" s="193">
        <v>1</v>
      </c>
      <c r="L67" s="193">
        <v>1</v>
      </c>
      <c r="M67" s="193">
        <v>1</v>
      </c>
      <c r="N67" s="193">
        <v>1</v>
      </c>
      <c r="O67" s="193">
        <v>1</v>
      </c>
      <c r="P67" s="193">
        <v>1</v>
      </c>
      <c r="Q67" s="193">
        <v>1</v>
      </c>
      <c r="R67" s="193">
        <v>1</v>
      </c>
      <c r="S67" s="193">
        <v>1</v>
      </c>
      <c r="T67" s="193">
        <v>1</v>
      </c>
      <c r="U67" s="193">
        <v>1</v>
      </c>
      <c r="V67" s="193">
        <v>1</v>
      </c>
      <c r="W67" s="193">
        <v>1</v>
      </c>
      <c r="X67" s="193">
        <v>1</v>
      </c>
      <c r="Y67" s="193">
        <v>1</v>
      </c>
      <c r="Z67" s="193">
        <v>1</v>
      </c>
      <c r="AA67" s="193"/>
      <c r="AB67" s="193">
        <f t="shared" si="0"/>
        <v>19</v>
      </c>
    </row>
    <row r="68" spans="1:28">
      <c r="A68" s="198" t="s">
        <v>158</v>
      </c>
      <c r="B68" s="193" t="s">
        <v>159</v>
      </c>
      <c r="C68" s="193"/>
      <c r="D68" s="193"/>
      <c r="E68" s="193"/>
      <c r="F68" s="193"/>
      <c r="G68" s="193"/>
      <c r="H68" s="193">
        <v>2</v>
      </c>
      <c r="I68" s="193">
        <v>2</v>
      </c>
      <c r="J68" s="193">
        <v>2</v>
      </c>
      <c r="K68" s="193">
        <v>2</v>
      </c>
      <c r="L68" s="193">
        <v>2</v>
      </c>
      <c r="M68" s="193">
        <v>2</v>
      </c>
      <c r="N68" s="193">
        <v>2</v>
      </c>
      <c r="O68" s="193">
        <v>2</v>
      </c>
      <c r="P68" s="193">
        <v>2</v>
      </c>
      <c r="Q68" s="193">
        <v>2</v>
      </c>
      <c r="R68" s="193">
        <v>2</v>
      </c>
      <c r="S68" s="193">
        <v>2</v>
      </c>
      <c r="T68" s="193">
        <v>2</v>
      </c>
      <c r="U68" s="193">
        <v>2</v>
      </c>
      <c r="V68" s="193">
        <v>2</v>
      </c>
      <c r="W68" s="193">
        <v>2</v>
      </c>
      <c r="X68" s="193">
        <v>2</v>
      </c>
      <c r="Y68" s="193">
        <v>2</v>
      </c>
      <c r="Z68" s="193">
        <v>2</v>
      </c>
      <c r="AA68" s="193"/>
      <c r="AB68" s="193">
        <f t="shared" ref="AB68:AB91" si="1">SUM(E68:AA68)</f>
        <v>38</v>
      </c>
    </row>
    <row r="69" spans="1:28">
      <c r="A69" s="198" t="s">
        <v>160</v>
      </c>
      <c r="B69" s="193" t="s">
        <v>161</v>
      </c>
      <c r="C69" s="193"/>
      <c r="D69" s="193"/>
      <c r="E69" s="193"/>
      <c r="F69" s="193"/>
      <c r="G69" s="193"/>
      <c r="H69" s="193">
        <v>2</v>
      </c>
      <c r="I69" s="193">
        <v>1</v>
      </c>
      <c r="J69" s="193">
        <v>1</v>
      </c>
      <c r="K69" s="193">
        <v>1</v>
      </c>
      <c r="L69" s="193">
        <v>1</v>
      </c>
      <c r="M69" s="193">
        <v>1</v>
      </c>
      <c r="N69" s="193">
        <v>1</v>
      </c>
      <c r="O69" s="193">
        <v>1</v>
      </c>
      <c r="P69" s="193">
        <v>1</v>
      </c>
      <c r="Q69" s="193">
        <v>1</v>
      </c>
      <c r="R69" s="193">
        <v>1</v>
      </c>
      <c r="S69" s="193">
        <v>1</v>
      </c>
      <c r="T69" s="193">
        <v>1</v>
      </c>
      <c r="U69" s="193">
        <v>1</v>
      </c>
      <c r="V69" s="193">
        <v>1</v>
      </c>
      <c r="W69" s="193">
        <v>1</v>
      </c>
      <c r="X69" s="193">
        <v>1</v>
      </c>
      <c r="Y69" s="193">
        <v>1</v>
      </c>
      <c r="Z69" s="193">
        <v>1</v>
      </c>
      <c r="AA69" s="193"/>
      <c r="AB69" s="193">
        <f t="shared" si="1"/>
        <v>20</v>
      </c>
    </row>
    <row r="70" spans="1:28">
      <c r="A70" s="198" t="s">
        <v>162</v>
      </c>
      <c r="B70" s="193" t="s">
        <v>163</v>
      </c>
      <c r="C70" s="193"/>
      <c r="D70" s="193"/>
      <c r="E70" s="193"/>
      <c r="F70" s="193"/>
      <c r="G70" s="193"/>
      <c r="H70" s="193">
        <v>2</v>
      </c>
      <c r="I70" s="193">
        <v>2</v>
      </c>
      <c r="J70" s="193">
        <v>2</v>
      </c>
      <c r="K70" s="193">
        <v>2</v>
      </c>
      <c r="L70" s="193">
        <v>2</v>
      </c>
      <c r="M70" s="193">
        <v>2</v>
      </c>
      <c r="N70" s="193">
        <v>2</v>
      </c>
      <c r="O70" s="193">
        <v>2</v>
      </c>
      <c r="P70" s="193">
        <v>2</v>
      </c>
      <c r="Q70" s="193">
        <v>2</v>
      </c>
      <c r="R70" s="193">
        <v>2</v>
      </c>
      <c r="S70" s="193">
        <v>2</v>
      </c>
      <c r="T70" s="193">
        <v>2</v>
      </c>
      <c r="U70" s="193">
        <v>2</v>
      </c>
      <c r="V70" s="193">
        <v>2</v>
      </c>
      <c r="W70" s="193">
        <v>2</v>
      </c>
      <c r="X70" s="193">
        <v>2</v>
      </c>
      <c r="Y70" s="193">
        <v>2</v>
      </c>
      <c r="Z70" s="193">
        <v>2</v>
      </c>
      <c r="AA70" s="193"/>
      <c r="AB70" s="193">
        <f t="shared" si="1"/>
        <v>38</v>
      </c>
    </row>
    <row r="71" spans="1:28">
      <c r="A71" s="198" t="s">
        <v>164</v>
      </c>
      <c r="B71" s="193" t="s">
        <v>165</v>
      </c>
      <c r="C71" s="193"/>
      <c r="D71" s="193"/>
      <c r="E71" s="193"/>
      <c r="F71" s="193"/>
      <c r="G71" s="193"/>
      <c r="H71" s="193">
        <v>1</v>
      </c>
      <c r="I71" s="193">
        <v>1</v>
      </c>
      <c r="J71" s="193">
        <v>1</v>
      </c>
      <c r="K71" s="193">
        <v>1</v>
      </c>
      <c r="L71" s="193">
        <v>1</v>
      </c>
      <c r="M71" s="193">
        <v>1</v>
      </c>
      <c r="N71" s="193">
        <v>1</v>
      </c>
      <c r="O71" s="193">
        <v>1</v>
      </c>
      <c r="P71" s="193">
        <v>1</v>
      </c>
      <c r="Q71" s="193">
        <v>1</v>
      </c>
      <c r="R71" s="193">
        <v>1</v>
      </c>
      <c r="S71" s="193">
        <v>1</v>
      </c>
      <c r="T71" s="193">
        <v>1</v>
      </c>
      <c r="U71" s="193">
        <v>1</v>
      </c>
      <c r="V71" s="193">
        <v>1</v>
      </c>
      <c r="W71" s="193">
        <v>1</v>
      </c>
      <c r="X71" s="193">
        <v>1</v>
      </c>
      <c r="Y71" s="193">
        <v>1</v>
      </c>
      <c r="Z71" s="193">
        <v>1</v>
      </c>
      <c r="AA71" s="193"/>
      <c r="AB71" s="193">
        <f t="shared" si="1"/>
        <v>19</v>
      </c>
    </row>
    <row r="72" spans="1:28">
      <c r="A72" s="198" t="s">
        <v>166</v>
      </c>
      <c r="B72" s="193" t="s">
        <v>167</v>
      </c>
      <c r="C72" s="193"/>
      <c r="D72" s="193"/>
      <c r="E72" s="193"/>
      <c r="F72" s="193"/>
      <c r="G72" s="193"/>
      <c r="H72" s="193">
        <v>1</v>
      </c>
      <c r="I72" s="193">
        <v>1</v>
      </c>
      <c r="J72" s="193">
        <v>1</v>
      </c>
      <c r="K72" s="193">
        <v>1</v>
      </c>
      <c r="L72" s="193">
        <v>1</v>
      </c>
      <c r="M72" s="193">
        <v>1</v>
      </c>
      <c r="N72" s="193">
        <v>1</v>
      </c>
      <c r="O72" s="193">
        <v>1</v>
      </c>
      <c r="P72" s="193">
        <v>1</v>
      </c>
      <c r="Q72" s="193">
        <v>1</v>
      </c>
      <c r="R72" s="193">
        <v>1</v>
      </c>
      <c r="S72" s="193">
        <v>1</v>
      </c>
      <c r="T72" s="193">
        <v>1</v>
      </c>
      <c r="U72" s="193">
        <v>1</v>
      </c>
      <c r="V72" s="193">
        <v>1</v>
      </c>
      <c r="W72" s="193">
        <v>1</v>
      </c>
      <c r="X72" s="193">
        <v>1</v>
      </c>
      <c r="Y72" s="193">
        <v>1</v>
      </c>
      <c r="Z72" s="193">
        <v>1</v>
      </c>
      <c r="AA72" s="193"/>
      <c r="AB72" s="193">
        <f t="shared" si="1"/>
        <v>19</v>
      </c>
    </row>
    <row r="73" spans="1:28">
      <c r="A73" s="198" t="s">
        <v>168</v>
      </c>
      <c r="B73" s="193" t="s">
        <v>169</v>
      </c>
      <c r="C73" s="193"/>
      <c r="D73" s="193"/>
      <c r="E73" s="193"/>
      <c r="F73" s="193"/>
      <c r="G73" s="193"/>
      <c r="H73" s="193">
        <v>2</v>
      </c>
      <c r="I73" s="193">
        <v>2</v>
      </c>
      <c r="J73" s="193">
        <v>2</v>
      </c>
      <c r="K73" s="193">
        <v>2</v>
      </c>
      <c r="L73" s="193">
        <v>2</v>
      </c>
      <c r="M73" s="193">
        <v>2</v>
      </c>
      <c r="N73" s="193">
        <v>2</v>
      </c>
      <c r="O73" s="193">
        <v>2</v>
      </c>
      <c r="P73" s="193">
        <v>2</v>
      </c>
      <c r="Q73" s="193">
        <v>2</v>
      </c>
      <c r="R73" s="193">
        <v>2</v>
      </c>
      <c r="S73" s="193">
        <v>2</v>
      </c>
      <c r="T73" s="193">
        <v>2</v>
      </c>
      <c r="U73" s="193">
        <v>2</v>
      </c>
      <c r="V73" s="193">
        <v>2</v>
      </c>
      <c r="W73" s="193">
        <v>2</v>
      </c>
      <c r="X73" s="193">
        <v>2</v>
      </c>
      <c r="Y73" s="193">
        <v>2</v>
      </c>
      <c r="Z73" s="193">
        <v>2</v>
      </c>
      <c r="AA73" s="193"/>
      <c r="AB73" s="193">
        <f t="shared" si="1"/>
        <v>38</v>
      </c>
    </row>
    <row r="74" spans="1:28">
      <c r="A74" s="198" t="s">
        <v>170</v>
      </c>
      <c r="B74" s="193" t="s">
        <v>171</v>
      </c>
      <c r="C74" s="193"/>
      <c r="D74" s="193"/>
      <c r="E74" s="193"/>
      <c r="F74" s="193"/>
      <c r="G74" s="193"/>
      <c r="H74" s="193">
        <v>1</v>
      </c>
      <c r="I74" s="193">
        <v>1</v>
      </c>
      <c r="J74" s="193">
        <v>1</v>
      </c>
      <c r="K74" s="193">
        <v>1</v>
      </c>
      <c r="L74" s="193">
        <v>1</v>
      </c>
      <c r="M74" s="193">
        <v>1</v>
      </c>
      <c r="N74" s="193">
        <v>1</v>
      </c>
      <c r="O74" s="193">
        <v>1</v>
      </c>
      <c r="P74" s="193">
        <v>1</v>
      </c>
      <c r="Q74" s="193">
        <v>1</v>
      </c>
      <c r="R74" s="193">
        <v>1</v>
      </c>
      <c r="S74" s="193">
        <v>1</v>
      </c>
      <c r="T74" s="193">
        <v>1</v>
      </c>
      <c r="U74" s="193">
        <v>1</v>
      </c>
      <c r="V74" s="193">
        <v>1</v>
      </c>
      <c r="W74" s="193">
        <v>1</v>
      </c>
      <c r="X74" s="193">
        <v>1</v>
      </c>
      <c r="Y74" s="193">
        <v>1</v>
      </c>
      <c r="Z74" s="193">
        <v>1</v>
      </c>
      <c r="AA74" s="193"/>
      <c r="AB74" s="193">
        <f t="shared" si="1"/>
        <v>19</v>
      </c>
    </row>
    <row r="75" spans="1:28">
      <c r="A75" s="193" t="s">
        <v>172</v>
      </c>
      <c r="B75" s="193" t="s">
        <v>173</v>
      </c>
      <c r="C75" s="193"/>
      <c r="D75" s="193"/>
      <c r="E75" s="193"/>
      <c r="F75" s="193"/>
      <c r="G75" s="193"/>
      <c r="H75" s="193">
        <v>1</v>
      </c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>
        <f t="shared" si="1"/>
        <v>1</v>
      </c>
    </row>
    <row r="76" spans="1:28">
      <c r="A76" s="193" t="s">
        <v>174</v>
      </c>
      <c r="B76" s="193" t="s">
        <v>175</v>
      </c>
      <c r="C76" s="193"/>
      <c r="D76" s="193"/>
      <c r="E76" s="193"/>
      <c r="F76" s="193"/>
      <c r="G76" s="193"/>
      <c r="H76" s="193">
        <v>1</v>
      </c>
      <c r="I76" s="193">
        <v>1</v>
      </c>
      <c r="J76" s="193">
        <v>1</v>
      </c>
      <c r="K76" s="193">
        <v>1</v>
      </c>
      <c r="L76" s="193">
        <v>1</v>
      </c>
      <c r="M76" s="193">
        <v>1</v>
      </c>
      <c r="N76" s="193">
        <v>1</v>
      </c>
      <c r="O76" s="193">
        <v>1</v>
      </c>
      <c r="P76" s="193">
        <v>1</v>
      </c>
      <c r="Q76" s="193">
        <v>1</v>
      </c>
      <c r="R76" s="193">
        <v>1</v>
      </c>
      <c r="S76" s="193">
        <v>1</v>
      </c>
      <c r="T76" s="193">
        <v>1</v>
      </c>
      <c r="U76" s="193">
        <v>1</v>
      </c>
      <c r="V76" s="193">
        <v>1</v>
      </c>
      <c r="W76" s="193">
        <v>1</v>
      </c>
      <c r="X76" s="193">
        <v>1</v>
      </c>
      <c r="Y76" s="193">
        <v>1</v>
      </c>
      <c r="Z76" s="193">
        <v>1</v>
      </c>
      <c r="AA76" s="193"/>
      <c r="AB76" s="193">
        <f t="shared" si="1"/>
        <v>19</v>
      </c>
    </row>
    <row r="77" spans="1:28">
      <c r="A77" s="193" t="s">
        <v>176</v>
      </c>
      <c r="B77" s="193" t="s">
        <v>177</v>
      </c>
      <c r="C77" s="193"/>
      <c r="D77" s="193"/>
      <c r="E77" s="193"/>
      <c r="F77" s="193"/>
      <c r="G77" s="193"/>
      <c r="H77" s="193">
        <v>1</v>
      </c>
      <c r="I77" s="193">
        <v>1</v>
      </c>
      <c r="J77" s="193">
        <v>1</v>
      </c>
      <c r="K77" s="193">
        <v>1</v>
      </c>
      <c r="L77" s="193">
        <v>1</v>
      </c>
      <c r="M77" s="193">
        <v>1</v>
      </c>
      <c r="N77" s="193">
        <v>1</v>
      </c>
      <c r="O77" s="193">
        <v>1</v>
      </c>
      <c r="P77" s="193">
        <v>1</v>
      </c>
      <c r="Q77" s="193">
        <v>1</v>
      </c>
      <c r="R77" s="193">
        <v>1</v>
      </c>
      <c r="S77" s="193">
        <v>1</v>
      </c>
      <c r="T77" s="193">
        <v>1</v>
      </c>
      <c r="U77" s="193">
        <v>1</v>
      </c>
      <c r="V77" s="193">
        <v>1</v>
      </c>
      <c r="W77" s="193">
        <v>1</v>
      </c>
      <c r="X77" s="193">
        <v>1</v>
      </c>
      <c r="Y77" s="193">
        <v>1</v>
      </c>
      <c r="Z77" s="193">
        <v>1</v>
      </c>
      <c r="AA77" s="193"/>
      <c r="AB77" s="193">
        <f t="shared" si="1"/>
        <v>19</v>
      </c>
    </row>
    <row r="78" spans="1:28">
      <c r="A78" s="193" t="s">
        <v>178</v>
      </c>
      <c r="B78" s="193" t="s">
        <v>179</v>
      </c>
      <c r="C78" s="193"/>
      <c r="D78" s="193"/>
      <c r="E78" s="193"/>
      <c r="F78" s="193"/>
      <c r="G78" s="193"/>
      <c r="H78" s="193">
        <v>1</v>
      </c>
      <c r="I78" s="193">
        <v>1</v>
      </c>
      <c r="J78" s="193">
        <v>1</v>
      </c>
      <c r="K78" s="193">
        <v>1</v>
      </c>
      <c r="L78" s="193">
        <v>1</v>
      </c>
      <c r="M78" s="193">
        <v>1</v>
      </c>
      <c r="N78" s="193">
        <v>1</v>
      </c>
      <c r="O78" s="193">
        <v>1</v>
      </c>
      <c r="P78" s="193">
        <v>1</v>
      </c>
      <c r="Q78" s="193">
        <v>1</v>
      </c>
      <c r="R78" s="193">
        <v>1</v>
      </c>
      <c r="S78" s="193">
        <v>1</v>
      </c>
      <c r="T78" s="193">
        <v>1</v>
      </c>
      <c r="U78" s="193">
        <v>1</v>
      </c>
      <c r="V78" s="193">
        <v>1</v>
      </c>
      <c r="W78" s="193">
        <v>1</v>
      </c>
      <c r="X78" s="193">
        <v>1</v>
      </c>
      <c r="Y78" s="193">
        <v>1</v>
      </c>
      <c r="Z78" s="193">
        <v>1</v>
      </c>
      <c r="AA78" s="193"/>
      <c r="AB78" s="193">
        <f t="shared" si="1"/>
        <v>19</v>
      </c>
    </row>
    <row r="79" spans="1:28">
      <c r="A79" s="193" t="s">
        <v>180</v>
      </c>
      <c r="B79" s="193" t="s">
        <v>181</v>
      </c>
      <c r="C79" s="193"/>
      <c r="D79" s="193"/>
      <c r="E79" s="193"/>
      <c r="F79" s="193"/>
      <c r="G79" s="193"/>
      <c r="H79" s="193">
        <v>1</v>
      </c>
      <c r="I79" s="193">
        <v>1</v>
      </c>
      <c r="J79" s="193">
        <v>1</v>
      </c>
      <c r="K79" s="193">
        <v>1</v>
      </c>
      <c r="L79" s="193">
        <v>1</v>
      </c>
      <c r="M79" s="193">
        <v>1</v>
      </c>
      <c r="N79" s="193">
        <v>1</v>
      </c>
      <c r="O79" s="193">
        <v>1</v>
      </c>
      <c r="P79" s="193">
        <v>1</v>
      </c>
      <c r="Q79" s="193">
        <v>1</v>
      </c>
      <c r="R79" s="193">
        <v>1</v>
      </c>
      <c r="S79" s="193">
        <v>1</v>
      </c>
      <c r="T79" s="193">
        <v>1</v>
      </c>
      <c r="U79" s="193">
        <v>1</v>
      </c>
      <c r="V79" s="193">
        <v>1</v>
      </c>
      <c r="W79" s="193">
        <v>1</v>
      </c>
      <c r="X79" s="193">
        <v>1</v>
      </c>
      <c r="Y79" s="193">
        <v>1</v>
      </c>
      <c r="Z79" s="193">
        <v>1</v>
      </c>
      <c r="AA79" s="193"/>
      <c r="AB79" s="193">
        <f t="shared" si="1"/>
        <v>19</v>
      </c>
    </row>
    <row r="80" spans="1:28">
      <c r="A80" s="193" t="s">
        <v>182</v>
      </c>
      <c r="B80" s="193" t="s">
        <v>183</v>
      </c>
      <c r="C80" s="193"/>
      <c r="D80" s="193"/>
      <c r="E80" s="193"/>
      <c r="F80" s="193"/>
      <c r="G80" s="193"/>
      <c r="H80" s="193">
        <v>1</v>
      </c>
      <c r="I80" s="193">
        <v>1</v>
      </c>
      <c r="J80" s="193">
        <v>1</v>
      </c>
      <c r="K80" s="193">
        <v>1</v>
      </c>
      <c r="L80" s="193">
        <v>1</v>
      </c>
      <c r="M80" s="193">
        <v>1</v>
      </c>
      <c r="N80" s="193">
        <v>1</v>
      </c>
      <c r="O80" s="193">
        <v>1</v>
      </c>
      <c r="P80" s="193">
        <v>1</v>
      </c>
      <c r="Q80" s="193">
        <v>1</v>
      </c>
      <c r="R80" s="193">
        <v>1</v>
      </c>
      <c r="S80" s="193">
        <v>1</v>
      </c>
      <c r="T80" s="193">
        <v>1</v>
      </c>
      <c r="U80" s="193">
        <v>1</v>
      </c>
      <c r="V80" s="193">
        <v>1</v>
      </c>
      <c r="W80" s="193">
        <v>1</v>
      </c>
      <c r="X80" s="193">
        <v>1</v>
      </c>
      <c r="Y80" s="193">
        <v>1</v>
      </c>
      <c r="Z80" s="193">
        <v>1</v>
      </c>
      <c r="AA80" s="193"/>
      <c r="AB80" s="193">
        <f t="shared" si="1"/>
        <v>19</v>
      </c>
    </row>
    <row r="81" spans="1:28">
      <c r="A81" s="193" t="s">
        <v>184</v>
      </c>
      <c r="B81" s="193" t="s">
        <v>185</v>
      </c>
      <c r="C81" s="193"/>
      <c r="D81" s="193"/>
      <c r="E81" s="193"/>
      <c r="F81" s="193"/>
      <c r="G81" s="193"/>
      <c r="H81" s="193"/>
      <c r="I81" s="193">
        <v>2</v>
      </c>
      <c r="J81" s="193">
        <v>2</v>
      </c>
      <c r="K81" s="193">
        <v>2</v>
      </c>
      <c r="L81" s="193">
        <v>1</v>
      </c>
      <c r="M81" s="193">
        <v>2</v>
      </c>
      <c r="N81" s="193">
        <v>1</v>
      </c>
      <c r="O81" s="193">
        <v>2</v>
      </c>
      <c r="P81" s="193">
        <v>2</v>
      </c>
      <c r="Q81" s="193">
        <v>2</v>
      </c>
      <c r="R81" s="193">
        <v>2</v>
      </c>
      <c r="S81" s="193">
        <v>2</v>
      </c>
      <c r="T81" s="193">
        <v>2</v>
      </c>
      <c r="U81" s="193">
        <v>2</v>
      </c>
      <c r="V81" s="193">
        <v>2</v>
      </c>
      <c r="W81" s="193">
        <v>2</v>
      </c>
      <c r="X81" s="193">
        <v>2</v>
      </c>
      <c r="Y81" s="193">
        <v>2</v>
      </c>
      <c r="Z81" s="193">
        <v>2</v>
      </c>
      <c r="AA81" s="193"/>
      <c r="AB81" s="193">
        <f t="shared" si="1"/>
        <v>34</v>
      </c>
    </row>
    <row r="82" spans="1:28">
      <c r="A82" s="193" t="s">
        <v>186</v>
      </c>
      <c r="B82" s="193" t="s">
        <v>187</v>
      </c>
      <c r="C82" s="193"/>
      <c r="D82" s="193"/>
      <c r="E82" s="193"/>
      <c r="F82" s="193"/>
      <c r="G82" s="193"/>
      <c r="H82" s="193"/>
      <c r="I82" s="193">
        <v>1</v>
      </c>
      <c r="J82" s="193">
        <v>1</v>
      </c>
      <c r="K82" s="193">
        <v>1</v>
      </c>
      <c r="L82" s="193">
        <v>1</v>
      </c>
      <c r="M82" s="193">
        <v>1</v>
      </c>
      <c r="N82" s="193">
        <v>1</v>
      </c>
      <c r="O82" s="193">
        <v>1</v>
      </c>
      <c r="P82" s="193">
        <v>1</v>
      </c>
      <c r="Q82" s="193">
        <v>1</v>
      </c>
      <c r="R82" s="193">
        <v>1</v>
      </c>
      <c r="S82" s="193">
        <v>1</v>
      </c>
      <c r="T82" s="193">
        <v>1</v>
      </c>
      <c r="U82" s="193">
        <v>1</v>
      </c>
      <c r="V82" s="193">
        <v>1</v>
      </c>
      <c r="W82" s="193">
        <v>1</v>
      </c>
      <c r="X82" s="193">
        <v>1</v>
      </c>
      <c r="Y82" s="193">
        <v>1</v>
      </c>
      <c r="Z82" s="193">
        <v>1</v>
      </c>
      <c r="AA82" s="193"/>
      <c r="AB82" s="193">
        <f t="shared" si="1"/>
        <v>18</v>
      </c>
    </row>
    <row r="83" spans="1:28">
      <c r="A83" s="193" t="s">
        <v>188</v>
      </c>
      <c r="B83" s="193" t="s">
        <v>189</v>
      </c>
      <c r="C83" s="193"/>
      <c r="D83" s="193"/>
      <c r="E83" s="193"/>
      <c r="F83" s="193"/>
      <c r="G83" s="193">
        <v>1</v>
      </c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>
        <f t="shared" si="1"/>
        <v>1</v>
      </c>
    </row>
    <row r="84" spans="1:28">
      <c r="A84" s="193" t="s">
        <v>190</v>
      </c>
      <c r="B84" s="193" t="s">
        <v>191</v>
      </c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>
        <v>2</v>
      </c>
      <c r="AB84" s="193">
        <f t="shared" si="1"/>
        <v>2</v>
      </c>
    </row>
    <row r="85" spans="1:28">
      <c r="A85" s="193" t="s">
        <v>192</v>
      </c>
      <c r="B85" s="193" t="s">
        <v>193</v>
      </c>
      <c r="C85" s="193"/>
      <c r="D85" s="193"/>
      <c r="E85" s="193"/>
      <c r="F85" s="193"/>
      <c r="G85" s="193">
        <v>1</v>
      </c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>
        <f t="shared" si="1"/>
        <v>1</v>
      </c>
    </row>
    <row r="86" spans="1:28">
      <c r="A86" s="193" t="s">
        <v>194</v>
      </c>
      <c r="B86" s="193" t="s">
        <v>195</v>
      </c>
      <c r="C86" s="193"/>
      <c r="D86" s="193"/>
      <c r="E86" s="193"/>
      <c r="F86" s="193">
        <v>1</v>
      </c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>
        <f t="shared" si="1"/>
        <v>1</v>
      </c>
    </row>
    <row r="87" spans="1:28">
      <c r="A87" s="193" t="s">
        <v>196</v>
      </c>
      <c r="B87" s="193" t="s">
        <v>155</v>
      </c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>
        <f t="shared" si="1"/>
        <v>0</v>
      </c>
    </row>
    <row r="88" spans="1:28">
      <c r="A88" s="193" t="s">
        <v>197</v>
      </c>
      <c r="B88" s="193" t="s">
        <v>198</v>
      </c>
      <c r="C88" s="193"/>
      <c r="D88" s="193"/>
      <c r="E88" s="193"/>
      <c r="G88" s="193">
        <v>1</v>
      </c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>
        <f t="shared" si="1"/>
        <v>1</v>
      </c>
    </row>
    <row r="89" spans="1:28">
      <c r="A89" s="193" t="s">
        <v>199</v>
      </c>
      <c r="B89" s="193" t="s">
        <v>200</v>
      </c>
      <c r="C89" s="193"/>
      <c r="D89" s="193"/>
      <c r="E89" s="193"/>
      <c r="F89" s="193">
        <v>21</v>
      </c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>
        <f t="shared" si="1"/>
        <v>21</v>
      </c>
    </row>
    <row r="90" spans="1:28">
      <c r="A90" s="193" t="s">
        <v>201</v>
      </c>
      <c r="B90" s="193" t="s">
        <v>202</v>
      </c>
      <c r="C90" s="193"/>
      <c r="D90" s="193"/>
      <c r="E90" s="193"/>
      <c r="F90" s="193">
        <v>3</v>
      </c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>
        <f t="shared" si="1"/>
        <v>3</v>
      </c>
    </row>
    <row r="91" spans="1:28">
      <c r="A91" s="193" t="s">
        <v>203</v>
      </c>
      <c r="B91" s="193" t="s">
        <v>204</v>
      </c>
      <c r="C91" s="193"/>
      <c r="D91" s="193"/>
      <c r="E91" s="193">
        <v>1</v>
      </c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>
        <f t="shared" si="1"/>
        <v>1</v>
      </c>
    </row>
    <row r="92" spans="28:28">
      <c r="AB92" s="20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6" workbookViewId="0">
      <selection activeCell="H14" sqref="H14"/>
    </sheetView>
  </sheetViews>
  <sheetFormatPr defaultColWidth="9" defaultRowHeight="14.25"/>
  <cols>
    <col min="1" max="1" width="5.25" style="61" customWidth="1"/>
    <col min="2" max="2" width="7.25" style="61" customWidth="1"/>
    <col min="3" max="3" width="27.25" style="61" customWidth="1"/>
    <col min="4" max="4" width="5.75" style="61" customWidth="1"/>
    <col min="5" max="5" width="6.75" style="17" customWidth="1"/>
    <col min="6" max="6" width="6.375" style="61" customWidth="1"/>
    <col min="7" max="7" width="9" style="61"/>
    <col min="8" max="8" width="9.625" style="61"/>
    <col min="9" max="9" width="8.75" style="61" customWidth="1"/>
    <col min="10" max="16384" width="9" style="61"/>
  </cols>
  <sheetData>
    <row r="1" s="61" customFormat="1" ht="17" customHeight="1" spans="1:9">
      <c r="A1" s="62" t="s">
        <v>637</v>
      </c>
      <c r="B1" s="62"/>
      <c r="C1" s="62"/>
      <c r="D1" s="62"/>
      <c r="E1" s="62"/>
      <c r="F1" s="62"/>
      <c r="G1" s="62"/>
      <c r="H1" s="62"/>
      <c r="I1" s="62"/>
    </row>
    <row r="2" s="61" customFormat="1" spans="1:9">
      <c r="A2" s="63" t="s">
        <v>1</v>
      </c>
      <c r="B2" s="64" t="s">
        <v>343</v>
      </c>
      <c r="C2" s="64" t="s">
        <v>473</v>
      </c>
      <c r="D2" s="65" t="s">
        <v>454</v>
      </c>
      <c r="E2" s="66" t="s">
        <v>474</v>
      </c>
      <c r="F2" s="66" t="s">
        <v>475</v>
      </c>
      <c r="G2" s="66"/>
      <c r="H2" s="66" t="s">
        <v>476</v>
      </c>
      <c r="I2" s="82" t="s">
        <v>374</v>
      </c>
    </row>
    <row r="3" s="61" customFormat="1" spans="1:9">
      <c r="A3" s="67"/>
      <c r="B3" s="68"/>
      <c r="C3" s="68"/>
      <c r="D3" s="69"/>
      <c r="E3" s="70"/>
      <c r="F3" s="70"/>
      <c r="G3" s="70" t="s">
        <v>478</v>
      </c>
      <c r="H3" s="70"/>
      <c r="I3" s="83"/>
    </row>
    <row r="4" s="61" customFormat="1" ht="45" customHeight="1" spans="1:9">
      <c r="A4" s="71">
        <v>1</v>
      </c>
      <c r="B4" s="72" t="s">
        <v>638</v>
      </c>
      <c r="C4" s="73" t="s">
        <v>639</v>
      </c>
      <c r="D4" s="74" t="s">
        <v>640</v>
      </c>
      <c r="E4" s="49">
        <f>5.09+4.88</f>
        <v>9.97</v>
      </c>
      <c r="F4" s="75">
        <v>17385.5</v>
      </c>
      <c r="G4" s="75">
        <v>10450</v>
      </c>
      <c r="H4" s="75">
        <f>E4*F4</f>
        <v>173333.435</v>
      </c>
      <c r="I4" s="75" t="s">
        <v>641</v>
      </c>
    </row>
    <row r="5" s="61" customFormat="1" ht="96" spans="1:9">
      <c r="A5" s="71">
        <v>2</v>
      </c>
      <c r="B5" s="72" t="s">
        <v>642</v>
      </c>
      <c r="C5" s="73" t="s">
        <v>643</v>
      </c>
      <c r="D5" s="74" t="s">
        <v>640</v>
      </c>
      <c r="E5" s="49">
        <v>1.98</v>
      </c>
      <c r="F5" s="75">
        <v>20590</v>
      </c>
      <c r="G5" s="75">
        <v>242</v>
      </c>
      <c r="H5" s="75">
        <f t="shared" ref="H5:H13" si="0">E5*F5</f>
        <v>40768.2</v>
      </c>
      <c r="I5" s="75" t="s">
        <v>641</v>
      </c>
    </row>
    <row r="6" s="61" customFormat="1" ht="75" customHeight="1" spans="1:9">
      <c r="A6" s="71">
        <v>3</v>
      </c>
      <c r="B6" s="72" t="s">
        <v>644</v>
      </c>
      <c r="C6" s="73" t="s">
        <v>645</v>
      </c>
      <c r="D6" s="74" t="s">
        <v>482</v>
      </c>
      <c r="E6" s="49">
        <f>210.01+14.65</f>
        <v>224.66</v>
      </c>
      <c r="F6" s="75">
        <v>618.86</v>
      </c>
      <c r="G6" s="75">
        <v>495</v>
      </c>
      <c r="H6" s="75">
        <f t="shared" si="0"/>
        <v>139033.0876</v>
      </c>
      <c r="I6" s="75" t="s">
        <v>646</v>
      </c>
    </row>
    <row r="7" s="61" customFormat="1" ht="72" spans="1:9">
      <c r="A7" s="71">
        <v>4</v>
      </c>
      <c r="B7" s="72" t="s">
        <v>647</v>
      </c>
      <c r="C7" s="76" t="s">
        <v>648</v>
      </c>
      <c r="D7" s="74" t="s">
        <v>482</v>
      </c>
      <c r="E7" s="49">
        <f>121.27+5.09+67.05+442.99+55.71+101.24+21.5+5.72</f>
        <v>820.57</v>
      </c>
      <c r="F7" s="75">
        <v>824.76</v>
      </c>
      <c r="G7" s="75">
        <v>682</v>
      </c>
      <c r="H7" s="75">
        <f t="shared" si="0"/>
        <v>676773.3132</v>
      </c>
      <c r="I7" s="75" t="s">
        <v>649</v>
      </c>
    </row>
    <row r="8" s="61" customFormat="1" ht="123" customHeight="1" spans="1:9">
      <c r="A8" s="71">
        <v>5</v>
      </c>
      <c r="B8" s="72" t="s">
        <v>650</v>
      </c>
      <c r="C8" s="73" t="s">
        <v>651</v>
      </c>
      <c r="D8" s="74" t="s">
        <v>482</v>
      </c>
      <c r="E8" s="49">
        <f>157.62+47.95</f>
        <v>205.57</v>
      </c>
      <c r="F8" s="75">
        <v>1357.2</v>
      </c>
      <c r="G8" s="75">
        <v>418</v>
      </c>
      <c r="H8" s="75">
        <f t="shared" si="0"/>
        <v>278999.604</v>
      </c>
      <c r="I8" s="75" t="s">
        <v>649</v>
      </c>
    </row>
    <row r="9" s="61" customFormat="1" ht="84" spans="1:9">
      <c r="A9" s="71">
        <v>6</v>
      </c>
      <c r="B9" s="72" t="s">
        <v>652</v>
      </c>
      <c r="C9" s="73" t="s">
        <v>653</v>
      </c>
      <c r="D9" s="74" t="s">
        <v>482</v>
      </c>
      <c r="E9" s="49">
        <v>0</v>
      </c>
      <c r="F9" s="75">
        <v>979.91</v>
      </c>
      <c r="G9" s="75">
        <v>396</v>
      </c>
      <c r="H9" s="75">
        <f t="shared" si="0"/>
        <v>0</v>
      </c>
      <c r="I9" s="75" t="s">
        <v>654</v>
      </c>
    </row>
    <row r="10" s="61" customFormat="1" ht="36" spans="1:9">
      <c r="A10" s="71">
        <v>7</v>
      </c>
      <c r="B10" s="72" t="s">
        <v>655</v>
      </c>
      <c r="C10" s="73" t="s">
        <v>656</v>
      </c>
      <c r="D10" s="74" t="s">
        <v>482</v>
      </c>
      <c r="E10" s="49">
        <v>24.03</v>
      </c>
      <c r="F10" s="75">
        <v>993.25</v>
      </c>
      <c r="G10" s="75">
        <v>7480</v>
      </c>
      <c r="H10" s="75">
        <f t="shared" si="0"/>
        <v>23867.7975</v>
      </c>
      <c r="I10" s="75" t="s">
        <v>649</v>
      </c>
    </row>
    <row r="11" s="61" customFormat="1" ht="60" spans="1:9">
      <c r="A11" s="71">
        <v>8</v>
      </c>
      <c r="B11" s="72" t="s">
        <v>657</v>
      </c>
      <c r="C11" s="73" t="s">
        <v>658</v>
      </c>
      <c r="D11" s="74" t="s">
        <v>640</v>
      </c>
      <c r="E11" s="49">
        <v>2.91</v>
      </c>
      <c r="F11" s="75">
        <v>19756.25</v>
      </c>
      <c r="G11" s="75">
        <v>10450</v>
      </c>
      <c r="H11" s="75">
        <f t="shared" si="0"/>
        <v>57490.6875</v>
      </c>
      <c r="I11" s="75" t="s">
        <v>641</v>
      </c>
    </row>
    <row r="12" s="61" customFormat="1" spans="1:9">
      <c r="A12" s="71">
        <v>9</v>
      </c>
      <c r="B12" s="72" t="s">
        <v>659</v>
      </c>
      <c r="C12" s="73" t="s">
        <v>660</v>
      </c>
      <c r="D12" s="74" t="s">
        <v>482</v>
      </c>
      <c r="E12" s="49">
        <v>9.56</v>
      </c>
      <c r="F12" s="75">
        <v>1250</v>
      </c>
      <c r="G12" s="75"/>
      <c r="H12" s="75">
        <f t="shared" si="0"/>
        <v>11950</v>
      </c>
      <c r="I12" s="75"/>
    </row>
    <row r="13" s="61" customFormat="1" ht="24" spans="1:9">
      <c r="A13" s="71">
        <v>10</v>
      </c>
      <c r="B13" s="72" t="s">
        <v>661</v>
      </c>
      <c r="C13" s="73" t="s">
        <v>662</v>
      </c>
      <c r="D13" s="74" t="s">
        <v>482</v>
      </c>
      <c r="E13" s="49">
        <v>188.45</v>
      </c>
      <c r="F13" s="75">
        <v>60</v>
      </c>
      <c r="G13" s="75"/>
      <c r="H13" s="75">
        <f t="shared" si="0"/>
        <v>11307</v>
      </c>
      <c r="I13" s="75"/>
    </row>
    <row r="14" s="61" customFormat="1" ht="15" spans="1:9">
      <c r="A14" s="77">
        <v>11</v>
      </c>
      <c r="B14" s="78" t="s">
        <v>636</v>
      </c>
      <c r="C14" s="78"/>
      <c r="D14" s="79"/>
      <c r="E14" s="80"/>
      <c r="F14" s="80"/>
      <c r="G14" s="80"/>
      <c r="H14" s="81">
        <f>SUM(H4:H13)</f>
        <v>1413523.12</v>
      </c>
      <c r="I14" s="81"/>
    </row>
    <row r="15" s="61" customFormat="1" spans="5:5">
      <c r="E15" s="17"/>
    </row>
    <row r="16" s="61" customFormat="1" spans="5:5">
      <c r="E16" s="17"/>
    </row>
    <row r="17" s="61" customFormat="1" spans="5:5">
      <c r="E17" s="17"/>
    </row>
    <row r="18" s="61" customFormat="1" spans="5:5">
      <c r="E18" s="17"/>
    </row>
    <row r="19" s="61" customFormat="1" spans="5:5">
      <c r="E19" s="17"/>
    </row>
    <row r="20" s="61" customFormat="1" spans="5:5">
      <c r="E20" s="17"/>
    </row>
    <row r="21" s="61" customFormat="1" spans="5:5">
      <c r="E21" s="17"/>
    </row>
    <row r="22" s="61" customFormat="1" spans="5:5">
      <c r="E22" s="17"/>
    </row>
    <row r="23" s="61" customFormat="1" spans="5:5">
      <c r="E23" s="17"/>
    </row>
    <row r="24" s="61" customFormat="1" spans="5:5">
      <c r="E24" s="17"/>
    </row>
    <row r="25" s="61" customFormat="1" spans="5:5">
      <c r="E25" s="17"/>
    </row>
    <row r="26" s="61" customFormat="1" spans="5:5">
      <c r="E26" s="17"/>
    </row>
    <row r="27" s="61" customFormat="1" spans="5:5">
      <c r="E27" s="17"/>
    </row>
    <row r="28" s="61" customFormat="1" spans="5:5">
      <c r="E28" s="17"/>
    </row>
    <row r="29" s="61" customFormat="1" spans="5:5">
      <c r="E29" s="17"/>
    </row>
    <row r="30" s="61" customFormat="1" spans="5:5">
      <c r="E30" s="17"/>
    </row>
    <row r="31" s="61" customFormat="1" spans="5:5">
      <c r="E31" s="17"/>
    </row>
    <row r="32" s="61" customFormat="1" spans="5:5">
      <c r="E32" s="17"/>
    </row>
    <row r="33" s="61" customFormat="1" spans="5:5">
      <c r="E33" s="17"/>
    </row>
    <row r="34" s="61" customFormat="1" spans="5:5">
      <c r="E34" s="17"/>
    </row>
    <row r="35" s="61" customFormat="1" spans="5:5">
      <c r="E35" s="17"/>
    </row>
    <row r="36" s="61" customFormat="1" spans="5:5">
      <c r="E36" s="17"/>
    </row>
    <row r="37" s="61" customFormat="1" spans="5:5">
      <c r="E37" s="17"/>
    </row>
    <row r="38" s="61" customFormat="1" spans="5:5">
      <c r="E38" s="17"/>
    </row>
    <row r="39" s="61" customFormat="1" spans="5:5">
      <c r="E39" s="17"/>
    </row>
    <row r="40" s="61" customFormat="1" spans="5:5">
      <c r="E40" s="17"/>
    </row>
    <row r="41" s="61" customFormat="1" spans="5:5">
      <c r="E41" s="17"/>
    </row>
  </sheetData>
  <mergeCells count="10">
    <mergeCell ref="A1:I1"/>
    <mergeCell ref="F2:G2"/>
    <mergeCell ref="B14:C14"/>
    <mergeCell ref="A2:A3"/>
    <mergeCell ref="B2:B3"/>
    <mergeCell ref="C2:C3"/>
    <mergeCell ref="D2:D3"/>
    <mergeCell ref="E2:E3"/>
    <mergeCell ref="H2:H3"/>
    <mergeCell ref="I2:I3"/>
  </mergeCells>
  <printOptions horizontalCentered="1"/>
  <pageMargins left="0" right="0" top="0" bottom="0" header="0.5" footer="0.5"/>
  <pageSetup paperSize="9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</sheetPr>
  <dimension ref="A1:IR207"/>
  <sheetViews>
    <sheetView zoomScale="130" zoomScaleNormal="130" zoomScaleSheetLayoutView="60" workbookViewId="0">
      <pane ySplit="4" topLeftCell="A193" activePane="bottomLeft" state="frozen"/>
      <selection/>
      <selection pane="bottomLeft" activeCell="A1" sqref="$A1:$XFD1048576"/>
    </sheetView>
  </sheetViews>
  <sheetFormatPr defaultColWidth="8.75" defaultRowHeight="14.25"/>
  <cols>
    <col min="1" max="1" width="5.125" style="13" customWidth="1"/>
    <col min="2" max="2" width="8.5" style="2" customWidth="1"/>
    <col min="3" max="3" width="17.875" style="2" customWidth="1"/>
    <col min="4" max="4" width="5.875" style="3" customWidth="1"/>
    <col min="5" max="5" width="7" style="15" customWidth="1"/>
    <col min="6" max="6" width="10.3083333333333" style="15" customWidth="1"/>
    <col min="7" max="7" width="7.375" style="15" customWidth="1"/>
    <col min="8" max="8" width="9.375" style="16"/>
    <col min="9" max="9" width="9.225" style="16" customWidth="1"/>
    <col min="10" max="10" width="5.875" style="17" customWidth="1"/>
    <col min="11" max="11" width="9.375" style="2"/>
    <col min="12" max="12" width="10.375" style="2"/>
    <col min="13" max="16382" width="8.75" style="2"/>
    <col min="16383" max="16384" width="8.75" style="18"/>
  </cols>
  <sheetData>
    <row r="1" s="14" customFormat="1" spans="1:10">
      <c r="A1" s="19" t="s">
        <v>663</v>
      </c>
      <c r="B1" s="19"/>
      <c r="C1" s="19"/>
      <c r="D1" s="19"/>
      <c r="E1" s="19"/>
      <c r="F1" s="19"/>
      <c r="G1" s="19"/>
      <c r="H1" s="19"/>
      <c r="I1" s="19"/>
      <c r="J1" s="19"/>
    </row>
    <row r="2" s="14" customFormat="1" ht="15" spans="1:10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="14" customFormat="1" spans="1:10">
      <c r="A3" s="20" t="s">
        <v>1</v>
      </c>
      <c r="B3" s="21" t="s">
        <v>343</v>
      </c>
      <c r="C3" s="22" t="s">
        <v>473</v>
      </c>
      <c r="D3" s="22" t="s">
        <v>454</v>
      </c>
      <c r="E3" s="23" t="s">
        <v>664</v>
      </c>
      <c r="F3" s="23" t="s">
        <v>475</v>
      </c>
      <c r="G3" s="23"/>
      <c r="H3" s="24" t="s">
        <v>665</v>
      </c>
      <c r="I3" s="24" t="s">
        <v>476</v>
      </c>
      <c r="J3" s="41" t="s">
        <v>374</v>
      </c>
    </row>
    <row r="4" s="14" customFormat="1" ht="21" spans="1:10">
      <c r="A4" s="25"/>
      <c r="B4" s="26"/>
      <c r="C4" s="27"/>
      <c r="D4" s="27"/>
      <c r="E4" s="28"/>
      <c r="F4" s="28"/>
      <c r="G4" s="28" t="s">
        <v>478</v>
      </c>
      <c r="H4" s="29"/>
      <c r="I4" s="29"/>
      <c r="J4" s="42"/>
    </row>
    <row r="5" s="14" customFormat="1" spans="1:10">
      <c r="A5" s="30" t="s">
        <v>423</v>
      </c>
      <c r="B5" s="26" t="s">
        <v>666</v>
      </c>
      <c r="C5" s="26"/>
      <c r="D5" s="27"/>
      <c r="E5" s="28"/>
      <c r="F5" s="28"/>
      <c r="G5" s="28"/>
      <c r="H5" s="31"/>
      <c r="I5" s="31"/>
      <c r="J5" s="43"/>
    </row>
    <row r="6" s="14" customFormat="1" spans="1:252">
      <c r="A6" s="30">
        <v>1</v>
      </c>
      <c r="B6" s="32" t="s">
        <v>667</v>
      </c>
      <c r="C6" s="26"/>
      <c r="D6" s="27"/>
      <c r="E6" s="28"/>
      <c r="F6" s="28"/>
      <c r="G6" s="28"/>
      <c r="H6" s="33"/>
      <c r="I6" s="33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</row>
    <row r="7" s="14" customFormat="1" ht="105" spans="1:252">
      <c r="A7" s="30">
        <v>1.1</v>
      </c>
      <c r="B7" s="34" t="s">
        <v>668</v>
      </c>
      <c r="C7" s="34" t="s">
        <v>669</v>
      </c>
      <c r="D7" s="35" t="s">
        <v>517</v>
      </c>
      <c r="E7" s="36">
        <v>9.62</v>
      </c>
      <c r="F7" s="36">
        <v>102.73</v>
      </c>
      <c r="G7" s="37">
        <v>35.53</v>
      </c>
      <c r="H7" s="33">
        <v>0</v>
      </c>
      <c r="I7" s="33">
        <f>H7*F7</f>
        <v>0</v>
      </c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</row>
    <row r="8" s="14" customFormat="1" ht="105" spans="1:252">
      <c r="A8" s="30">
        <v>1.2</v>
      </c>
      <c r="B8" s="34" t="s">
        <v>668</v>
      </c>
      <c r="C8" s="34" t="s">
        <v>670</v>
      </c>
      <c r="D8" s="35" t="s">
        <v>517</v>
      </c>
      <c r="E8" s="36">
        <v>7.05</v>
      </c>
      <c r="F8" s="36">
        <v>82.19</v>
      </c>
      <c r="G8" s="37">
        <v>29.15</v>
      </c>
      <c r="H8" s="33">
        <v>0</v>
      </c>
      <c r="I8" s="33">
        <f t="shared" ref="I8:I58" si="0">H8*F8</f>
        <v>0</v>
      </c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</row>
    <row r="9" s="14" customFormat="1" ht="105" spans="1:252">
      <c r="A9" s="30">
        <v>1.3</v>
      </c>
      <c r="B9" s="34" t="s">
        <v>668</v>
      </c>
      <c r="C9" s="34" t="s">
        <v>671</v>
      </c>
      <c r="D9" s="35" t="s">
        <v>517</v>
      </c>
      <c r="E9" s="33">
        <v>2.5</v>
      </c>
      <c r="F9" s="36">
        <v>39.51</v>
      </c>
      <c r="G9" s="37">
        <v>19.85</v>
      </c>
      <c r="H9" s="33">
        <v>0</v>
      </c>
      <c r="I9" s="33">
        <f t="shared" si="0"/>
        <v>0</v>
      </c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</row>
    <row r="10" s="14" customFormat="1" ht="105" spans="1:252">
      <c r="A10" s="30">
        <v>1.4</v>
      </c>
      <c r="B10" s="34" t="s">
        <v>672</v>
      </c>
      <c r="C10" s="34" t="s">
        <v>673</v>
      </c>
      <c r="D10" s="35" t="s">
        <v>517</v>
      </c>
      <c r="E10" s="33">
        <v>2.5</v>
      </c>
      <c r="F10" s="36">
        <v>44.25</v>
      </c>
      <c r="G10" s="37">
        <v>22.23</v>
      </c>
      <c r="H10" s="33">
        <v>0</v>
      </c>
      <c r="I10" s="33">
        <f t="shared" si="0"/>
        <v>0</v>
      </c>
      <c r="J10" s="4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="14" customFormat="1" ht="105" spans="1:252">
      <c r="A11" s="30">
        <v>1.5</v>
      </c>
      <c r="B11" s="34" t="s">
        <v>672</v>
      </c>
      <c r="C11" s="34" t="s">
        <v>674</v>
      </c>
      <c r="D11" s="35" t="s">
        <v>517</v>
      </c>
      <c r="E11" s="36">
        <v>25.45</v>
      </c>
      <c r="F11" s="36">
        <v>36.35</v>
      </c>
      <c r="G11" s="37">
        <v>18.26</v>
      </c>
      <c r="H11" s="33">
        <v>0</v>
      </c>
      <c r="I11" s="33">
        <f t="shared" si="0"/>
        <v>0</v>
      </c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</row>
    <row r="12" s="14" customFormat="1" ht="105" spans="1:252">
      <c r="A12" s="30">
        <v>1.6</v>
      </c>
      <c r="B12" s="34" t="s">
        <v>672</v>
      </c>
      <c r="C12" s="34" t="s">
        <v>675</v>
      </c>
      <c r="D12" s="35" t="s">
        <v>517</v>
      </c>
      <c r="E12" s="36">
        <v>0.38</v>
      </c>
      <c r="F12" s="36">
        <v>30.03</v>
      </c>
      <c r="G12" s="37">
        <v>15.08</v>
      </c>
      <c r="H12" s="33">
        <v>0.38</v>
      </c>
      <c r="I12" s="33">
        <f t="shared" si="0"/>
        <v>11.41</v>
      </c>
      <c r="J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</row>
    <row r="13" s="14" customFormat="1" ht="105" spans="1:252">
      <c r="A13" s="30">
        <v>1.7</v>
      </c>
      <c r="B13" s="34" t="s">
        <v>672</v>
      </c>
      <c r="C13" s="34" t="s">
        <v>676</v>
      </c>
      <c r="D13" s="35" t="s">
        <v>517</v>
      </c>
      <c r="E13" s="33">
        <v>36.05</v>
      </c>
      <c r="F13" s="36">
        <v>23.71</v>
      </c>
      <c r="G13" s="37">
        <v>11.91</v>
      </c>
      <c r="H13" s="33">
        <v>15.49</v>
      </c>
      <c r="I13" s="33">
        <f t="shared" si="0"/>
        <v>367.27</v>
      </c>
      <c r="J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</row>
    <row r="14" s="14" customFormat="1" ht="105" spans="1:252">
      <c r="A14" s="30">
        <v>1.8</v>
      </c>
      <c r="B14" s="34" t="s">
        <v>672</v>
      </c>
      <c r="C14" s="34" t="s">
        <v>677</v>
      </c>
      <c r="D14" s="35" t="s">
        <v>517</v>
      </c>
      <c r="E14" s="33">
        <v>22.39</v>
      </c>
      <c r="F14" s="36">
        <v>20.55</v>
      </c>
      <c r="G14" s="37">
        <v>10.32</v>
      </c>
      <c r="H14" s="33">
        <v>20</v>
      </c>
      <c r="I14" s="33">
        <f t="shared" si="0"/>
        <v>411</v>
      </c>
      <c r="J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</row>
    <row r="15" s="14" customFormat="1" ht="105" spans="1:252">
      <c r="A15" s="30">
        <v>1.9</v>
      </c>
      <c r="B15" s="34" t="s">
        <v>672</v>
      </c>
      <c r="C15" s="34" t="s">
        <v>678</v>
      </c>
      <c r="D15" s="35" t="s">
        <v>517</v>
      </c>
      <c r="E15" s="33">
        <v>2</v>
      </c>
      <c r="F15" s="36">
        <v>20.55</v>
      </c>
      <c r="G15" s="37">
        <v>10.32</v>
      </c>
      <c r="H15" s="33">
        <v>2.02</v>
      </c>
      <c r="I15" s="33">
        <f t="shared" si="0"/>
        <v>41.51</v>
      </c>
      <c r="J15" s="4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</row>
    <row r="16" s="14" customFormat="1" ht="31.5" spans="1:252">
      <c r="A16" s="38">
        <v>1.1</v>
      </c>
      <c r="B16" s="34" t="s">
        <v>679</v>
      </c>
      <c r="C16" s="34" t="s">
        <v>680</v>
      </c>
      <c r="D16" s="35" t="s">
        <v>681</v>
      </c>
      <c r="E16" s="33">
        <v>4</v>
      </c>
      <c r="F16" s="36">
        <v>1442.75</v>
      </c>
      <c r="G16" s="37">
        <v>1269.62</v>
      </c>
      <c r="H16" s="33">
        <v>3</v>
      </c>
      <c r="I16" s="33">
        <f t="shared" si="0"/>
        <v>4328.25</v>
      </c>
      <c r="J16" s="44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</row>
    <row r="17" s="14" customFormat="1" ht="31.5" spans="1:252">
      <c r="A17" s="30">
        <v>1.11</v>
      </c>
      <c r="B17" s="34" t="s">
        <v>682</v>
      </c>
      <c r="C17" s="34" t="s">
        <v>683</v>
      </c>
      <c r="D17" s="35" t="s">
        <v>681</v>
      </c>
      <c r="E17" s="33">
        <v>2</v>
      </c>
      <c r="F17" s="36">
        <v>2370.75</v>
      </c>
      <c r="G17" s="37">
        <v>1190.79</v>
      </c>
      <c r="H17" s="33">
        <v>1</v>
      </c>
      <c r="I17" s="33">
        <f t="shared" si="0"/>
        <v>2370.75</v>
      </c>
      <c r="J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</row>
    <row r="18" s="14" customFormat="1" ht="52.5" spans="1:252">
      <c r="A18" s="30">
        <v>1.12</v>
      </c>
      <c r="B18" s="34" t="s">
        <v>684</v>
      </c>
      <c r="C18" s="34" t="s">
        <v>685</v>
      </c>
      <c r="D18" s="35" t="s">
        <v>604</v>
      </c>
      <c r="E18" s="33">
        <v>1</v>
      </c>
      <c r="F18" s="36">
        <v>254.62</v>
      </c>
      <c r="G18" s="37">
        <v>127.89</v>
      </c>
      <c r="H18" s="33">
        <v>1</v>
      </c>
      <c r="I18" s="33">
        <f t="shared" si="0"/>
        <v>254.62</v>
      </c>
      <c r="J18" s="44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</row>
    <row r="19" s="14" customFormat="1" ht="52.5" spans="1:252">
      <c r="A19" s="38">
        <v>1.13</v>
      </c>
      <c r="B19" s="34" t="s">
        <v>684</v>
      </c>
      <c r="C19" s="34" t="s">
        <v>686</v>
      </c>
      <c r="D19" s="35" t="s">
        <v>604</v>
      </c>
      <c r="E19" s="36">
        <v>2</v>
      </c>
      <c r="F19" s="36">
        <v>185.08</v>
      </c>
      <c r="G19" s="37">
        <v>92.96</v>
      </c>
      <c r="H19" s="33">
        <v>2</v>
      </c>
      <c r="I19" s="33">
        <f t="shared" si="0"/>
        <v>370.16</v>
      </c>
      <c r="J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</row>
    <row r="20" s="14" customFormat="1" ht="52.5" spans="1:252">
      <c r="A20" s="30">
        <v>1.14</v>
      </c>
      <c r="B20" s="34" t="s">
        <v>684</v>
      </c>
      <c r="C20" s="34" t="s">
        <v>687</v>
      </c>
      <c r="D20" s="35" t="s">
        <v>604</v>
      </c>
      <c r="E20" s="36">
        <v>1</v>
      </c>
      <c r="F20" s="36">
        <v>138.84</v>
      </c>
      <c r="G20" s="37">
        <v>69.74</v>
      </c>
      <c r="H20" s="33">
        <v>1</v>
      </c>
      <c r="I20" s="33">
        <f t="shared" si="0"/>
        <v>138.84</v>
      </c>
      <c r="J20" s="44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</row>
    <row r="21" s="14" customFormat="1" ht="52.5" spans="1:252">
      <c r="A21" s="30">
        <v>1.15</v>
      </c>
      <c r="B21" s="34" t="s">
        <v>684</v>
      </c>
      <c r="C21" s="34" t="s">
        <v>688</v>
      </c>
      <c r="D21" s="35" t="s">
        <v>604</v>
      </c>
      <c r="E21" s="36">
        <v>3</v>
      </c>
      <c r="F21" s="36">
        <v>88.35</v>
      </c>
      <c r="G21" s="37">
        <v>44.38</v>
      </c>
      <c r="H21" s="33">
        <v>3</v>
      </c>
      <c r="I21" s="33">
        <f t="shared" si="0"/>
        <v>265.05</v>
      </c>
      <c r="J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</row>
    <row r="22" s="14" customFormat="1" ht="52.5" spans="1:252">
      <c r="A22" s="38">
        <v>1.16</v>
      </c>
      <c r="B22" s="34" t="s">
        <v>684</v>
      </c>
      <c r="C22" s="34" t="s">
        <v>689</v>
      </c>
      <c r="D22" s="35" t="s">
        <v>604</v>
      </c>
      <c r="E22" s="36">
        <v>2</v>
      </c>
      <c r="F22" s="36">
        <v>58.45</v>
      </c>
      <c r="G22" s="37">
        <v>29.36</v>
      </c>
      <c r="H22" s="33">
        <v>1</v>
      </c>
      <c r="I22" s="33">
        <f t="shared" si="0"/>
        <v>58.45</v>
      </c>
      <c r="J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</row>
    <row r="23" s="14" customFormat="1" ht="52.5" spans="1:252">
      <c r="A23" s="30">
        <v>1.17</v>
      </c>
      <c r="B23" s="34" t="s">
        <v>690</v>
      </c>
      <c r="C23" s="34" t="s">
        <v>691</v>
      </c>
      <c r="D23" s="35" t="s">
        <v>604</v>
      </c>
      <c r="E23" s="36">
        <v>1</v>
      </c>
      <c r="F23" s="36">
        <v>198.58</v>
      </c>
      <c r="G23" s="37">
        <v>99.74</v>
      </c>
      <c r="H23" s="33">
        <v>1</v>
      </c>
      <c r="I23" s="33">
        <f t="shared" si="0"/>
        <v>198.58</v>
      </c>
      <c r="J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</row>
    <row r="24" s="14" customFormat="1" ht="52.5" spans="1:252">
      <c r="A24" s="30">
        <v>1.18</v>
      </c>
      <c r="B24" s="34" t="s">
        <v>692</v>
      </c>
      <c r="C24" s="34" t="s">
        <v>693</v>
      </c>
      <c r="D24" s="35" t="s">
        <v>604</v>
      </c>
      <c r="E24" s="36">
        <v>1</v>
      </c>
      <c r="F24" s="36">
        <v>64.8</v>
      </c>
      <c r="G24" s="37">
        <v>32.55</v>
      </c>
      <c r="H24" s="33">
        <v>1</v>
      </c>
      <c r="I24" s="33">
        <f t="shared" si="0"/>
        <v>64.8</v>
      </c>
      <c r="J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</row>
    <row r="25" s="14" customFormat="1" ht="52.5" spans="1:252">
      <c r="A25" s="38">
        <v>1.19</v>
      </c>
      <c r="B25" s="34" t="s">
        <v>694</v>
      </c>
      <c r="C25" s="34" t="s">
        <v>695</v>
      </c>
      <c r="D25" s="35" t="s">
        <v>604</v>
      </c>
      <c r="E25" s="36">
        <v>1</v>
      </c>
      <c r="F25" s="36">
        <v>55.32</v>
      </c>
      <c r="G25" s="37">
        <v>27.79</v>
      </c>
      <c r="H25" s="33">
        <v>1</v>
      </c>
      <c r="I25" s="33">
        <f t="shared" si="0"/>
        <v>55.32</v>
      </c>
      <c r="J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</row>
    <row r="26" s="14" customFormat="1" ht="52.5" spans="1:252">
      <c r="A26" s="38">
        <v>1.2</v>
      </c>
      <c r="B26" s="34" t="s">
        <v>694</v>
      </c>
      <c r="C26" s="34" t="s">
        <v>696</v>
      </c>
      <c r="D26" s="35" t="s">
        <v>604</v>
      </c>
      <c r="E26" s="36">
        <v>1</v>
      </c>
      <c r="F26" s="36">
        <v>42.67</v>
      </c>
      <c r="G26" s="37">
        <v>21.43</v>
      </c>
      <c r="H26" s="33">
        <v>1</v>
      </c>
      <c r="I26" s="33">
        <f t="shared" si="0"/>
        <v>42.67</v>
      </c>
      <c r="J26" s="44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</row>
    <row r="27" s="14" customFormat="1" ht="52.5" spans="1:252">
      <c r="A27" s="30">
        <v>1.21</v>
      </c>
      <c r="B27" s="34" t="s">
        <v>694</v>
      </c>
      <c r="C27" s="34" t="s">
        <v>697</v>
      </c>
      <c r="D27" s="35" t="s">
        <v>604</v>
      </c>
      <c r="E27" s="36">
        <v>1</v>
      </c>
      <c r="F27" s="36">
        <v>30.03</v>
      </c>
      <c r="G27" s="37">
        <v>15.08</v>
      </c>
      <c r="H27" s="33">
        <v>1</v>
      </c>
      <c r="I27" s="33">
        <f t="shared" si="0"/>
        <v>30.03</v>
      </c>
      <c r="J27" s="44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</row>
    <row r="28" s="14" customFormat="1" ht="31.5" spans="1:252">
      <c r="A28" s="38">
        <v>1.22</v>
      </c>
      <c r="B28" s="34" t="s">
        <v>698</v>
      </c>
      <c r="C28" s="34" t="s">
        <v>699</v>
      </c>
      <c r="D28" s="35" t="s">
        <v>700</v>
      </c>
      <c r="E28" s="36">
        <v>0.22</v>
      </c>
      <c r="F28" s="36">
        <v>2227.36</v>
      </c>
      <c r="G28" s="37">
        <v>1118.77</v>
      </c>
      <c r="H28" s="33">
        <v>0</v>
      </c>
      <c r="I28" s="33">
        <f t="shared" si="0"/>
        <v>0</v>
      </c>
      <c r="J28" s="44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</row>
    <row r="29" s="14" customFormat="1" ht="42" spans="1:252">
      <c r="A29" s="30">
        <v>1.23</v>
      </c>
      <c r="B29" s="34" t="s">
        <v>701</v>
      </c>
      <c r="C29" s="34" t="s">
        <v>702</v>
      </c>
      <c r="D29" s="35" t="s">
        <v>482</v>
      </c>
      <c r="E29" s="36">
        <v>7.98</v>
      </c>
      <c r="F29" s="36">
        <v>55.71</v>
      </c>
      <c r="G29" s="37">
        <v>27.98</v>
      </c>
      <c r="H29" s="33">
        <v>0</v>
      </c>
      <c r="I29" s="33">
        <f t="shared" si="0"/>
        <v>0</v>
      </c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</row>
    <row r="30" s="14" customFormat="1" ht="42" spans="1:252">
      <c r="A30" s="30">
        <v>1.24</v>
      </c>
      <c r="B30" s="34" t="s">
        <v>703</v>
      </c>
      <c r="C30" s="34" t="s">
        <v>704</v>
      </c>
      <c r="D30" s="35" t="s">
        <v>705</v>
      </c>
      <c r="E30" s="36">
        <v>1</v>
      </c>
      <c r="F30" s="36">
        <v>5547.25</v>
      </c>
      <c r="G30" s="37">
        <v>2145</v>
      </c>
      <c r="H30" s="33">
        <v>0</v>
      </c>
      <c r="I30" s="33">
        <f t="shared" si="0"/>
        <v>0</v>
      </c>
      <c r="J30" s="44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</row>
    <row r="31" s="14" customFormat="1" ht="73.5" spans="1:252">
      <c r="A31" s="38">
        <v>1.25</v>
      </c>
      <c r="B31" s="34" t="s">
        <v>706</v>
      </c>
      <c r="C31" s="34" t="s">
        <v>707</v>
      </c>
      <c r="D31" s="35" t="s">
        <v>604</v>
      </c>
      <c r="E31" s="36">
        <v>1</v>
      </c>
      <c r="F31" s="36">
        <v>371.42</v>
      </c>
      <c r="G31" s="37">
        <v>184.87</v>
      </c>
      <c r="H31" s="33">
        <v>0</v>
      </c>
      <c r="I31" s="33">
        <f t="shared" si="0"/>
        <v>0</v>
      </c>
      <c r="J31" s="44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</row>
    <row r="32" s="14" customFormat="1" ht="73.5" spans="1:252">
      <c r="A32" s="30">
        <v>1.26</v>
      </c>
      <c r="B32" s="34" t="s">
        <v>708</v>
      </c>
      <c r="C32" s="34" t="s">
        <v>709</v>
      </c>
      <c r="D32" s="35" t="s">
        <v>604</v>
      </c>
      <c r="E32" s="36">
        <v>1</v>
      </c>
      <c r="F32" s="36">
        <v>371.42</v>
      </c>
      <c r="G32" s="37">
        <v>184.87</v>
      </c>
      <c r="H32" s="33">
        <v>0</v>
      </c>
      <c r="I32" s="33">
        <f t="shared" si="0"/>
        <v>0</v>
      </c>
      <c r="J32" s="44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</row>
    <row r="33" s="14" customFormat="1" ht="84" spans="1:252">
      <c r="A33" s="30">
        <v>1.27</v>
      </c>
      <c r="B33" s="34" t="s">
        <v>710</v>
      </c>
      <c r="C33" s="34" t="s">
        <v>711</v>
      </c>
      <c r="D33" s="35" t="s">
        <v>604</v>
      </c>
      <c r="E33" s="36">
        <v>1</v>
      </c>
      <c r="F33" s="36">
        <v>340.23</v>
      </c>
      <c r="G33" s="37">
        <v>315.4</v>
      </c>
      <c r="H33" s="33">
        <v>0</v>
      </c>
      <c r="I33" s="33">
        <f t="shared" si="0"/>
        <v>0</v>
      </c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</row>
    <row r="34" s="14" customFormat="1" ht="31.5" spans="1:252">
      <c r="A34" s="38">
        <v>1.28</v>
      </c>
      <c r="B34" s="34" t="s">
        <v>712</v>
      </c>
      <c r="C34" s="34" t="s">
        <v>713</v>
      </c>
      <c r="D34" s="35" t="s">
        <v>604</v>
      </c>
      <c r="E34" s="36">
        <v>1</v>
      </c>
      <c r="F34" s="36">
        <v>188.22</v>
      </c>
      <c r="G34" s="37">
        <v>231.81</v>
      </c>
      <c r="H34" s="33">
        <v>0</v>
      </c>
      <c r="I34" s="33">
        <f t="shared" si="0"/>
        <v>0</v>
      </c>
      <c r="J34" s="44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  <c r="IJ34" s="45"/>
      <c r="IK34" s="45"/>
      <c r="IL34" s="45"/>
      <c r="IM34" s="45"/>
      <c r="IN34" s="45"/>
      <c r="IO34" s="45"/>
      <c r="IP34" s="45"/>
      <c r="IQ34" s="45"/>
      <c r="IR34" s="45"/>
    </row>
    <row r="35" s="14" customFormat="1" ht="42" spans="1:252">
      <c r="A35" s="30">
        <v>1.29</v>
      </c>
      <c r="B35" s="39" t="s">
        <v>714</v>
      </c>
      <c r="C35" s="34" t="s">
        <v>715</v>
      </c>
      <c r="D35" s="35" t="s">
        <v>700</v>
      </c>
      <c r="E35" s="36">
        <v>0.9</v>
      </c>
      <c r="F35" s="36">
        <v>7.9</v>
      </c>
      <c r="G35" s="37"/>
      <c r="H35" s="33">
        <v>0</v>
      </c>
      <c r="I35" s="33">
        <f t="shared" si="0"/>
        <v>0</v>
      </c>
      <c r="J35" s="44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</row>
    <row r="36" s="14" customFormat="1" ht="31.5" spans="1:252">
      <c r="A36" s="38">
        <v>1.3</v>
      </c>
      <c r="B36" s="39" t="s">
        <v>716</v>
      </c>
      <c r="C36" s="34" t="s">
        <v>717</v>
      </c>
      <c r="D36" s="35" t="s">
        <v>700</v>
      </c>
      <c r="E36" s="36">
        <v>0.9</v>
      </c>
      <c r="F36" s="36">
        <v>31.61</v>
      </c>
      <c r="G36" s="37"/>
      <c r="H36" s="33">
        <v>0</v>
      </c>
      <c r="I36" s="33">
        <f t="shared" si="0"/>
        <v>0</v>
      </c>
      <c r="J36" s="44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</row>
    <row r="37" s="14" customFormat="1" spans="1:252">
      <c r="A37" s="30">
        <v>2</v>
      </c>
      <c r="B37" s="32" t="s">
        <v>718</v>
      </c>
      <c r="C37" s="34"/>
      <c r="D37" s="35"/>
      <c r="E37" s="36"/>
      <c r="F37" s="37"/>
      <c r="G37" s="37"/>
      <c r="H37" s="33"/>
      <c r="I37" s="33">
        <f t="shared" si="0"/>
        <v>0</v>
      </c>
      <c r="J37" s="44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</row>
    <row r="38" s="14" customFormat="1" ht="105" spans="1:252">
      <c r="A38" s="30">
        <v>2.1</v>
      </c>
      <c r="B38" s="34" t="s">
        <v>719</v>
      </c>
      <c r="C38" s="34" t="s">
        <v>720</v>
      </c>
      <c r="D38" s="35" t="s">
        <v>517</v>
      </c>
      <c r="E38" s="36">
        <v>10.85</v>
      </c>
      <c r="F38" s="36">
        <v>108.82</v>
      </c>
      <c r="G38" s="37">
        <v>39.6</v>
      </c>
      <c r="H38" s="33">
        <v>0</v>
      </c>
      <c r="I38" s="33">
        <f t="shared" si="0"/>
        <v>0</v>
      </c>
      <c r="J38" s="44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</row>
    <row r="39" s="14" customFormat="1" ht="94.5" spans="1:252">
      <c r="A39" s="30">
        <v>2.2</v>
      </c>
      <c r="B39" s="34" t="s">
        <v>721</v>
      </c>
      <c r="C39" s="34" t="s">
        <v>722</v>
      </c>
      <c r="D39" s="35" t="s">
        <v>517</v>
      </c>
      <c r="E39" s="36">
        <v>17.71</v>
      </c>
      <c r="F39" s="36">
        <v>108.82</v>
      </c>
      <c r="G39" s="37">
        <v>39.6</v>
      </c>
      <c r="H39" s="33">
        <v>0</v>
      </c>
      <c r="I39" s="33">
        <f t="shared" si="0"/>
        <v>0</v>
      </c>
      <c r="J39" s="44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</row>
    <row r="40" s="14" customFormat="1" ht="84" spans="1:252">
      <c r="A40" s="30">
        <v>2.3</v>
      </c>
      <c r="B40" s="34" t="s">
        <v>721</v>
      </c>
      <c r="C40" s="34" t="s">
        <v>723</v>
      </c>
      <c r="D40" s="35" t="s">
        <v>517</v>
      </c>
      <c r="E40" s="36">
        <v>12.13</v>
      </c>
      <c r="F40" s="36">
        <v>72.54</v>
      </c>
      <c r="G40" s="37">
        <v>27.5</v>
      </c>
      <c r="H40" s="33">
        <v>0</v>
      </c>
      <c r="I40" s="33">
        <f t="shared" si="0"/>
        <v>0</v>
      </c>
      <c r="J40" s="44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</row>
    <row r="41" s="14" customFormat="1" ht="84" spans="1:252">
      <c r="A41" s="30">
        <v>2.4</v>
      </c>
      <c r="B41" s="34" t="s">
        <v>721</v>
      </c>
      <c r="C41" s="34" t="s">
        <v>724</v>
      </c>
      <c r="D41" s="35" t="s">
        <v>517</v>
      </c>
      <c r="E41" s="36">
        <v>15.02</v>
      </c>
      <c r="F41" s="36">
        <v>57.61</v>
      </c>
      <c r="G41" s="37">
        <v>17.6</v>
      </c>
      <c r="H41" s="33">
        <v>0</v>
      </c>
      <c r="I41" s="33">
        <f t="shared" si="0"/>
        <v>0</v>
      </c>
      <c r="J41" s="4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</row>
    <row r="42" s="14" customFormat="1" ht="42" spans="1:252">
      <c r="A42" s="30">
        <v>2.5</v>
      </c>
      <c r="B42" s="34" t="s">
        <v>725</v>
      </c>
      <c r="C42" s="34" t="s">
        <v>726</v>
      </c>
      <c r="D42" s="35" t="s">
        <v>604</v>
      </c>
      <c r="E42" s="36">
        <v>7</v>
      </c>
      <c r="F42" s="36">
        <v>50.58</v>
      </c>
      <c r="G42" s="37">
        <v>16.5</v>
      </c>
      <c r="H42" s="33">
        <v>7</v>
      </c>
      <c r="I42" s="33">
        <f t="shared" si="0"/>
        <v>354.06</v>
      </c>
      <c r="J42" s="44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</row>
    <row r="43" s="14" customFormat="1" ht="63" spans="1:252">
      <c r="A43" s="30">
        <v>2.6</v>
      </c>
      <c r="B43" s="34" t="s">
        <v>727</v>
      </c>
      <c r="C43" s="34" t="s">
        <v>728</v>
      </c>
      <c r="D43" s="35" t="s">
        <v>589</v>
      </c>
      <c r="E43" s="36">
        <v>1</v>
      </c>
      <c r="F43" s="36">
        <v>1109.25</v>
      </c>
      <c r="G43" s="36">
        <v>393.8</v>
      </c>
      <c r="H43" s="33">
        <v>1</v>
      </c>
      <c r="I43" s="33">
        <f t="shared" si="0"/>
        <v>1109.25</v>
      </c>
      <c r="J43" s="44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</row>
    <row r="44" s="14" customFormat="1" ht="73.5" spans="1:252">
      <c r="A44" s="30">
        <v>2.7</v>
      </c>
      <c r="B44" s="34" t="s">
        <v>729</v>
      </c>
      <c r="C44" s="34" t="s">
        <v>730</v>
      </c>
      <c r="D44" s="35" t="s">
        <v>589</v>
      </c>
      <c r="E44" s="36">
        <v>2</v>
      </c>
      <c r="F44" s="36">
        <v>4060</v>
      </c>
      <c r="G44" s="37">
        <v>1716</v>
      </c>
      <c r="H44" s="33">
        <f>2*0</f>
        <v>0</v>
      </c>
      <c r="I44" s="33">
        <f t="shared" si="0"/>
        <v>0</v>
      </c>
      <c r="J44" s="44" t="s">
        <v>731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</row>
    <row r="45" s="14" customFormat="1" ht="52.5" spans="1:252">
      <c r="A45" s="30">
        <v>2.8</v>
      </c>
      <c r="B45" s="34" t="s">
        <v>732</v>
      </c>
      <c r="C45" s="34" t="s">
        <v>733</v>
      </c>
      <c r="D45" s="35" t="s">
        <v>589</v>
      </c>
      <c r="E45" s="36">
        <v>3</v>
      </c>
      <c r="F45" s="36">
        <v>6307.5</v>
      </c>
      <c r="G45" s="37">
        <v>3278</v>
      </c>
      <c r="H45" s="33">
        <v>3</v>
      </c>
      <c r="I45" s="33">
        <f t="shared" si="0"/>
        <v>18922.5</v>
      </c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</row>
    <row r="46" s="14" customFormat="1" ht="63" spans="1:252">
      <c r="A46" s="30">
        <v>2.9</v>
      </c>
      <c r="B46" s="34" t="s">
        <v>734</v>
      </c>
      <c r="C46" s="34" t="s">
        <v>735</v>
      </c>
      <c r="D46" s="35" t="s">
        <v>589</v>
      </c>
      <c r="E46" s="36">
        <v>2</v>
      </c>
      <c r="F46" s="36">
        <v>4329.7</v>
      </c>
      <c r="G46" s="37">
        <v>1650</v>
      </c>
      <c r="H46" s="33">
        <v>2</v>
      </c>
      <c r="I46" s="33">
        <f t="shared" si="0"/>
        <v>8659.4</v>
      </c>
      <c r="J46" s="44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</row>
    <row r="47" s="14" customFormat="1" ht="52.5" spans="1:252">
      <c r="A47" s="30">
        <v>2.13</v>
      </c>
      <c r="B47" s="34" t="s">
        <v>736</v>
      </c>
      <c r="C47" s="34" t="s">
        <v>737</v>
      </c>
      <c r="D47" s="35" t="s">
        <v>589</v>
      </c>
      <c r="E47" s="36">
        <v>1</v>
      </c>
      <c r="F47" s="36">
        <v>1366.63</v>
      </c>
      <c r="G47" s="36">
        <v>715</v>
      </c>
      <c r="H47" s="33">
        <v>1</v>
      </c>
      <c r="I47" s="33">
        <f t="shared" si="0"/>
        <v>1366.63</v>
      </c>
      <c r="J47" s="44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</row>
    <row r="48" s="14" customFormat="1" ht="52.5" spans="1:252">
      <c r="A48" s="38">
        <v>2.1</v>
      </c>
      <c r="B48" s="34" t="s">
        <v>738</v>
      </c>
      <c r="C48" s="34" t="s">
        <v>739</v>
      </c>
      <c r="D48" s="35" t="s">
        <v>589</v>
      </c>
      <c r="E48" s="36">
        <v>2</v>
      </c>
      <c r="F48" s="36">
        <v>2733.25</v>
      </c>
      <c r="G48" s="37">
        <v>1100</v>
      </c>
      <c r="H48" s="33">
        <v>2</v>
      </c>
      <c r="I48" s="33">
        <f t="shared" si="0"/>
        <v>5466.5</v>
      </c>
      <c r="J48" s="4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</row>
    <row r="49" s="14" customFormat="1" ht="63" spans="1:252">
      <c r="A49" s="30">
        <v>2.11</v>
      </c>
      <c r="B49" s="34" t="s">
        <v>734</v>
      </c>
      <c r="C49" s="34" t="s">
        <v>740</v>
      </c>
      <c r="D49" s="35" t="s">
        <v>589</v>
      </c>
      <c r="E49" s="36">
        <v>1</v>
      </c>
      <c r="F49" s="36">
        <v>2247.5</v>
      </c>
      <c r="G49" s="37">
        <v>929.5</v>
      </c>
      <c r="H49" s="33">
        <v>1</v>
      </c>
      <c r="I49" s="33">
        <f t="shared" si="0"/>
        <v>2247.5</v>
      </c>
      <c r="J49" s="4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</row>
    <row r="50" s="14" customFormat="1" ht="52.5" spans="1:252">
      <c r="A50" s="30">
        <v>2.12</v>
      </c>
      <c r="B50" s="34" t="s">
        <v>729</v>
      </c>
      <c r="C50" s="34" t="s">
        <v>741</v>
      </c>
      <c r="D50" s="35" t="s">
        <v>589</v>
      </c>
      <c r="E50" s="36">
        <v>2</v>
      </c>
      <c r="F50" s="36">
        <v>2291</v>
      </c>
      <c r="G50" s="37">
        <v>990</v>
      </c>
      <c r="H50" s="33">
        <v>2</v>
      </c>
      <c r="I50" s="33">
        <f t="shared" si="0"/>
        <v>4582</v>
      </c>
      <c r="J50" s="44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</row>
    <row r="51" s="14" customFormat="1" ht="52.5" spans="1:252">
      <c r="A51" s="30">
        <v>2.14</v>
      </c>
      <c r="B51" s="34" t="s">
        <v>692</v>
      </c>
      <c r="C51" s="34" t="s">
        <v>742</v>
      </c>
      <c r="D51" s="35" t="s">
        <v>604</v>
      </c>
      <c r="E51" s="36">
        <v>2</v>
      </c>
      <c r="F51" s="36">
        <v>165.95</v>
      </c>
      <c r="G51" s="37">
        <v>44</v>
      </c>
      <c r="H51" s="33">
        <v>0</v>
      </c>
      <c r="I51" s="33">
        <f t="shared" si="0"/>
        <v>0</v>
      </c>
      <c r="J51" s="44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</row>
    <row r="52" s="14" customFormat="1" ht="52.5" spans="1:252">
      <c r="A52" s="30">
        <v>2.15</v>
      </c>
      <c r="B52" s="34" t="s">
        <v>692</v>
      </c>
      <c r="C52" s="34" t="s">
        <v>693</v>
      </c>
      <c r="D52" s="35" t="s">
        <v>604</v>
      </c>
      <c r="E52" s="36">
        <v>1</v>
      </c>
      <c r="F52" s="36">
        <v>63.22</v>
      </c>
      <c r="G52" s="37">
        <v>20.9</v>
      </c>
      <c r="H52" s="33">
        <v>0</v>
      </c>
      <c r="I52" s="33">
        <f t="shared" si="0"/>
        <v>0</v>
      </c>
      <c r="J52" s="44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</row>
    <row r="53" s="14" customFormat="1" ht="42" spans="1:252">
      <c r="A53" s="30">
        <v>2.16</v>
      </c>
      <c r="B53" s="39" t="s">
        <v>714</v>
      </c>
      <c r="C53" s="34" t="s">
        <v>743</v>
      </c>
      <c r="D53" s="35" t="s">
        <v>700</v>
      </c>
      <c r="E53" s="36">
        <v>3.24</v>
      </c>
      <c r="F53" s="36">
        <v>7.9</v>
      </c>
      <c r="G53" s="37"/>
      <c r="H53" s="33">
        <v>0</v>
      </c>
      <c r="I53" s="33">
        <f t="shared" si="0"/>
        <v>0</v>
      </c>
      <c r="J53" s="44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</row>
    <row r="54" s="14" customFormat="1" ht="31.5" spans="1:252">
      <c r="A54" s="30">
        <v>2.17</v>
      </c>
      <c r="B54" s="39" t="s">
        <v>716</v>
      </c>
      <c r="C54" s="34" t="s">
        <v>717</v>
      </c>
      <c r="D54" s="35" t="s">
        <v>700</v>
      </c>
      <c r="E54" s="36">
        <v>3.24</v>
      </c>
      <c r="F54" s="36">
        <v>31.61</v>
      </c>
      <c r="G54" s="37"/>
      <c r="H54" s="33">
        <v>0</v>
      </c>
      <c r="I54" s="33">
        <f t="shared" si="0"/>
        <v>0</v>
      </c>
      <c r="J54" s="44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</row>
    <row r="55" s="14" customFormat="1" spans="1:10">
      <c r="A55" s="30" t="s">
        <v>428</v>
      </c>
      <c r="B55" s="26" t="s">
        <v>744</v>
      </c>
      <c r="C55" s="26"/>
      <c r="D55" s="27"/>
      <c r="E55" s="28"/>
      <c r="F55" s="28"/>
      <c r="G55" s="28"/>
      <c r="H55" s="31"/>
      <c r="I55" s="33">
        <f t="shared" si="0"/>
        <v>0</v>
      </c>
      <c r="J55" s="43"/>
    </row>
    <row r="56" s="14" customFormat="1" spans="1:252">
      <c r="A56" s="30">
        <v>1</v>
      </c>
      <c r="B56" s="26" t="s">
        <v>745</v>
      </c>
      <c r="C56" s="34"/>
      <c r="D56" s="35"/>
      <c r="E56" s="36"/>
      <c r="F56" s="36"/>
      <c r="G56" s="36"/>
      <c r="H56" s="33"/>
      <c r="I56" s="33">
        <f t="shared" si="0"/>
        <v>0</v>
      </c>
      <c r="J56" s="44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</row>
    <row r="57" s="14" customFormat="1" ht="84" spans="1:252">
      <c r="A57" s="30" t="s">
        <v>746</v>
      </c>
      <c r="B57" s="34" t="s">
        <v>747</v>
      </c>
      <c r="C57" s="34" t="s">
        <v>748</v>
      </c>
      <c r="D57" s="35" t="s">
        <v>517</v>
      </c>
      <c r="E57" s="36">
        <v>0</v>
      </c>
      <c r="F57" s="36">
        <v>266.4</v>
      </c>
      <c r="G57" s="36"/>
      <c r="H57" s="33">
        <f>3+2.25+8.63+4.3</f>
        <v>18.18</v>
      </c>
      <c r="I57" s="33">
        <f t="shared" si="0"/>
        <v>4843.15</v>
      </c>
      <c r="J57" s="44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  <c r="IK57" s="45"/>
      <c r="IL57" s="45"/>
      <c r="IM57" s="45"/>
      <c r="IN57" s="45"/>
      <c r="IO57" s="45"/>
      <c r="IP57" s="45"/>
      <c r="IQ57" s="45"/>
      <c r="IR57" s="45"/>
    </row>
    <row r="58" s="14" customFormat="1" ht="84" spans="1:252">
      <c r="A58" s="30" t="s">
        <v>746</v>
      </c>
      <c r="B58" s="34" t="s">
        <v>747</v>
      </c>
      <c r="C58" s="34" t="s">
        <v>749</v>
      </c>
      <c r="D58" s="35" t="s">
        <v>517</v>
      </c>
      <c r="E58" s="36">
        <v>0</v>
      </c>
      <c r="F58" s="36">
        <v>146.8</v>
      </c>
      <c r="G58" s="36"/>
      <c r="H58" s="33">
        <v>30</v>
      </c>
      <c r="I58" s="33">
        <f t="shared" si="0"/>
        <v>4404</v>
      </c>
      <c r="J58" s="44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  <c r="IK58" s="45"/>
      <c r="IL58" s="45"/>
      <c r="IM58" s="45"/>
      <c r="IN58" s="45"/>
      <c r="IO58" s="45"/>
      <c r="IP58" s="45"/>
      <c r="IQ58" s="45"/>
      <c r="IR58" s="45"/>
    </row>
    <row r="59" s="14" customFormat="1" ht="84" spans="1:252">
      <c r="A59" s="30" t="s">
        <v>746</v>
      </c>
      <c r="B59" s="34" t="s">
        <v>747</v>
      </c>
      <c r="C59" s="34" t="s">
        <v>750</v>
      </c>
      <c r="D59" s="35" t="s">
        <v>517</v>
      </c>
      <c r="E59" s="36">
        <v>0</v>
      </c>
      <c r="F59" s="36">
        <v>12</v>
      </c>
      <c r="G59" s="36"/>
      <c r="H59" s="33">
        <f>7</f>
        <v>7</v>
      </c>
      <c r="I59" s="33">
        <f t="shared" ref="I59:I90" si="1">H59*F59</f>
        <v>84</v>
      </c>
      <c r="J59" s="44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</row>
    <row r="60" s="14" customFormat="1" ht="42" spans="1:252">
      <c r="A60" s="30" t="s">
        <v>746</v>
      </c>
      <c r="B60" s="34" t="s">
        <v>751</v>
      </c>
      <c r="C60" s="34" t="s">
        <v>752</v>
      </c>
      <c r="D60" s="40" t="s">
        <v>517</v>
      </c>
      <c r="E60" s="36">
        <v>0</v>
      </c>
      <c r="F60" s="36">
        <v>70</v>
      </c>
      <c r="G60" s="36"/>
      <c r="H60" s="33">
        <v>280</v>
      </c>
      <c r="I60" s="33">
        <f t="shared" si="1"/>
        <v>19600</v>
      </c>
      <c r="J60" s="44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</row>
    <row r="61" s="14" customFormat="1" ht="42" spans="1:252">
      <c r="A61" s="30" t="s">
        <v>746</v>
      </c>
      <c r="B61" s="34" t="s">
        <v>751</v>
      </c>
      <c r="C61" s="34" t="s">
        <v>753</v>
      </c>
      <c r="D61" s="40" t="s">
        <v>517</v>
      </c>
      <c r="E61" s="36">
        <v>0</v>
      </c>
      <c r="F61" s="36">
        <v>60</v>
      </c>
      <c r="G61" s="36"/>
      <c r="H61" s="33">
        <v>18.18</v>
      </c>
      <c r="I61" s="33">
        <f t="shared" si="1"/>
        <v>1090.8</v>
      </c>
      <c r="J61" s="44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</row>
    <row r="62" s="14" customFormat="1" ht="42" spans="1:252">
      <c r="A62" s="30" t="s">
        <v>746</v>
      </c>
      <c r="B62" s="34" t="s">
        <v>751</v>
      </c>
      <c r="C62" s="34" t="s">
        <v>754</v>
      </c>
      <c r="D62" s="40" t="s">
        <v>517</v>
      </c>
      <c r="E62" s="36">
        <v>0</v>
      </c>
      <c r="F62" s="36">
        <v>50</v>
      </c>
      <c r="G62" s="36"/>
      <c r="H62" s="33">
        <v>30</v>
      </c>
      <c r="I62" s="33">
        <f t="shared" si="1"/>
        <v>1500</v>
      </c>
      <c r="J62" s="44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</row>
    <row r="63" s="14" customFormat="1" ht="84" spans="1:252">
      <c r="A63" s="30">
        <v>1.1</v>
      </c>
      <c r="B63" s="34" t="s">
        <v>755</v>
      </c>
      <c r="C63" s="34" t="s">
        <v>756</v>
      </c>
      <c r="D63" s="35" t="s">
        <v>757</v>
      </c>
      <c r="E63" s="36">
        <v>1</v>
      </c>
      <c r="F63" s="36">
        <v>6731.74</v>
      </c>
      <c r="G63" s="36">
        <v>3470.5</v>
      </c>
      <c r="H63" s="33">
        <v>1</v>
      </c>
      <c r="I63" s="33">
        <f t="shared" si="1"/>
        <v>6731.74</v>
      </c>
      <c r="J63" s="44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</row>
    <row r="64" s="14" customFormat="1" ht="63" spans="1:252">
      <c r="A64" s="30">
        <v>1.2</v>
      </c>
      <c r="B64" s="34" t="s">
        <v>758</v>
      </c>
      <c r="C64" s="34" t="s">
        <v>759</v>
      </c>
      <c r="D64" s="35" t="s">
        <v>757</v>
      </c>
      <c r="E64" s="36">
        <v>1</v>
      </c>
      <c r="F64" s="36">
        <v>2283.04</v>
      </c>
      <c r="G64" s="36">
        <v>3471.6</v>
      </c>
      <c r="H64" s="33">
        <v>1</v>
      </c>
      <c r="I64" s="33">
        <f t="shared" si="1"/>
        <v>2283.04</v>
      </c>
      <c r="J64" s="44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</row>
    <row r="65" s="14" customFormat="1" ht="63" spans="1:252">
      <c r="A65" s="30">
        <v>1.3</v>
      </c>
      <c r="B65" s="34" t="s">
        <v>760</v>
      </c>
      <c r="C65" s="34" t="s">
        <v>761</v>
      </c>
      <c r="D65" s="35" t="s">
        <v>757</v>
      </c>
      <c r="E65" s="36">
        <v>1</v>
      </c>
      <c r="F65" s="36">
        <v>1600.26</v>
      </c>
      <c r="G65" s="36">
        <v>3472.7</v>
      </c>
      <c r="H65" s="33">
        <v>1</v>
      </c>
      <c r="I65" s="33">
        <f t="shared" si="1"/>
        <v>1600.26</v>
      </c>
      <c r="J65" s="44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</row>
    <row r="66" s="14" customFormat="1" ht="42" spans="1:252">
      <c r="A66" s="30">
        <v>1.4</v>
      </c>
      <c r="B66" s="34" t="s">
        <v>762</v>
      </c>
      <c r="C66" s="34" t="s">
        <v>763</v>
      </c>
      <c r="D66" s="35" t="s">
        <v>757</v>
      </c>
      <c r="E66" s="36">
        <v>1</v>
      </c>
      <c r="F66" s="36">
        <v>1103.63</v>
      </c>
      <c r="G66" s="36">
        <v>750</v>
      </c>
      <c r="H66" s="33">
        <v>1</v>
      </c>
      <c r="I66" s="33">
        <f t="shared" si="1"/>
        <v>1103.63</v>
      </c>
      <c r="J66" s="44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5"/>
      <c r="HZ66" s="45"/>
      <c r="IA66" s="45"/>
      <c r="IB66" s="45"/>
      <c r="IC66" s="45"/>
      <c r="ID66" s="45"/>
      <c r="IE66" s="45"/>
      <c r="IF66" s="45"/>
      <c r="IG66" s="45"/>
      <c r="IH66" s="45"/>
      <c r="II66" s="45"/>
      <c r="IJ66" s="45"/>
      <c r="IK66" s="45"/>
      <c r="IL66" s="45"/>
      <c r="IM66" s="45"/>
      <c r="IN66" s="45"/>
      <c r="IO66" s="45"/>
      <c r="IP66" s="45"/>
      <c r="IQ66" s="45"/>
      <c r="IR66" s="45"/>
    </row>
    <row r="67" s="14" customFormat="1" ht="52.5" spans="1:252">
      <c r="A67" s="30">
        <v>1.5</v>
      </c>
      <c r="B67" s="34" t="s">
        <v>764</v>
      </c>
      <c r="C67" s="34" t="s">
        <v>765</v>
      </c>
      <c r="D67" s="35" t="s">
        <v>517</v>
      </c>
      <c r="E67" s="36">
        <v>30.08</v>
      </c>
      <c r="F67" s="36">
        <v>28.45</v>
      </c>
      <c r="G67" s="36">
        <v>8.8</v>
      </c>
      <c r="H67" s="33">
        <v>57.16</v>
      </c>
      <c r="I67" s="33">
        <f t="shared" si="1"/>
        <v>1626.2</v>
      </c>
      <c r="J67" s="44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5"/>
      <c r="HZ67" s="45"/>
      <c r="IA67" s="45"/>
      <c r="IB67" s="45"/>
      <c r="IC67" s="45"/>
      <c r="ID67" s="45"/>
      <c r="IE67" s="45"/>
      <c r="IF67" s="45"/>
      <c r="IG67" s="45"/>
      <c r="IH67" s="45"/>
      <c r="II67" s="45"/>
      <c r="IJ67" s="45"/>
      <c r="IK67" s="45"/>
      <c r="IL67" s="45"/>
      <c r="IM67" s="45"/>
      <c r="IN67" s="45"/>
      <c r="IO67" s="45"/>
      <c r="IP67" s="45"/>
      <c r="IQ67" s="45"/>
      <c r="IR67" s="45"/>
    </row>
    <row r="68" s="14" customFormat="1" ht="42" spans="1:252">
      <c r="A68" s="30">
        <v>1.6</v>
      </c>
      <c r="B68" s="34" t="s">
        <v>766</v>
      </c>
      <c r="C68" s="34" t="s">
        <v>767</v>
      </c>
      <c r="D68" s="35" t="s">
        <v>604</v>
      </c>
      <c r="E68" s="36">
        <v>1</v>
      </c>
      <c r="F68" s="36">
        <v>116</v>
      </c>
      <c r="G68" s="36">
        <v>38.5</v>
      </c>
      <c r="H68" s="33">
        <v>1</v>
      </c>
      <c r="I68" s="33">
        <f t="shared" si="1"/>
        <v>116</v>
      </c>
      <c r="J68" s="44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</row>
    <row r="69" s="14" customFormat="1" ht="84" spans="1:252">
      <c r="A69" s="30">
        <v>1.7</v>
      </c>
      <c r="B69" s="34" t="s">
        <v>747</v>
      </c>
      <c r="C69" s="34" t="s">
        <v>768</v>
      </c>
      <c r="D69" s="35" t="s">
        <v>517</v>
      </c>
      <c r="E69" s="36">
        <f>8+15</f>
        <v>23</v>
      </c>
      <c r="F69" s="36">
        <v>77.14</v>
      </c>
      <c r="G69" s="36">
        <v>62.7</v>
      </c>
      <c r="H69" s="33">
        <v>16.93</v>
      </c>
      <c r="I69" s="33">
        <f t="shared" si="1"/>
        <v>1305.98</v>
      </c>
      <c r="J69" s="44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  <c r="IE69" s="45"/>
      <c r="IF69" s="45"/>
      <c r="IG69" s="45"/>
      <c r="IH69" s="45"/>
      <c r="II69" s="45"/>
      <c r="IJ69" s="45"/>
      <c r="IK69" s="45"/>
      <c r="IL69" s="45"/>
      <c r="IM69" s="45"/>
      <c r="IN69" s="45"/>
      <c r="IO69" s="45"/>
      <c r="IP69" s="45"/>
      <c r="IQ69" s="45"/>
      <c r="IR69" s="45"/>
    </row>
    <row r="70" s="14" customFormat="1" ht="84" spans="1:252">
      <c r="A70" s="30">
        <v>1.8</v>
      </c>
      <c r="B70" s="34" t="s">
        <v>747</v>
      </c>
      <c r="C70" s="34" t="s">
        <v>769</v>
      </c>
      <c r="D70" s="35" t="s">
        <v>517</v>
      </c>
      <c r="E70" s="36">
        <f>10+15</f>
        <v>25</v>
      </c>
      <c r="F70" s="36">
        <v>173.58</v>
      </c>
      <c r="G70" s="36">
        <v>160.6</v>
      </c>
      <c r="H70" s="33">
        <v>7</v>
      </c>
      <c r="I70" s="33">
        <f t="shared" si="1"/>
        <v>1215.06</v>
      </c>
      <c r="J70" s="50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  <c r="IE70" s="45"/>
      <c r="IF70" s="45"/>
      <c r="IG70" s="45"/>
      <c r="IH70" s="45"/>
      <c r="II70" s="45"/>
      <c r="IJ70" s="45"/>
      <c r="IK70" s="45"/>
      <c r="IL70" s="45"/>
      <c r="IM70" s="45"/>
      <c r="IN70" s="45"/>
      <c r="IO70" s="45"/>
      <c r="IP70" s="45"/>
      <c r="IQ70" s="45"/>
      <c r="IR70" s="45"/>
    </row>
    <row r="71" s="14" customFormat="1" ht="84" spans="1:252">
      <c r="A71" s="30">
        <v>1.9</v>
      </c>
      <c r="B71" s="34" t="s">
        <v>747</v>
      </c>
      <c r="C71" s="34" t="s">
        <v>770</v>
      </c>
      <c r="D71" s="35" t="s">
        <v>517</v>
      </c>
      <c r="E71" s="36">
        <v>180</v>
      </c>
      <c r="F71" s="36">
        <v>619.77</v>
      </c>
      <c r="G71" s="36">
        <v>398.2</v>
      </c>
      <c r="H71" s="33">
        <v>330</v>
      </c>
      <c r="I71" s="33">
        <f t="shared" si="1"/>
        <v>204524.1</v>
      </c>
      <c r="J71" s="44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</row>
    <row r="72" s="14" customFormat="1" ht="84" spans="1:252">
      <c r="A72" s="38">
        <v>1.1</v>
      </c>
      <c r="B72" s="34" t="s">
        <v>747</v>
      </c>
      <c r="C72" s="34" t="s">
        <v>771</v>
      </c>
      <c r="D72" s="35" t="s">
        <v>517</v>
      </c>
      <c r="E72" s="36">
        <f>5*2</f>
        <v>10</v>
      </c>
      <c r="F72" s="36">
        <v>13.27</v>
      </c>
      <c r="G72" s="36">
        <v>13.2</v>
      </c>
      <c r="H72" s="33">
        <v>0</v>
      </c>
      <c r="I72" s="33">
        <f t="shared" si="1"/>
        <v>0</v>
      </c>
      <c r="J72" s="44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</row>
    <row r="73" s="14" customFormat="1" ht="84" spans="1:252">
      <c r="A73" s="30">
        <v>1.11</v>
      </c>
      <c r="B73" s="34" t="s">
        <v>747</v>
      </c>
      <c r="C73" s="34" t="s">
        <v>771</v>
      </c>
      <c r="D73" s="35" t="s">
        <v>517</v>
      </c>
      <c r="E73" s="36">
        <v>10</v>
      </c>
      <c r="F73" s="36">
        <v>13.27</v>
      </c>
      <c r="G73" s="36">
        <v>13.2</v>
      </c>
      <c r="H73" s="33">
        <v>0</v>
      </c>
      <c r="I73" s="33">
        <f t="shared" si="1"/>
        <v>0</v>
      </c>
      <c r="J73" s="44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</row>
    <row r="74" s="14" customFormat="1" ht="42" spans="1:252">
      <c r="A74" s="38">
        <v>1.12</v>
      </c>
      <c r="B74" s="34" t="s">
        <v>751</v>
      </c>
      <c r="C74" s="34" t="s">
        <v>772</v>
      </c>
      <c r="D74" s="40" t="s">
        <v>517</v>
      </c>
      <c r="E74" s="36">
        <v>170</v>
      </c>
      <c r="F74" s="36">
        <v>63.8</v>
      </c>
      <c r="G74" s="36">
        <v>18.59</v>
      </c>
      <c r="H74" s="46">
        <v>0</v>
      </c>
      <c r="I74" s="33">
        <f t="shared" si="1"/>
        <v>0</v>
      </c>
      <c r="J74" s="44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</row>
    <row r="75" s="14" customFormat="1" ht="42" spans="1:252">
      <c r="A75" s="30">
        <v>1.13</v>
      </c>
      <c r="B75" s="34" t="s">
        <v>751</v>
      </c>
      <c r="C75" s="34" t="s">
        <v>773</v>
      </c>
      <c r="D75" s="40" t="s">
        <v>517</v>
      </c>
      <c r="E75" s="36">
        <v>18</v>
      </c>
      <c r="F75" s="36">
        <v>48.6</v>
      </c>
      <c r="G75" s="36">
        <v>13.53</v>
      </c>
      <c r="H75" s="46">
        <v>16.95</v>
      </c>
      <c r="I75" s="33">
        <f t="shared" si="1"/>
        <v>823.77</v>
      </c>
      <c r="J75" s="44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</row>
    <row r="76" s="14" customFormat="1" ht="42" spans="1:10">
      <c r="A76" s="38">
        <v>1.14</v>
      </c>
      <c r="B76" s="34" t="s">
        <v>751</v>
      </c>
      <c r="C76" s="34" t="s">
        <v>774</v>
      </c>
      <c r="D76" s="40" t="s">
        <v>517</v>
      </c>
      <c r="E76" s="36">
        <v>15</v>
      </c>
      <c r="F76" s="36">
        <v>17.95</v>
      </c>
      <c r="G76" s="36">
        <v>8.25</v>
      </c>
      <c r="H76" s="46">
        <v>0</v>
      </c>
      <c r="I76" s="33">
        <f t="shared" si="1"/>
        <v>0</v>
      </c>
      <c r="J76" s="43"/>
    </row>
    <row r="77" s="14" customFormat="1" ht="42" spans="1:10">
      <c r="A77" s="30">
        <v>1.15</v>
      </c>
      <c r="B77" s="34" t="s">
        <v>751</v>
      </c>
      <c r="C77" s="34" t="s">
        <v>775</v>
      </c>
      <c r="D77" s="40" t="s">
        <v>517</v>
      </c>
      <c r="E77" s="36">
        <v>11.84</v>
      </c>
      <c r="F77" s="36">
        <v>23.39</v>
      </c>
      <c r="G77" s="36">
        <v>9.79</v>
      </c>
      <c r="H77" s="46">
        <v>0</v>
      </c>
      <c r="I77" s="33">
        <f t="shared" si="1"/>
        <v>0</v>
      </c>
      <c r="J77" s="43"/>
    </row>
    <row r="78" s="14" customFormat="1" ht="42" spans="1:10">
      <c r="A78" s="38">
        <v>1.16</v>
      </c>
      <c r="B78" s="34" t="s">
        <v>751</v>
      </c>
      <c r="C78" s="34" t="s">
        <v>776</v>
      </c>
      <c r="D78" s="40" t="s">
        <v>517</v>
      </c>
      <c r="E78" s="36">
        <f>838.84+279.29</f>
        <v>1118.13</v>
      </c>
      <c r="F78" s="36">
        <v>17.95</v>
      </c>
      <c r="G78" s="36">
        <v>8.25</v>
      </c>
      <c r="H78" s="46">
        <f>323+937+7</f>
        <v>1267</v>
      </c>
      <c r="I78" s="33">
        <f t="shared" si="1"/>
        <v>22742.65</v>
      </c>
      <c r="J78" s="43"/>
    </row>
    <row r="79" s="14" customFormat="1" ht="42" spans="1:10">
      <c r="A79" s="30">
        <v>1.17</v>
      </c>
      <c r="B79" s="34" t="s">
        <v>751</v>
      </c>
      <c r="C79" s="34" t="s">
        <v>777</v>
      </c>
      <c r="D79" s="40" t="s">
        <v>517</v>
      </c>
      <c r="E79" s="36">
        <v>8.72</v>
      </c>
      <c r="F79" s="36">
        <v>14.94</v>
      </c>
      <c r="G79" s="36">
        <v>5.94</v>
      </c>
      <c r="H79" s="46">
        <v>0</v>
      </c>
      <c r="I79" s="33">
        <f t="shared" si="1"/>
        <v>0</v>
      </c>
      <c r="J79" s="43"/>
    </row>
    <row r="80" s="14" customFormat="1" ht="52.5" spans="1:10">
      <c r="A80" s="38">
        <v>1.18</v>
      </c>
      <c r="B80" s="34" t="s">
        <v>778</v>
      </c>
      <c r="C80" s="34" t="s">
        <v>779</v>
      </c>
      <c r="D80" s="40" t="s">
        <v>517</v>
      </c>
      <c r="E80" s="36">
        <v>1802.23</v>
      </c>
      <c r="F80" s="36">
        <v>9.45</v>
      </c>
      <c r="G80" s="36">
        <v>3.19</v>
      </c>
      <c r="H80" s="46">
        <v>0</v>
      </c>
      <c r="I80" s="33">
        <f t="shared" si="1"/>
        <v>0</v>
      </c>
      <c r="J80" s="43"/>
    </row>
    <row r="81" s="14" customFormat="1" ht="52.5" spans="1:10">
      <c r="A81" s="30">
        <v>1.19</v>
      </c>
      <c r="B81" s="34" t="s">
        <v>778</v>
      </c>
      <c r="C81" s="34" t="s">
        <v>780</v>
      </c>
      <c r="D81" s="40" t="s">
        <v>517</v>
      </c>
      <c r="E81" s="36">
        <v>903.29</v>
      </c>
      <c r="F81" s="36">
        <v>10.06</v>
      </c>
      <c r="G81" s="36">
        <v>3.52</v>
      </c>
      <c r="H81" s="46">
        <v>0</v>
      </c>
      <c r="I81" s="33">
        <f t="shared" si="1"/>
        <v>0</v>
      </c>
      <c r="J81" s="43"/>
    </row>
    <row r="82" s="14" customFormat="1" ht="52.5" spans="1:10">
      <c r="A82" s="38">
        <v>1.2</v>
      </c>
      <c r="B82" s="34" t="s">
        <v>778</v>
      </c>
      <c r="C82" s="34" t="s">
        <v>781</v>
      </c>
      <c r="D82" s="40" t="s">
        <v>517</v>
      </c>
      <c r="E82" s="36">
        <v>59.22</v>
      </c>
      <c r="F82" s="36">
        <v>12.18</v>
      </c>
      <c r="G82" s="36">
        <v>5.61</v>
      </c>
      <c r="H82" s="46">
        <v>0</v>
      </c>
      <c r="I82" s="33">
        <f t="shared" si="1"/>
        <v>0</v>
      </c>
      <c r="J82" s="43"/>
    </row>
    <row r="83" s="14" customFormat="1" ht="52.5" spans="1:10">
      <c r="A83" s="30">
        <v>1.21</v>
      </c>
      <c r="B83" s="34" t="s">
        <v>778</v>
      </c>
      <c r="C83" s="34" t="s">
        <v>782</v>
      </c>
      <c r="D83" s="40" t="s">
        <v>517</v>
      </c>
      <c r="E83" s="36">
        <v>117.34</v>
      </c>
      <c r="F83" s="36">
        <v>6.92</v>
      </c>
      <c r="G83" s="36">
        <v>2.75</v>
      </c>
      <c r="H83" s="46">
        <v>1331.85</v>
      </c>
      <c r="I83" s="33">
        <f t="shared" si="1"/>
        <v>9216.4</v>
      </c>
      <c r="J83" s="43"/>
    </row>
    <row r="84" s="14" customFormat="1" ht="52.5" spans="1:10">
      <c r="A84" s="38">
        <v>1.22</v>
      </c>
      <c r="B84" s="34" t="s">
        <v>778</v>
      </c>
      <c r="C84" s="34" t="s">
        <v>783</v>
      </c>
      <c r="D84" s="40" t="s">
        <v>517</v>
      </c>
      <c r="E84" s="36">
        <v>43.83</v>
      </c>
      <c r="F84" s="36">
        <v>10.06</v>
      </c>
      <c r="G84" s="36">
        <v>4.05</v>
      </c>
      <c r="H84" s="46">
        <v>1233.96</v>
      </c>
      <c r="I84" s="33">
        <f t="shared" si="1"/>
        <v>12413.64</v>
      </c>
      <c r="J84" s="43"/>
    </row>
    <row r="85" s="14" customFormat="1" ht="52.5" spans="1:10">
      <c r="A85" s="30">
        <v>1.23</v>
      </c>
      <c r="B85" s="34" t="s">
        <v>778</v>
      </c>
      <c r="C85" s="34" t="s">
        <v>784</v>
      </c>
      <c r="D85" s="40" t="s">
        <v>517</v>
      </c>
      <c r="E85" s="36">
        <v>150.27</v>
      </c>
      <c r="F85" s="36">
        <v>12.18</v>
      </c>
      <c r="G85" s="36">
        <v>5.61</v>
      </c>
      <c r="H85" s="46">
        <v>151</v>
      </c>
      <c r="I85" s="33">
        <f t="shared" si="1"/>
        <v>1839.18</v>
      </c>
      <c r="J85" s="43"/>
    </row>
    <row r="86" s="14" customFormat="1" ht="42" spans="1:10">
      <c r="A86" s="38">
        <v>1.24</v>
      </c>
      <c r="B86" s="34" t="s">
        <v>778</v>
      </c>
      <c r="C86" s="34" t="s">
        <v>785</v>
      </c>
      <c r="D86" s="40" t="s">
        <v>517</v>
      </c>
      <c r="E86" s="36">
        <v>558.58</v>
      </c>
      <c r="F86" s="36">
        <v>10.24</v>
      </c>
      <c r="G86" s="36">
        <v>5.69</v>
      </c>
      <c r="H86" s="46">
        <v>381</v>
      </c>
      <c r="I86" s="33">
        <f t="shared" si="1"/>
        <v>3901.44</v>
      </c>
      <c r="J86" s="43"/>
    </row>
    <row r="87" s="14" customFormat="1" ht="42" spans="1:10">
      <c r="A87" s="30">
        <v>1.25</v>
      </c>
      <c r="B87" s="34" t="s">
        <v>786</v>
      </c>
      <c r="C87" s="34" t="s">
        <v>787</v>
      </c>
      <c r="D87" s="40" t="s">
        <v>604</v>
      </c>
      <c r="E87" s="36">
        <v>7</v>
      </c>
      <c r="F87" s="36">
        <v>27.16</v>
      </c>
      <c r="G87" s="36">
        <v>13.42</v>
      </c>
      <c r="H87" s="46">
        <v>8</v>
      </c>
      <c r="I87" s="33">
        <f t="shared" si="1"/>
        <v>217.28</v>
      </c>
      <c r="J87" s="43"/>
    </row>
    <row r="88" s="14" customFormat="1" ht="42" spans="1:10">
      <c r="A88" s="38">
        <v>1.26</v>
      </c>
      <c r="B88" s="34" t="s">
        <v>786</v>
      </c>
      <c r="C88" s="34" t="s">
        <v>788</v>
      </c>
      <c r="D88" s="40" t="s">
        <v>604</v>
      </c>
      <c r="E88" s="36">
        <v>14</v>
      </c>
      <c r="F88" s="36">
        <v>31.38</v>
      </c>
      <c r="G88" s="36">
        <v>14.85</v>
      </c>
      <c r="H88" s="46">
        <v>13</v>
      </c>
      <c r="I88" s="33">
        <f t="shared" si="1"/>
        <v>407.94</v>
      </c>
      <c r="J88" s="43"/>
    </row>
    <row r="89" s="14" customFormat="1" ht="42" spans="1:10">
      <c r="A89" s="30">
        <v>1.27</v>
      </c>
      <c r="B89" s="34" t="s">
        <v>786</v>
      </c>
      <c r="C89" s="34" t="s">
        <v>789</v>
      </c>
      <c r="D89" s="40" t="s">
        <v>604</v>
      </c>
      <c r="E89" s="36">
        <v>11</v>
      </c>
      <c r="F89" s="36">
        <v>37.41</v>
      </c>
      <c r="G89" s="36">
        <v>15.73</v>
      </c>
      <c r="H89" s="46">
        <v>10</v>
      </c>
      <c r="I89" s="33">
        <f t="shared" si="1"/>
        <v>374.1</v>
      </c>
      <c r="J89" s="43"/>
    </row>
    <row r="90" s="14" customFormat="1" ht="42" spans="1:10">
      <c r="A90" s="38">
        <v>1.28</v>
      </c>
      <c r="B90" s="34" t="s">
        <v>786</v>
      </c>
      <c r="C90" s="34" t="s">
        <v>790</v>
      </c>
      <c r="D90" s="40" t="s">
        <v>604</v>
      </c>
      <c r="E90" s="36">
        <v>2</v>
      </c>
      <c r="F90" s="36">
        <v>38.38</v>
      </c>
      <c r="G90" s="36">
        <v>16.94</v>
      </c>
      <c r="H90" s="46">
        <v>2</v>
      </c>
      <c r="I90" s="33">
        <f t="shared" si="1"/>
        <v>76.76</v>
      </c>
      <c r="J90" s="43"/>
    </row>
    <row r="91" s="14" customFormat="1" ht="52.5" spans="1:10">
      <c r="A91" s="30">
        <v>1.29</v>
      </c>
      <c r="B91" s="34" t="s">
        <v>791</v>
      </c>
      <c r="C91" s="34" t="s">
        <v>792</v>
      </c>
      <c r="D91" s="40" t="s">
        <v>604</v>
      </c>
      <c r="E91" s="36">
        <v>23</v>
      </c>
      <c r="F91" s="36">
        <v>46.34</v>
      </c>
      <c r="G91" s="36">
        <v>18.92</v>
      </c>
      <c r="H91" s="46">
        <v>13</v>
      </c>
      <c r="I91" s="33">
        <f t="shared" ref="I91:I120" si="2">H91*F91</f>
        <v>602.42</v>
      </c>
      <c r="J91" s="43"/>
    </row>
    <row r="92" s="14" customFormat="1" ht="42" spans="1:10">
      <c r="A92" s="38">
        <v>1.3</v>
      </c>
      <c r="B92" s="34" t="s">
        <v>791</v>
      </c>
      <c r="C92" s="34" t="s">
        <v>793</v>
      </c>
      <c r="D92" s="40" t="s">
        <v>604</v>
      </c>
      <c r="E92" s="36">
        <v>32</v>
      </c>
      <c r="F92" s="36">
        <v>49.4</v>
      </c>
      <c r="G92" s="36">
        <v>19.69</v>
      </c>
      <c r="H92" s="46">
        <v>38</v>
      </c>
      <c r="I92" s="33">
        <f t="shared" si="2"/>
        <v>1877.2</v>
      </c>
      <c r="J92" s="43"/>
    </row>
    <row r="93" s="14" customFormat="1" ht="31.5" spans="1:10">
      <c r="A93" s="30">
        <v>1.31</v>
      </c>
      <c r="B93" s="34" t="s">
        <v>791</v>
      </c>
      <c r="C93" s="34" t="s">
        <v>794</v>
      </c>
      <c r="D93" s="40" t="s">
        <v>604</v>
      </c>
      <c r="E93" s="36">
        <v>7</v>
      </c>
      <c r="F93" s="36">
        <v>238.26</v>
      </c>
      <c r="G93" s="36">
        <v>108.35</v>
      </c>
      <c r="H93" s="46">
        <v>17</v>
      </c>
      <c r="I93" s="33">
        <f t="shared" si="2"/>
        <v>4050.42</v>
      </c>
      <c r="J93" s="43"/>
    </row>
    <row r="94" s="14" customFormat="1" ht="42" spans="1:10">
      <c r="A94" s="38">
        <v>1.32</v>
      </c>
      <c r="B94" s="34" t="s">
        <v>791</v>
      </c>
      <c r="C94" s="34" t="s">
        <v>795</v>
      </c>
      <c r="D94" s="40" t="s">
        <v>604</v>
      </c>
      <c r="E94" s="36">
        <v>3</v>
      </c>
      <c r="F94" s="36">
        <v>44.96</v>
      </c>
      <c r="G94" s="36">
        <v>15.73</v>
      </c>
      <c r="H94" s="46">
        <v>5</v>
      </c>
      <c r="I94" s="33">
        <f t="shared" si="2"/>
        <v>224.8</v>
      </c>
      <c r="J94" s="43"/>
    </row>
    <row r="95" s="14" customFormat="1" ht="42" spans="1:10">
      <c r="A95" s="30">
        <v>1.33</v>
      </c>
      <c r="B95" s="34" t="s">
        <v>791</v>
      </c>
      <c r="C95" s="34" t="s">
        <v>796</v>
      </c>
      <c r="D95" s="40" t="s">
        <v>604</v>
      </c>
      <c r="E95" s="36">
        <v>3</v>
      </c>
      <c r="F95" s="36">
        <v>46.46</v>
      </c>
      <c r="G95" s="36">
        <v>16.61</v>
      </c>
      <c r="H95" s="46">
        <v>3</v>
      </c>
      <c r="I95" s="33">
        <f t="shared" si="2"/>
        <v>139.38</v>
      </c>
      <c r="J95" s="43"/>
    </row>
    <row r="96" s="14" customFormat="1" ht="42" spans="1:10">
      <c r="A96" s="38">
        <v>1.34</v>
      </c>
      <c r="B96" s="34" t="s">
        <v>791</v>
      </c>
      <c r="C96" s="34" t="s">
        <v>797</v>
      </c>
      <c r="D96" s="40" t="s">
        <v>604</v>
      </c>
      <c r="E96" s="36">
        <v>3</v>
      </c>
      <c r="F96" s="36">
        <v>58.84</v>
      </c>
      <c r="G96" s="36">
        <v>20.79</v>
      </c>
      <c r="H96" s="46">
        <v>3</v>
      </c>
      <c r="I96" s="33">
        <f t="shared" si="2"/>
        <v>176.52</v>
      </c>
      <c r="J96" s="43"/>
    </row>
    <row r="97" s="14" customFormat="1" ht="42" spans="1:10">
      <c r="A97" s="30">
        <v>1.35</v>
      </c>
      <c r="B97" s="34" t="s">
        <v>791</v>
      </c>
      <c r="C97" s="34" t="s">
        <v>798</v>
      </c>
      <c r="D97" s="40" t="s">
        <v>604</v>
      </c>
      <c r="E97" s="36">
        <v>3</v>
      </c>
      <c r="F97" s="36">
        <v>53.66</v>
      </c>
      <c r="G97" s="36">
        <v>19.25</v>
      </c>
      <c r="H97" s="46">
        <v>3</v>
      </c>
      <c r="I97" s="33">
        <f t="shared" si="2"/>
        <v>160.98</v>
      </c>
      <c r="J97" s="43"/>
    </row>
    <row r="98" s="14" customFormat="1" ht="31.5" spans="1:10">
      <c r="A98" s="38">
        <v>1.36</v>
      </c>
      <c r="B98" s="34" t="s">
        <v>791</v>
      </c>
      <c r="C98" s="34" t="s">
        <v>799</v>
      </c>
      <c r="D98" s="40" t="s">
        <v>604</v>
      </c>
      <c r="E98" s="36">
        <v>1</v>
      </c>
      <c r="F98" s="36">
        <v>44.82</v>
      </c>
      <c r="G98" s="36">
        <v>15.07</v>
      </c>
      <c r="H98" s="46">
        <v>1</v>
      </c>
      <c r="I98" s="33">
        <f t="shared" si="2"/>
        <v>44.82</v>
      </c>
      <c r="J98" s="43"/>
    </row>
    <row r="99" s="14" customFormat="1" ht="31.5" spans="1:10">
      <c r="A99" s="30">
        <v>1.37</v>
      </c>
      <c r="B99" s="34" t="s">
        <v>800</v>
      </c>
      <c r="C99" s="34" t="s">
        <v>801</v>
      </c>
      <c r="D99" s="40" t="s">
        <v>604</v>
      </c>
      <c r="E99" s="36">
        <v>109</v>
      </c>
      <c r="F99" s="36">
        <v>16.17</v>
      </c>
      <c r="G99" s="36">
        <v>5.06</v>
      </c>
      <c r="H99" s="46">
        <v>116</v>
      </c>
      <c r="I99" s="33">
        <f t="shared" si="2"/>
        <v>1875.72</v>
      </c>
      <c r="J99" s="43"/>
    </row>
    <row r="100" s="14" customFormat="1" ht="52.5" spans="1:10">
      <c r="A100" s="38">
        <v>1.38</v>
      </c>
      <c r="B100" s="34" t="s">
        <v>802</v>
      </c>
      <c r="C100" s="34" t="s">
        <v>803</v>
      </c>
      <c r="D100" s="40" t="s">
        <v>604</v>
      </c>
      <c r="E100" s="36">
        <v>59</v>
      </c>
      <c r="F100" s="47">
        <v>201</v>
      </c>
      <c r="G100" s="48">
        <v>105.16</v>
      </c>
      <c r="H100" s="46">
        <v>59</v>
      </c>
      <c r="I100" s="33">
        <f t="shared" si="2"/>
        <v>11859</v>
      </c>
      <c r="J100" s="43"/>
    </row>
    <row r="101" s="14" customFormat="1" ht="52.5" spans="1:10">
      <c r="A101" s="30">
        <v>1.39</v>
      </c>
      <c r="B101" s="34" t="s">
        <v>804</v>
      </c>
      <c r="C101" s="34" t="s">
        <v>805</v>
      </c>
      <c r="D101" s="40" t="s">
        <v>604</v>
      </c>
      <c r="E101" s="36">
        <v>11</v>
      </c>
      <c r="F101" s="49">
        <v>468.35</v>
      </c>
      <c r="G101" s="49">
        <v>284.24</v>
      </c>
      <c r="H101" s="46">
        <v>10</v>
      </c>
      <c r="I101" s="33">
        <f t="shared" si="2"/>
        <v>4683.5</v>
      </c>
      <c r="J101" s="43"/>
    </row>
    <row r="102" s="14" customFormat="1" ht="52.5" spans="1:10">
      <c r="A102" s="38">
        <v>1.4</v>
      </c>
      <c r="B102" s="34" t="s">
        <v>806</v>
      </c>
      <c r="C102" s="34" t="s">
        <v>807</v>
      </c>
      <c r="D102" s="40" t="s">
        <v>604</v>
      </c>
      <c r="E102" s="36">
        <v>111</v>
      </c>
      <c r="F102" s="49">
        <v>468.35</v>
      </c>
      <c r="G102" s="49">
        <v>284.24</v>
      </c>
      <c r="H102" s="46">
        <v>87</v>
      </c>
      <c r="I102" s="33">
        <f t="shared" si="2"/>
        <v>40746.45</v>
      </c>
      <c r="J102" s="43"/>
    </row>
    <row r="103" s="14" customFormat="1" ht="42" spans="1:10">
      <c r="A103" s="30">
        <v>1.41</v>
      </c>
      <c r="B103" s="34" t="s">
        <v>808</v>
      </c>
      <c r="C103" s="34" t="s">
        <v>809</v>
      </c>
      <c r="D103" s="40" t="s">
        <v>604</v>
      </c>
      <c r="E103" s="36">
        <v>6</v>
      </c>
      <c r="F103" s="36">
        <v>225.22</v>
      </c>
      <c r="G103" s="36">
        <v>108.24</v>
      </c>
      <c r="H103" s="46">
        <v>6</v>
      </c>
      <c r="I103" s="33">
        <f t="shared" si="2"/>
        <v>1351.32</v>
      </c>
      <c r="J103" s="43"/>
    </row>
    <row r="104" s="14" customFormat="1" ht="52.5" spans="1:10">
      <c r="A104" s="38">
        <v>1.42</v>
      </c>
      <c r="B104" s="34" t="s">
        <v>810</v>
      </c>
      <c r="C104" s="34" t="s">
        <v>811</v>
      </c>
      <c r="D104" s="40" t="s">
        <v>604</v>
      </c>
      <c r="E104" s="36">
        <v>6</v>
      </c>
      <c r="F104" s="36">
        <v>468.35</v>
      </c>
      <c r="G104" s="36">
        <v>284.24</v>
      </c>
      <c r="H104" s="46">
        <v>24</v>
      </c>
      <c r="I104" s="33">
        <f t="shared" si="2"/>
        <v>11240.4</v>
      </c>
      <c r="J104" s="43"/>
    </row>
    <row r="105" s="14" customFormat="1" ht="42" spans="1:10">
      <c r="A105" s="30">
        <v>1.43</v>
      </c>
      <c r="B105" s="34" t="s">
        <v>812</v>
      </c>
      <c r="C105" s="34" t="s">
        <v>813</v>
      </c>
      <c r="D105" s="40" t="s">
        <v>604</v>
      </c>
      <c r="E105" s="36">
        <v>4</v>
      </c>
      <c r="F105" s="36">
        <v>468.35</v>
      </c>
      <c r="G105" s="36">
        <v>284.24</v>
      </c>
      <c r="H105" s="46">
        <v>4</v>
      </c>
      <c r="I105" s="33">
        <f t="shared" si="2"/>
        <v>1873.4</v>
      </c>
      <c r="J105" s="43"/>
    </row>
    <row r="106" s="14" customFormat="1" ht="52.5" spans="1:10">
      <c r="A106" s="38">
        <v>1.44</v>
      </c>
      <c r="B106" s="34" t="s">
        <v>814</v>
      </c>
      <c r="C106" s="34" t="s">
        <v>815</v>
      </c>
      <c r="D106" s="40" t="s">
        <v>816</v>
      </c>
      <c r="E106" s="36">
        <v>140.56</v>
      </c>
      <c r="F106" s="36">
        <v>55.32</v>
      </c>
      <c r="G106" s="36">
        <v>27.5</v>
      </c>
      <c r="H106" s="46">
        <v>149.09</v>
      </c>
      <c r="I106" s="33">
        <f t="shared" si="2"/>
        <v>8247.66</v>
      </c>
      <c r="J106" s="43"/>
    </row>
    <row r="107" s="14" customFormat="1" ht="63" spans="1:10">
      <c r="A107" s="30">
        <v>1.45</v>
      </c>
      <c r="B107" s="34" t="s">
        <v>817</v>
      </c>
      <c r="C107" s="34" t="s">
        <v>818</v>
      </c>
      <c r="D107" s="40" t="s">
        <v>816</v>
      </c>
      <c r="E107" s="36">
        <v>68.54</v>
      </c>
      <c r="F107" s="36">
        <v>93.96</v>
      </c>
      <c r="G107" s="36">
        <v>52.8</v>
      </c>
      <c r="H107" s="46">
        <v>115.75</v>
      </c>
      <c r="I107" s="33">
        <f t="shared" si="2"/>
        <v>10875.87</v>
      </c>
      <c r="J107" s="43"/>
    </row>
    <row r="108" s="14" customFormat="1" ht="63" spans="1:10">
      <c r="A108" s="38">
        <v>1.46</v>
      </c>
      <c r="B108" s="34" t="s">
        <v>819</v>
      </c>
      <c r="C108" s="34" t="s">
        <v>820</v>
      </c>
      <c r="D108" s="40" t="s">
        <v>604</v>
      </c>
      <c r="E108" s="36">
        <v>1</v>
      </c>
      <c r="F108" s="36">
        <v>142.78</v>
      </c>
      <c r="G108" s="36">
        <v>55.88</v>
      </c>
      <c r="H108" s="46">
        <v>1</v>
      </c>
      <c r="I108" s="33">
        <f t="shared" si="2"/>
        <v>142.78</v>
      </c>
      <c r="J108" s="43"/>
    </row>
    <row r="109" s="14" customFormat="1" ht="63" spans="1:10">
      <c r="A109" s="30">
        <v>1.47</v>
      </c>
      <c r="B109" s="34" t="s">
        <v>821</v>
      </c>
      <c r="C109" s="34" t="s">
        <v>822</v>
      </c>
      <c r="D109" s="40" t="s">
        <v>604</v>
      </c>
      <c r="E109" s="36">
        <v>1</v>
      </c>
      <c r="F109" s="36">
        <v>142.78</v>
      </c>
      <c r="G109" s="36">
        <v>55.88</v>
      </c>
      <c r="H109" s="46">
        <v>3</v>
      </c>
      <c r="I109" s="33">
        <f t="shared" si="2"/>
        <v>428.34</v>
      </c>
      <c r="J109" s="43"/>
    </row>
    <row r="110" s="14" customFormat="1" ht="73.5" spans="1:10">
      <c r="A110" s="38">
        <v>1.48</v>
      </c>
      <c r="B110" s="34" t="s">
        <v>823</v>
      </c>
      <c r="C110" s="34" t="s">
        <v>824</v>
      </c>
      <c r="D110" s="40" t="s">
        <v>604</v>
      </c>
      <c r="E110" s="36">
        <v>2</v>
      </c>
      <c r="F110" s="36">
        <v>142.78</v>
      </c>
      <c r="G110" s="36">
        <v>55.88</v>
      </c>
      <c r="H110" s="46">
        <v>0</v>
      </c>
      <c r="I110" s="33">
        <f t="shared" si="2"/>
        <v>0</v>
      </c>
      <c r="J110" s="43"/>
    </row>
    <row r="111" s="14" customFormat="1" ht="63" spans="1:10">
      <c r="A111" s="30">
        <v>1.49</v>
      </c>
      <c r="B111" s="34" t="s">
        <v>825</v>
      </c>
      <c r="C111" s="34" t="s">
        <v>826</v>
      </c>
      <c r="D111" s="40" t="s">
        <v>604</v>
      </c>
      <c r="E111" s="36">
        <v>16</v>
      </c>
      <c r="F111" s="36">
        <v>142.78</v>
      </c>
      <c r="G111" s="36">
        <v>55.88</v>
      </c>
      <c r="H111" s="46">
        <v>12</v>
      </c>
      <c r="I111" s="33">
        <f t="shared" si="2"/>
        <v>1713.36</v>
      </c>
      <c r="J111" s="43"/>
    </row>
    <row r="112" s="14" customFormat="1" ht="63" spans="1:10">
      <c r="A112" s="38">
        <v>1.5</v>
      </c>
      <c r="B112" s="34" t="s">
        <v>827</v>
      </c>
      <c r="C112" s="34" t="s">
        <v>828</v>
      </c>
      <c r="D112" s="40" t="s">
        <v>604</v>
      </c>
      <c r="E112" s="36">
        <v>1</v>
      </c>
      <c r="F112" s="36">
        <v>142.78</v>
      </c>
      <c r="G112" s="36">
        <v>55.88</v>
      </c>
      <c r="H112" s="46">
        <v>2</v>
      </c>
      <c r="I112" s="33">
        <f t="shared" si="2"/>
        <v>285.56</v>
      </c>
      <c r="J112" s="43"/>
    </row>
    <row r="113" s="14" customFormat="1" ht="63" spans="1:10">
      <c r="A113" s="30">
        <v>1.51</v>
      </c>
      <c r="B113" s="34" t="s">
        <v>829</v>
      </c>
      <c r="C113" s="34" t="s">
        <v>830</v>
      </c>
      <c r="D113" s="40" t="s">
        <v>604</v>
      </c>
      <c r="E113" s="36">
        <v>3</v>
      </c>
      <c r="F113" s="36">
        <v>131.34</v>
      </c>
      <c r="G113" s="36">
        <v>63.69</v>
      </c>
      <c r="H113" s="46">
        <v>2</v>
      </c>
      <c r="I113" s="33">
        <f t="shared" si="2"/>
        <v>262.68</v>
      </c>
      <c r="J113" s="43"/>
    </row>
    <row r="114" s="14" customFormat="1" ht="63" spans="1:10">
      <c r="A114" s="38">
        <v>1.52</v>
      </c>
      <c r="B114" s="34" t="s">
        <v>831</v>
      </c>
      <c r="C114" s="34" t="s">
        <v>832</v>
      </c>
      <c r="D114" s="40" t="s">
        <v>604</v>
      </c>
      <c r="E114" s="36">
        <v>22</v>
      </c>
      <c r="F114" s="36">
        <v>131.34</v>
      </c>
      <c r="G114" s="36">
        <v>63.69</v>
      </c>
      <c r="H114" s="46">
        <v>22</v>
      </c>
      <c r="I114" s="33">
        <f t="shared" si="2"/>
        <v>2889.48</v>
      </c>
      <c r="J114" s="43"/>
    </row>
    <row r="115" s="14" customFormat="1" ht="42" spans="1:10">
      <c r="A115" s="30">
        <v>1.53</v>
      </c>
      <c r="B115" s="34" t="s">
        <v>800</v>
      </c>
      <c r="C115" s="34" t="s">
        <v>833</v>
      </c>
      <c r="D115" s="40" t="s">
        <v>604</v>
      </c>
      <c r="E115" s="36">
        <f>197+46</f>
        <v>243</v>
      </c>
      <c r="F115" s="36">
        <v>11.82</v>
      </c>
      <c r="G115" s="36">
        <v>5.06</v>
      </c>
      <c r="H115" s="46">
        <v>232</v>
      </c>
      <c r="I115" s="33">
        <f t="shared" si="2"/>
        <v>2742.24</v>
      </c>
      <c r="J115" s="43"/>
    </row>
    <row r="116" s="14" customFormat="1" ht="52.5" spans="1:10">
      <c r="A116" s="30">
        <v>1.54</v>
      </c>
      <c r="B116" s="34" t="s">
        <v>834</v>
      </c>
      <c r="C116" s="34" t="s">
        <v>835</v>
      </c>
      <c r="D116" s="40" t="s">
        <v>589</v>
      </c>
      <c r="E116" s="36">
        <v>4</v>
      </c>
      <c r="F116" s="36">
        <v>234.9</v>
      </c>
      <c r="G116" s="36">
        <v>132</v>
      </c>
      <c r="H116" s="46">
        <v>4</v>
      </c>
      <c r="I116" s="33">
        <f t="shared" si="2"/>
        <v>939.6</v>
      </c>
      <c r="J116" s="43"/>
    </row>
    <row r="117" spans="1:10">
      <c r="A117" s="30">
        <v>2</v>
      </c>
      <c r="B117" s="26" t="s">
        <v>836</v>
      </c>
      <c r="C117" s="34"/>
      <c r="D117" s="35"/>
      <c r="E117" s="36"/>
      <c r="F117" s="37"/>
      <c r="G117" s="37"/>
      <c r="H117" s="31"/>
      <c r="I117" s="33">
        <f t="shared" si="2"/>
        <v>0</v>
      </c>
      <c r="J117" s="43"/>
    </row>
    <row r="118" s="2" customFormat="1" spans="1:10">
      <c r="A118" s="30">
        <v>2.1</v>
      </c>
      <c r="B118" s="26" t="s">
        <v>837</v>
      </c>
      <c r="C118" s="34"/>
      <c r="D118" s="35"/>
      <c r="E118" s="36"/>
      <c r="F118" s="37"/>
      <c r="G118" s="37"/>
      <c r="H118" s="31"/>
      <c r="I118" s="33">
        <f t="shared" si="2"/>
        <v>0</v>
      </c>
      <c r="J118" s="43"/>
    </row>
    <row r="119" s="2" customFormat="1" ht="52.5" spans="1:10">
      <c r="A119" s="30" t="s">
        <v>838</v>
      </c>
      <c r="B119" s="34" t="s">
        <v>839</v>
      </c>
      <c r="C119" s="34" t="s">
        <v>840</v>
      </c>
      <c r="D119" s="35" t="s">
        <v>517</v>
      </c>
      <c r="E119" s="36">
        <v>63.27</v>
      </c>
      <c r="F119" s="36">
        <v>28.45</v>
      </c>
      <c r="G119" s="37">
        <v>12.65</v>
      </c>
      <c r="H119" s="33">
        <v>65.84</v>
      </c>
      <c r="I119" s="33">
        <f t="shared" si="2"/>
        <v>1873.15</v>
      </c>
      <c r="J119" s="43"/>
    </row>
    <row r="120" s="2" customFormat="1" ht="52.5" spans="1:10">
      <c r="A120" s="30" t="s">
        <v>841</v>
      </c>
      <c r="B120" s="34" t="s">
        <v>766</v>
      </c>
      <c r="C120" s="34" t="s">
        <v>842</v>
      </c>
      <c r="D120" s="35" t="s">
        <v>843</v>
      </c>
      <c r="E120" s="36">
        <v>3</v>
      </c>
      <c r="F120" s="36">
        <v>237.08</v>
      </c>
      <c r="G120" s="37">
        <v>55</v>
      </c>
      <c r="H120" s="33">
        <v>1</v>
      </c>
      <c r="I120" s="33">
        <f t="shared" si="2"/>
        <v>237.08</v>
      </c>
      <c r="J120" s="43"/>
    </row>
    <row r="121" s="2" customFormat="1" ht="52.5" spans="1:10">
      <c r="A121" s="30" t="s">
        <v>844</v>
      </c>
      <c r="B121" s="34" t="s">
        <v>845</v>
      </c>
      <c r="C121" s="34" t="s">
        <v>846</v>
      </c>
      <c r="D121" s="35" t="s">
        <v>517</v>
      </c>
      <c r="E121" s="36">
        <v>146.7</v>
      </c>
      <c r="F121" s="36">
        <v>18.47</v>
      </c>
      <c r="G121" s="37">
        <v>7.81</v>
      </c>
      <c r="H121" s="33">
        <v>146.7</v>
      </c>
      <c r="I121" s="33">
        <f t="shared" ref="I121:I145" si="3">H121*F121</f>
        <v>2709.55</v>
      </c>
      <c r="J121" s="43"/>
    </row>
    <row r="122" s="2" customFormat="1" ht="31.5" spans="1:10">
      <c r="A122" s="30" t="s">
        <v>847</v>
      </c>
      <c r="B122" s="34" t="s">
        <v>848</v>
      </c>
      <c r="C122" s="34" t="s">
        <v>849</v>
      </c>
      <c r="D122" s="35" t="s">
        <v>517</v>
      </c>
      <c r="E122" s="36">
        <v>530.71</v>
      </c>
      <c r="F122" s="36">
        <v>7.25</v>
      </c>
      <c r="G122" s="37">
        <v>2.53</v>
      </c>
      <c r="H122" s="33">
        <v>530</v>
      </c>
      <c r="I122" s="33">
        <f t="shared" si="3"/>
        <v>3842.5</v>
      </c>
      <c r="J122" s="43"/>
    </row>
    <row r="123" s="2" customFormat="1" ht="21" spans="1:10">
      <c r="A123" s="30" t="s">
        <v>850</v>
      </c>
      <c r="B123" s="34" t="s">
        <v>851</v>
      </c>
      <c r="C123" s="34" t="s">
        <v>852</v>
      </c>
      <c r="D123" s="35" t="s">
        <v>757</v>
      </c>
      <c r="E123" s="36">
        <v>2</v>
      </c>
      <c r="F123" s="36">
        <v>815.63</v>
      </c>
      <c r="G123" s="37">
        <v>426.14</v>
      </c>
      <c r="H123" s="33">
        <v>2</v>
      </c>
      <c r="I123" s="33">
        <f t="shared" si="3"/>
        <v>1631.26</v>
      </c>
      <c r="J123" s="43"/>
    </row>
    <row r="124" s="2" customFormat="1" ht="21" spans="1:10">
      <c r="A124" s="30" t="s">
        <v>853</v>
      </c>
      <c r="B124" s="34" t="s">
        <v>851</v>
      </c>
      <c r="C124" s="34" t="s">
        <v>854</v>
      </c>
      <c r="D124" s="35" t="s">
        <v>757</v>
      </c>
      <c r="E124" s="36">
        <v>1</v>
      </c>
      <c r="F124" s="36">
        <v>815.63</v>
      </c>
      <c r="G124" s="37">
        <v>426.14</v>
      </c>
      <c r="H124" s="33">
        <v>1</v>
      </c>
      <c r="I124" s="33">
        <f t="shared" si="3"/>
        <v>815.63</v>
      </c>
      <c r="J124" s="43"/>
    </row>
    <row r="125" s="2" customFormat="1" ht="21" spans="1:10">
      <c r="A125" s="30" t="s">
        <v>855</v>
      </c>
      <c r="B125" s="34" t="s">
        <v>856</v>
      </c>
      <c r="C125" s="34" t="s">
        <v>857</v>
      </c>
      <c r="D125" s="35" t="s">
        <v>757</v>
      </c>
      <c r="E125" s="36">
        <v>1</v>
      </c>
      <c r="F125" s="36">
        <v>815.63</v>
      </c>
      <c r="G125" s="37">
        <v>426.14</v>
      </c>
      <c r="H125" s="33">
        <v>1</v>
      </c>
      <c r="I125" s="33">
        <f t="shared" si="3"/>
        <v>815.63</v>
      </c>
      <c r="J125" s="43"/>
    </row>
    <row r="126" s="2" customFormat="1" ht="21" spans="1:10">
      <c r="A126" s="30" t="s">
        <v>858</v>
      </c>
      <c r="B126" s="34" t="s">
        <v>859</v>
      </c>
      <c r="C126" s="34" t="s">
        <v>860</v>
      </c>
      <c r="D126" s="35" t="s">
        <v>757</v>
      </c>
      <c r="E126" s="36">
        <v>1</v>
      </c>
      <c r="F126" s="36">
        <v>3443.75</v>
      </c>
      <c r="G126" s="37">
        <v>1647.03</v>
      </c>
      <c r="H126" s="33">
        <v>1</v>
      </c>
      <c r="I126" s="33">
        <f t="shared" si="3"/>
        <v>3443.75</v>
      </c>
      <c r="J126" s="43"/>
    </row>
    <row r="127" s="2" customFormat="1" spans="1:10">
      <c r="A127" s="30" t="s">
        <v>861</v>
      </c>
      <c r="B127" s="34" t="s">
        <v>862</v>
      </c>
      <c r="C127" s="34" t="s">
        <v>863</v>
      </c>
      <c r="D127" s="35" t="s">
        <v>604</v>
      </c>
      <c r="E127" s="36">
        <v>4</v>
      </c>
      <c r="F127" s="36">
        <v>82.66</v>
      </c>
      <c r="G127" s="37">
        <v>40.81</v>
      </c>
      <c r="H127" s="33">
        <v>3</v>
      </c>
      <c r="I127" s="33">
        <f t="shared" si="3"/>
        <v>247.98</v>
      </c>
      <c r="J127" s="43"/>
    </row>
    <row r="128" s="2" customFormat="1" spans="1:10">
      <c r="A128" s="30" t="s">
        <v>864</v>
      </c>
      <c r="B128" s="34" t="s">
        <v>865</v>
      </c>
      <c r="C128" s="34" t="s">
        <v>866</v>
      </c>
      <c r="D128" s="35" t="s">
        <v>604</v>
      </c>
      <c r="E128" s="36">
        <v>6</v>
      </c>
      <c r="F128" s="36">
        <v>1631.25</v>
      </c>
      <c r="G128" s="37">
        <v>935.22</v>
      </c>
      <c r="H128" s="33">
        <v>6</v>
      </c>
      <c r="I128" s="33">
        <f t="shared" si="3"/>
        <v>9787.5</v>
      </c>
      <c r="J128" s="43"/>
    </row>
    <row r="129" s="2" customFormat="1" ht="21" spans="1:10">
      <c r="A129" s="30" t="s">
        <v>867</v>
      </c>
      <c r="B129" s="34" t="s">
        <v>868</v>
      </c>
      <c r="C129" s="34" t="s">
        <v>869</v>
      </c>
      <c r="D129" s="35" t="s">
        <v>604</v>
      </c>
      <c r="E129" s="36">
        <v>19</v>
      </c>
      <c r="F129" s="36">
        <v>23.49</v>
      </c>
      <c r="G129" s="37">
        <v>10.23</v>
      </c>
      <c r="H129" s="33">
        <v>19</v>
      </c>
      <c r="I129" s="33">
        <f t="shared" si="3"/>
        <v>446.31</v>
      </c>
      <c r="J129" s="43"/>
    </row>
    <row r="130" s="2" customFormat="1" ht="31.5" spans="1:10">
      <c r="A130" s="30" t="s">
        <v>870</v>
      </c>
      <c r="B130" s="34" t="s">
        <v>800</v>
      </c>
      <c r="C130" s="34" t="s">
        <v>871</v>
      </c>
      <c r="D130" s="35" t="s">
        <v>604</v>
      </c>
      <c r="E130" s="36">
        <v>29</v>
      </c>
      <c r="F130" s="36">
        <v>16.17</v>
      </c>
      <c r="G130" s="37">
        <v>4.73</v>
      </c>
      <c r="H130" s="33">
        <v>28</v>
      </c>
      <c r="I130" s="33">
        <f t="shared" si="3"/>
        <v>452.76</v>
      </c>
      <c r="J130" s="43"/>
    </row>
    <row r="131" s="2" customFormat="1" spans="1:10">
      <c r="A131" s="30">
        <v>2.2</v>
      </c>
      <c r="B131" s="26" t="s">
        <v>872</v>
      </c>
      <c r="C131" s="34"/>
      <c r="D131" s="35"/>
      <c r="E131" s="36"/>
      <c r="F131" s="37"/>
      <c r="G131" s="37"/>
      <c r="H131" s="31"/>
      <c r="I131" s="33">
        <f t="shared" si="3"/>
        <v>0</v>
      </c>
      <c r="J131" s="43"/>
    </row>
    <row r="132" s="2" customFormat="1" spans="1:10">
      <c r="A132" s="30" t="s">
        <v>873</v>
      </c>
      <c r="B132" s="34" t="s">
        <v>874</v>
      </c>
      <c r="C132" s="34" t="s">
        <v>875</v>
      </c>
      <c r="D132" s="35" t="s">
        <v>757</v>
      </c>
      <c r="E132" s="36">
        <v>1</v>
      </c>
      <c r="F132" s="36">
        <v>9787.5</v>
      </c>
      <c r="G132" s="37">
        <v>5058.13</v>
      </c>
      <c r="H132" s="33">
        <v>1</v>
      </c>
      <c r="I132" s="33">
        <f t="shared" si="3"/>
        <v>9787.5</v>
      </c>
      <c r="J132" s="43"/>
    </row>
    <row r="133" s="2" customFormat="1" ht="21" spans="1:10">
      <c r="A133" s="30" t="s">
        <v>876</v>
      </c>
      <c r="B133" s="34" t="s">
        <v>877</v>
      </c>
      <c r="C133" s="34" t="s">
        <v>878</v>
      </c>
      <c r="D133" s="35" t="s">
        <v>757</v>
      </c>
      <c r="E133" s="36">
        <v>1</v>
      </c>
      <c r="F133" s="51">
        <v>6090</v>
      </c>
      <c r="G133" s="37">
        <v>3245</v>
      </c>
      <c r="H133" s="33">
        <v>1</v>
      </c>
      <c r="I133" s="33">
        <f t="shared" si="3"/>
        <v>6090</v>
      </c>
      <c r="J133" s="43"/>
    </row>
    <row r="134" s="2" customFormat="1" spans="1:10">
      <c r="A134" s="30" t="s">
        <v>879</v>
      </c>
      <c r="B134" s="34" t="s">
        <v>880</v>
      </c>
      <c r="C134" s="34" t="s">
        <v>881</v>
      </c>
      <c r="D134" s="35" t="s">
        <v>757</v>
      </c>
      <c r="E134" s="36">
        <v>1</v>
      </c>
      <c r="F134" s="36">
        <v>5676.75</v>
      </c>
      <c r="G134" s="37">
        <v>3029.95</v>
      </c>
      <c r="H134" s="33">
        <v>1</v>
      </c>
      <c r="I134" s="33">
        <f t="shared" si="3"/>
        <v>5676.75</v>
      </c>
      <c r="J134" s="43"/>
    </row>
    <row r="135" s="2" customFormat="1" ht="21" spans="1:10">
      <c r="A135" s="30" t="s">
        <v>882</v>
      </c>
      <c r="B135" s="34" t="s">
        <v>880</v>
      </c>
      <c r="C135" s="34" t="s">
        <v>883</v>
      </c>
      <c r="D135" s="35" t="s">
        <v>757</v>
      </c>
      <c r="E135" s="36">
        <v>1</v>
      </c>
      <c r="F135" s="36">
        <v>2607.83</v>
      </c>
      <c r="G135" s="37">
        <v>1792.88</v>
      </c>
      <c r="H135" s="33">
        <v>1</v>
      </c>
      <c r="I135" s="33">
        <f t="shared" si="3"/>
        <v>2607.83</v>
      </c>
      <c r="J135" s="43"/>
    </row>
    <row r="136" s="2" customFormat="1" spans="1:10">
      <c r="A136" s="30" t="s">
        <v>884</v>
      </c>
      <c r="B136" s="34" t="s">
        <v>885</v>
      </c>
      <c r="C136" s="34" t="s">
        <v>886</v>
      </c>
      <c r="D136" s="35" t="s">
        <v>757</v>
      </c>
      <c r="E136" s="36">
        <v>1</v>
      </c>
      <c r="F136" s="36">
        <v>869.28</v>
      </c>
      <c r="G136" s="37">
        <v>597.63</v>
      </c>
      <c r="H136" s="33">
        <v>1</v>
      </c>
      <c r="I136" s="33">
        <f t="shared" si="3"/>
        <v>869.28</v>
      </c>
      <c r="J136" s="43"/>
    </row>
    <row r="137" s="2" customFormat="1" ht="21" spans="1:10">
      <c r="A137" s="30" t="s">
        <v>887</v>
      </c>
      <c r="B137" s="34" t="s">
        <v>888</v>
      </c>
      <c r="C137" s="34" t="s">
        <v>889</v>
      </c>
      <c r="D137" s="35" t="s">
        <v>757</v>
      </c>
      <c r="E137" s="36">
        <v>1</v>
      </c>
      <c r="F137" s="36">
        <v>783</v>
      </c>
      <c r="G137" s="37">
        <v>538.31</v>
      </c>
      <c r="H137" s="33">
        <v>1</v>
      </c>
      <c r="I137" s="33">
        <f t="shared" si="3"/>
        <v>783</v>
      </c>
      <c r="J137" s="43"/>
    </row>
    <row r="138" s="2" customFormat="1" ht="21" spans="1:10">
      <c r="A138" s="30" t="s">
        <v>890</v>
      </c>
      <c r="B138" s="34" t="s">
        <v>891</v>
      </c>
      <c r="C138" s="34" t="s">
        <v>892</v>
      </c>
      <c r="D138" s="35" t="s">
        <v>757</v>
      </c>
      <c r="E138" s="36">
        <v>15</v>
      </c>
      <c r="F138" s="51">
        <v>884.5</v>
      </c>
      <c r="G138" s="37">
        <v>456.5</v>
      </c>
      <c r="H138" s="33">
        <v>13</v>
      </c>
      <c r="I138" s="33">
        <f t="shared" si="3"/>
        <v>11498.5</v>
      </c>
      <c r="J138" s="43"/>
    </row>
    <row r="139" s="2" customFormat="1" ht="31.5" spans="1:10">
      <c r="A139" s="30" t="s">
        <v>893</v>
      </c>
      <c r="B139" s="34" t="s">
        <v>800</v>
      </c>
      <c r="C139" s="34" t="s">
        <v>871</v>
      </c>
      <c r="D139" s="35" t="s">
        <v>604</v>
      </c>
      <c r="E139" s="36">
        <v>15</v>
      </c>
      <c r="F139" s="36">
        <v>13.27</v>
      </c>
      <c r="G139" s="37">
        <v>9.12</v>
      </c>
      <c r="H139" s="33">
        <v>13</v>
      </c>
      <c r="I139" s="33">
        <f t="shared" si="3"/>
        <v>172.51</v>
      </c>
      <c r="J139" s="43"/>
    </row>
    <row r="140" s="2" customFormat="1" ht="52.5" spans="1:10">
      <c r="A140" s="30" t="s">
        <v>894</v>
      </c>
      <c r="B140" s="34" t="s">
        <v>845</v>
      </c>
      <c r="C140" s="34" t="s">
        <v>846</v>
      </c>
      <c r="D140" s="35" t="s">
        <v>517</v>
      </c>
      <c r="E140" s="36">
        <v>47.21</v>
      </c>
      <c r="F140" s="36">
        <v>17.95</v>
      </c>
      <c r="G140" s="37">
        <v>12.34</v>
      </c>
      <c r="H140" s="33">
        <v>47</v>
      </c>
      <c r="I140" s="33">
        <f t="shared" si="3"/>
        <v>843.65</v>
      </c>
      <c r="J140" s="43"/>
    </row>
    <row r="141" s="2" customFormat="1" ht="52.5" spans="1:10">
      <c r="A141" s="30" t="s">
        <v>895</v>
      </c>
      <c r="B141" s="34" t="s">
        <v>845</v>
      </c>
      <c r="C141" s="34" t="s">
        <v>896</v>
      </c>
      <c r="D141" s="35" t="s">
        <v>517</v>
      </c>
      <c r="E141" s="36">
        <v>20</v>
      </c>
      <c r="F141" s="36">
        <v>14.94</v>
      </c>
      <c r="G141" s="37">
        <v>10.27</v>
      </c>
      <c r="H141" s="33">
        <v>20</v>
      </c>
      <c r="I141" s="33">
        <f t="shared" si="3"/>
        <v>298.8</v>
      </c>
      <c r="J141" s="43"/>
    </row>
    <row r="142" s="2" customFormat="1" ht="52.5" spans="1:10">
      <c r="A142" s="30" t="s">
        <v>897</v>
      </c>
      <c r="B142" s="34" t="s">
        <v>778</v>
      </c>
      <c r="C142" s="34" t="s">
        <v>898</v>
      </c>
      <c r="D142" s="35" t="s">
        <v>517</v>
      </c>
      <c r="E142" s="36">
        <v>25</v>
      </c>
      <c r="F142" s="36">
        <v>8.35</v>
      </c>
      <c r="G142" s="37">
        <v>5.74</v>
      </c>
      <c r="H142" s="33">
        <v>25</v>
      </c>
      <c r="I142" s="33">
        <f t="shared" si="3"/>
        <v>208.75</v>
      </c>
      <c r="J142" s="43"/>
    </row>
    <row r="143" s="2" customFormat="1" ht="42" spans="1:10">
      <c r="A143" s="30" t="s">
        <v>899</v>
      </c>
      <c r="B143" s="34" t="s">
        <v>900</v>
      </c>
      <c r="C143" s="34" t="s">
        <v>901</v>
      </c>
      <c r="D143" s="35" t="s">
        <v>517</v>
      </c>
      <c r="E143" s="36">
        <v>344.24</v>
      </c>
      <c r="F143" s="36">
        <v>4.74</v>
      </c>
      <c r="G143" s="37">
        <v>2.08</v>
      </c>
      <c r="H143" s="33">
        <v>296</v>
      </c>
      <c r="I143" s="33">
        <f t="shared" si="3"/>
        <v>1403.04</v>
      </c>
      <c r="J143" s="43"/>
    </row>
    <row r="144" s="2" customFormat="1" spans="1:10">
      <c r="A144" s="30">
        <v>2.3</v>
      </c>
      <c r="B144" s="26" t="s">
        <v>902</v>
      </c>
      <c r="C144" s="34"/>
      <c r="D144" s="35"/>
      <c r="E144" s="36"/>
      <c r="F144" s="37"/>
      <c r="G144" s="37"/>
      <c r="H144" s="31"/>
      <c r="I144" s="33">
        <f t="shared" si="3"/>
        <v>0</v>
      </c>
      <c r="J144" s="43"/>
    </row>
    <row r="145" s="2" customFormat="1" ht="42" spans="1:10">
      <c r="A145" s="30"/>
      <c r="B145" s="34" t="s">
        <v>751</v>
      </c>
      <c r="C145" s="34" t="s">
        <v>776</v>
      </c>
      <c r="D145" s="35" t="s">
        <v>517</v>
      </c>
      <c r="E145" s="36">
        <v>0</v>
      </c>
      <c r="F145" s="36">
        <v>14.94</v>
      </c>
      <c r="G145" s="37">
        <v>5.16</v>
      </c>
      <c r="H145" s="33">
        <v>75.38</v>
      </c>
      <c r="I145" s="33">
        <f t="shared" si="3"/>
        <v>1126.18</v>
      </c>
      <c r="J145" s="43"/>
    </row>
    <row r="146" s="2" customFormat="1" ht="42" spans="1:10">
      <c r="A146" s="30" t="s">
        <v>903</v>
      </c>
      <c r="B146" s="34" t="s">
        <v>751</v>
      </c>
      <c r="C146" s="34" t="s">
        <v>777</v>
      </c>
      <c r="D146" s="35" t="s">
        <v>517</v>
      </c>
      <c r="E146" s="36">
        <v>114.28</v>
      </c>
      <c r="F146" s="36">
        <v>14.94</v>
      </c>
      <c r="G146" s="37">
        <v>5.16</v>
      </c>
      <c r="H146" s="33">
        <v>99.86</v>
      </c>
      <c r="I146" s="33">
        <f t="shared" ref="I146:I177" si="4">H146*F146</f>
        <v>1491.91</v>
      </c>
      <c r="J146" s="43"/>
    </row>
    <row r="147" s="2" customFormat="1" ht="31.5" spans="1:10">
      <c r="A147" s="30" t="s">
        <v>904</v>
      </c>
      <c r="B147" s="34" t="s">
        <v>778</v>
      </c>
      <c r="C147" s="34" t="s">
        <v>905</v>
      </c>
      <c r="D147" s="35" t="s">
        <v>517</v>
      </c>
      <c r="E147" s="36">
        <v>114.28</v>
      </c>
      <c r="F147" s="36">
        <v>3.29</v>
      </c>
      <c r="G147" s="37">
        <v>1.19</v>
      </c>
      <c r="H147" s="33">
        <v>175.24</v>
      </c>
      <c r="I147" s="33">
        <f t="shared" si="4"/>
        <v>576.54</v>
      </c>
      <c r="J147" s="43"/>
    </row>
    <row r="148" s="2" customFormat="1" ht="21" spans="1:10">
      <c r="A148" s="30" t="s">
        <v>906</v>
      </c>
      <c r="B148" s="34" t="s">
        <v>907</v>
      </c>
      <c r="C148" s="34" t="s">
        <v>908</v>
      </c>
      <c r="D148" s="35" t="s">
        <v>757</v>
      </c>
      <c r="E148" s="36">
        <v>1</v>
      </c>
      <c r="F148" s="36">
        <v>6579.35</v>
      </c>
      <c r="G148" s="37">
        <v>3779.52</v>
      </c>
      <c r="H148" s="33">
        <v>1</v>
      </c>
      <c r="I148" s="33">
        <f t="shared" si="4"/>
        <v>6579.35</v>
      </c>
      <c r="J148" s="43"/>
    </row>
    <row r="149" s="2" customFormat="1" ht="21" spans="1:10">
      <c r="A149" s="30" t="s">
        <v>909</v>
      </c>
      <c r="B149" s="34" t="s">
        <v>910</v>
      </c>
      <c r="C149" s="34" t="s">
        <v>911</v>
      </c>
      <c r="D149" s="35" t="s">
        <v>757</v>
      </c>
      <c r="E149" s="36">
        <v>1</v>
      </c>
      <c r="F149" s="36">
        <v>1761.75</v>
      </c>
      <c r="G149" s="37">
        <v>905.51</v>
      </c>
      <c r="H149" s="33">
        <v>1</v>
      </c>
      <c r="I149" s="33">
        <f t="shared" si="4"/>
        <v>1761.75</v>
      </c>
      <c r="J149" s="43"/>
    </row>
    <row r="150" s="2" customFormat="1" spans="1:10">
      <c r="A150" s="30" t="s">
        <v>912</v>
      </c>
      <c r="B150" s="34" t="s">
        <v>913</v>
      </c>
      <c r="C150" s="34" t="s">
        <v>914</v>
      </c>
      <c r="D150" s="35" t="s">
        <v>757</v>
      </c>
      <c r="E150" s="36">
        <v>1</v>
      </c>
      <c r="F150" s="36">
        <v>2110.79</v>
      </c>
      <c r="G150" s="37">
        <v>1123.76</v>
      </c>
      <c r="H150" s="33">
        <v>1</v>
      </c>
      <c r="I150" s="33">
        <f t="shared" si="4"/>
        <v>2110.79</v>
      </c>
      <c r="J150" s="43"/>
    </row>
    <row r="151" s="2" customFormat="1" ht="21" spans="1:10">
      <c r="A151" s="30" t="s">
        <v>915</v>
      </c>
      <c r="B151" s="34" t="s">
        <v>916</v>
      </c>
      <c r="C151" s="34" t="s">
        <v>917</v>
      </c>
      <c r="D151" s="35" t="s">
        <v>757</v>
      </c>
      <c r="E151" s="36">
        <v>1</v>
      </c>
      <c r="F151" s="36">
        <v>3363.99</v>
      </c>
      <c r="G151" s="37">
        <v>1736.44</v>
      </c>
      <c r="H151" s="33">
        <v>1</v>
      </c>
      <c r="I151" s="33">
        <f t="shared" si="4"/>
        <v>3363.99</v>
      </c>
      <c r="J151" s="43"/>
    </row>
    <row r="152" s="2" customFormat="1" ht="31.5" spans="1:10">
      <c r="A152" s="30" t="s">
        <v>918</v>
      </c>
      <c r="B152" s="34" t="s">
        <v>919</v>
      </c>
      <c r="C152" s="34" t="s">
        <v>920</v>
      </c>
      <c r="D152" s="35" t="s">
        <v>757</v>
      </c>
      <c r="E152" s="36">
        <v>18</v>
      </c>
      <c r="F152" s="36">
        <v>783</v>
      </c>
      <c r="G152" s="37">
        <v>396</v>
      </c>
      <c r="H152" s="33">
        <v>24</v>
      </c>
      <c r="I152" s="33">
        <f t="shared" si="4"/>
        <v>18792</v>
      </c>
      <c r="J152" s="43"/>
    </row>
    <row r="153" s="2" customFormat="1" ht="31.5" spans="1:10">
      <c r="A153" s="30" t="s">
        <v>921</v>
      </c>
      <c r="B153" s="34" t="s">
        <v>800</v>
      </c>
      <c r="C153" s="34" t="s">
        <v>871</v>
      </c>
      <c r="D153" s="35" t="s">
        <v>604</v>
      </c>
      <c r="E153" s="36">
        <v>18</v>
      </c>
      <c r="F153" s="36">
        <v>16.17</v>
      </c>
      <c r="G153" s="37">
        <v>6.16</v>
      </c>
      <c r="H153" s="33">
        <v>24</v>
      </c>
      <c r="I153" s="33">
        <f t="shared" si="4"/>
        <v>388.08</v>
      </c>
      <c r="J153" s="43"/>
    </row>
    <row r="154" s="2" customFormat="1" spans="1:10">
      <c r="A154" s="30" t="s">
        <v>432</v>
      </c>
      <c r="B154" s="26" t="s">
        <v>922</v>
      </c>
      <c r="C154" s="34"/>
      <c r="D154" s="35"/>
      <c r="E154" s="36"/>
      <c r="F154" s="37"/>
      <c r="G154" s="37"/>
      <c r="H154" s="52"/>
      <c r="I154" s="33">
        <f t="shared" si="4"/>
        <v>0</v>
      </c>
      <c r="J154" s="43"/>
    </row>
    <row r="155" s="2" customFormat="1" ht="63" spans="1:10">
      <c r="A155" s="30">
        <v>1</v>
      </c>
      <c r="B155" s="34" t="s">
        <v>923</v>
      </c>
      <c r="C155" s="34" t="s">
        <v>924</v>
      </c>
      <c r="D155" s="35" t="s">
        <v>757</v>
      </c>
      <c r="E155" s="35">
        <v>0</v>
      </c>
      <c r="F155" s="53">
        <v>8257.75</v>
      </c>
      <c r="G155" s="53">
        <v>6488.23</v>
      </c>
      <c r="H155" s="33">
        <v>0</v>
      </c>
      <c r="I155" s="33">
        <f t="shared" si="4"/>
        <v>0</v>
      </c>
      <c r="J155" s="43"/>
    </row>
    <row r="156" s="2" customFormat="1" ht="63" spans="1:10">
      <c r="A156" s="30">
        <v>2</v>
      </c>
      <c r="B156" s="34" t="s">
        <v>923</v>
      </c>
      <c r="C156" s="34" t="s">
        <v>925</v>
      </c>
      <c r="D156" s="35" t="s">
        <v>757</v>
      </c>
      <c r="E156" s="35">
        <v>4</v>
      </c>
      <c r="F156" s="53">
        <v>12586</v>
      </c>
      <c r="G156" s="53">
        <v>9889</v>
      </c>
      <c r="H156" s="33">
        <v>4</v>
      </c>
      <c r="I156" s="33">
        <f t="shared" si="4"/>
        <v>50344</v>
      </c>
      <c r="J156" s="43"/>
    </row>
    <row r="157" s="2" customFormat="1" ht="63" spans="1:10">
      <c r="A157" s="30">
        <v>3</v>
      </c>
      <c r="B157" s="34" t="s">
        <v>923</v>
      </c>
      <c r="C157" s="34" t="s">
        <v>926</v>
      </c>
      <c r="D157" s="35" t="s">
        <v>757</v>
      </c>
      <c r="E157" s="35">
        <v>2</v>
      </c>
      <c r="F157" s="53">
        <v>6742.5</v>
      </c>
      <c r="G157" s="53">
        <v>5297.68</v>
      </c>
      <c r="H157" s="33">
        <f>1+2</f>
        <v>3</v>
      </c>
      <c r="I157" s="33">
        <f t="shared" si="4"/>
        <v>20227.5</v>
      </c>
      <c r="J157" s="43"/>
    </row>
    <row r="158" s="2" customFormat="1" ht="63" spans="1:10">
      <c r="A158" s="30">
        <v>4</v>
      </c>
      <c r="B158" s="34" t="s">
        <v>923</v>
      </c>
      <c r="C158" s="34" t="s">
        <v>927</v>
      </c>
      <c r="D158" s="35" t="s">
        <v>757</v>
      </c>
      <c r="E158" s="35">
        <v>1</v>
      </c>
      <c r="F158" s="53">
        <v>5002.5</v>
      </c>
      <c r="G158" s="53">
        <v>3930.54</v>
      </c>
      <c r="H158" s="33">
        <v>2</v>
      </c>
      <c r="I158" s="33">
        <f t="shared" si="4"/>
        <v>10005</v>
      </c>
      <c r="J158" s="43"/>
    </row>
    <row r="159" s="2" customFormat="1" ht="63" spans="1:10">
      <c r="A159" s="30">
        <v>5</v>
      </c>
      <c r="B159" s="34" t="s">
        <v>923</v>
      </c>
      <c r="C159" s="34" t="s">
        <v>928</v>
      </c>
      <c r="D159" s="35" t="s">
        <v>757</v>
      </c>
      <c r="E159" s="35">
        <v>2</v>
      </c>
      <c r="F159" s="53">
        <v>3915</v>
      </c>
      <c r="G159" s="53">
        <v>3076.07</v>
      </c>
      <c r="H159" s="33">
        <v>0</v>
      </c>
      <c r="I159" s="33">
        <f t="shared" si="4"/>
        <v>0</v>
      </c>
      <c r="J159" s="43"/>
    </row>
    <row r="160" s="2" customFormat="1" ht="63" spans="1:10">
      <c r="A160" s="30">
        <v>6</v>
      </c>
      <c r="B160" s="34" t="s">
        <v>923</v>
      </c>
      <c r="C160" s="34" t="s">
        <v>929</v>
      </c>
      <c r="D160" s="35" t="s">
        <v>757</v>
      </c>
      <c r="E160" s="35">
        <v>0</v>
      </c>
      <c r="F160" s="53">
        <v>3625</v>
      </c>
      <c r="G160" s="53">
        <v>2848.21</v>
      </c>
      <c r="H160" s="33">
        <v>0</v>
      </c>
      <c r="I160" s="33">
        <f t="shared" si="4"/>
        <v>0</v>
      </c>
      <c r="J160" s="43"/>
    </row>
    <row r="161" s="2" customFormat="1" ht="63" spans="1:10">
      <c r="A161" s="30">
        <v>7</v>
      </c>
      <c r="B161" s="34" t="s">
        <v>923</v>
      </c>
      <c r="C161" s="34" t="s">
        <v>930</v>
      </c>
      <c r="D161" s="35" t="s">
        <v>757</v>
      </c>
      <c r="E161" s="35">
        <v>2</v>
      </c>
      <c r="F161" s="53">
        <v>3335</v>
      </c>
      <c r="G161" s="53">
        <v>2620.36</v>
      </c>
      <c r="H161" s="33">
        <v>2</v>
      </c>
      <c r="I161" s="33">
        <f t="shared" si="4"/>
        <v>6670</v>
      </c>
      <c r="J161" s="43"/>
    </row>
    <row r="162" s="2" customFormat="1" ht="63" spans="1:10">
      <c r="A162" s="30">
        <v>8</v>
      </c>
      <c r="B162" s="34" t="s">
        <v>923</v>
      </c>
      <c r="C162" s="34" t="s">
        <v>931</v>
      </c>
      <c r="D162" s="35" t="s">
        <v>757</v>
      </c>
      <c r="E162" s="35">
        <v>3</v>
      </c>
      <c r="F162" s="53">
        <v>3625</v>
      </c>
      <c r="G162" s="53">
        <v>2848.21</v>
      </c>
      <c r="H162" s="33">
        <v>3</v>
      </c>
      <c r="I162" s="33">
        <f t="shared" si="4"/>
        <v>10875</v>
      </c>
      <c r="J162" s="43"/>
    </row>
    <row r="163" s="2" customFormat="1" ht="63" spans="1:10">
      <c r="A163" s="30">
        <v>9</v>
      </c>
      <c r="B163" s="34" t="s">
        <v>923</v>
      </c>
      <c r="C163" s="34" t="s">
        <v>932</v>
      </c>
      <c r="D163" s="35" t="s">
        <v>757</v>
      </c>
      <c r="E163" s="35">
        <v>2</v>
      </c>
      <c r="F163" s="53">
        <v>256.2</v>
      </c>
      <c r="G163" s="53">
        <v>98.23</v>
      </c>
      <c r="H163" s="33">
        <v>2</v>
      </c>
      <c r="I163" s="33">
        <f t="shared" si="4"/>
        <v>512.4</v>
      </c>
      <c r="J163" s="43"/>
    </row>
    <row r="164" s="2" customFormat="1" ht="73.5" spans="1:10">
      <c r="A164" s="30">
        <v>10</v>
      </c>
      <c r="B164" s="34" t="s">
        <v>933</v>
      </c>
      <c r="C164" s="34" t="s">
        <v>934</v>
      </c>
      <c r="D164" s="35" t="s">
        <v>757</v>
      </c>
      <c r="E164" s="35">
        <v>1</v>
      </c>
      <c r="F164" s="53">
        <v>359.09</v>
      </c>
      <c r="G164" s="53">
        <v>125.73</v>
      </c>
      <c r="H164" s="33">
        <v>1</v>
      </c>
      <c r="I164" s="33">
        <f t="shared" si="4"/>
        <v>359.09</v>
      </c>
      <c r="J164" s="43"/>
    </row>
    <row r="165" s="2" customFormat="1" ht="115.5" spans="1:10">
      <c r="A165" s="30">
        <v>11</v>
      </c>
      <c r="B165" s="34" t="s">
        <v>935</v>
      </c>
      <c r="C165" s="34" t="s">
        <v>936</v>
      </c>
      <c r="D165" s="54" t="s">
        <v>482</v>
      </c>
      <c r="E165" s="35">
        <v>44.8</v>
      </c>
      <c r="F165" s="53">
        <v>445.51</v>
      </c>
      <c r="G165" s="53">
        <v>181.72</v>
      </c>
      <c r="H165" s="33">
        <f>153.11-1.76</f>
        <v>151.35</v>
      </c>
      <c r="I165" s="33">
        <f t="shared" si="4"/>
        <v>67427.94</v>
      </c>
      <c r="J165" s="43"/>
    </row>
    <row r="166" s="2" customFormat="1" ht="115.5" spans="1:10">
      <c r="A166" s="30">
        <v>12</v>
      </c>
      <c r="B166" s="34" t="s">
        <v>935</v>
      </c>
      <c r="C166" s="34" t="s">
        <v>937</v>
      </c>
      <c r="D166" s="35" t="s">
        <v>482</v>
      </c>
      <c r="E166" s="35">
        <v>45</v>
      </c>
      <c r="F166" s="53">
        <v>278.41</v>
      </c>
      <c r="G166" s="53">
        <v>138.38</v>
      </c>
      <c r="H166" s="33">
        <v>1.76</v>
      </c>
      <c r="I166" s="33">
        <f t="shared" si="4"/>
        <v>490</v>
      </c>
      <c r="J166" s="43"/>
    </row>
    <row r="167" s="2" customFormat="1" ht="52.5" spans="1:10">
      <c r="A167" s="30">
        <v>13</v>
      </c>
      <c r="B167" s="34" t="s">
        <v>938</v>
      </c>
      <c r="C167" s="34" t="s">
        <v>939</v>
      </c>
      <c r="D167" s="35" t="s">
        <v>482</v>
      </c>
      <c r="E167" s="35">
        <v>14.51</v>
      </c>
      <c r="F167" s="53">
        <v>248.39</v>
      </c>
      <c r="G167" s="53">
        <v>117.37</v>
      </c>
      <c r="H167" s="33">
        <v>14.51</v>
      </c>
      <c r="I167" s="33">
        <f t="shared" si="4"/>
        <v>3604.14</v>
      </c>
      <c r="J167" s="43"/>
    </row>
    <row r="168" s="2" customFormat="1" ht="52.5" spans="1:10">
      <c r="A168" s="30">
        <v>14</v>
      </c>
      <c r="B168" s="34" t="s">
        <v>940</v>
      </c>
      <c r="C168" s="34" t="s">
        <v>941</v>
      </c>
      <c r="D168" s="35" t="s">
        <v>604</v>
      </c>
      <c r="E168" s="35">
        <v>4</v>
      </c>
      <c r="F168" s="53">
        <v>224.76</v>
      </c>
      <c r="G168" s="53">
        <v>94.38</v>
      </c>
      <c r="H168" s="33">
        <v>4</v>
      </c>
      <c r="I168" s="33">
        <f t="shared" si="4"/>
        <v>899.04</v>
      </c>
      <c r="J168" s="43"/>
    </row>
    <row r="169" s="2" customFormat="1" ht="52.5" spans="1:10">
      <c r="A169" s="30">
        <v>15</v>
      </c>
      <c r="B169" s="34" t="s">
        <v>940</v>
      </c>
      <c r="C169" s="34" t="s">
        <v>942</v>
      </c>
      <c r="D169" s="35" t="s">
        <v>604</v>
      </c>
      <c r="E169" s="35">
        <v>3</v>
      </c>
      <c r="F169" s="53">
        <v>199.77</v>
      </c>
      <c r="G169" s="53">
        <v>78.65</v>
      </c>
      <c r="H169" s="33">
        <v>3</v>
      </c>
      <c r="I169" s="33">
        <f t="shared" si="4"/>
        <v>599.31</v>
      </c>
      <c r="J169" s="43"/>
    </row>
    <row r="170" s="2" customFormat="1" ht="52.5" spans="1:10">
      <c r="A170" s="30">
        <v>16</v>
      </c>
      <c r="B170" s="34" t="s">
        <v>940</v>
      </c>
      <c r="C170" s="34" t="s">
        <v>943</v>
      </c>
      <c r="D170" s="35" t="s">
        <v>604</v>
      </c>
      <c r="E170" s="35">
        <v>2</v>
      </c>
      <c r="F170" s="53">
        <v>177.78</v>
      </c>
      <c r="G170" s="53">
        <v>73.81</v>
      </c>
      <c r="H170" s="33">
        <v>2</v>
      </c>
      <c r="I170" s="33">
        <f t="shared" si="4"/>
        <v>355.56</v>
      </c>
      <c r="J170" s="43"/>
    </row>
    <row r="171" s="2" customFormat="1" ht="52.5" spans="1:10">
      <c r="A171" s="30">
        <v>17</v>
      </c>
      <c r="B171" s="34" t="s">
        <v>940</v>
      </c>
      <c r="C171" s="34" t="s">
        <v>944</v>
      </c>
      <c r="D171" s="35" t="s">
        <v>604</v>
      </c>
      <c r="E171" s="35">
        <v>1</v>
      </c>
      <c r="F171" s="53">
        <v>166.58</v>
      </c>
      <c r="G171" s="53">
        <v>71.28</v>
      </c>
      <c r="H171" s="33">
        <v>1</v>
      </c>
      <c r="I171" s="33">
        <f t="shared" si="4"/>
        <v>166.58</v>
      </c>
      <c r="J171" s="43"/>
    </row>
    <row r="172" s="2" customFormat="1" ht="52.5" spans="1:10">
      <c r="A172" s="30">
        <v>18</v>
      </c>
      <c r="B172" s="34" t="s">
        <v>940</v>
      </c>
      <c r="C172" s="34" t="s">
        <v>945</v>
      </c>
      <c r="D172" s="35" t="s">
        <v>604</v>
      </c>
      <c r="E172" s="35">
        <v>1</v>
      </c>
      <c r="F172" s="53">
        <v>159.49</v>
      </c>
      <c r="G172" s="53">
        <v>67.87</v>
      </c>
      <c r="H172" s="33">
        <v>1</v>
      </c>
      <c r="I172" s="33">
        <f t="shared" si="4"/>
        <v>159.49</v>
      </c>
      <c r="J172" s="43"/>
    </row>
    <row r="173" s="2" customFormat="1" ht="52.5" spans="1:10">
      <c r="A173" s="30">
        <v>19</v>
      </c>
      <c r="B173" s="34" t="s">
        <v>940</v>
      </c>
      <c r="C173" s="34" t="s">
        <v>946</v>
      </c>
      <c r="D173" s="35" t="s">
        <v>604</v>
      </c>
      <c r="E173" s="35">
        <v>3</v>
      </c>
      <c r="F173" s="53">
        <v>245.08</v>
      </c>
      <c r="G173" s="53">
        <v>105.38</v>
      </c>
      <c r="H173" s="33">
        <v>3</v>
      </c>
      <c r="I173" s="33">
        <f t="shared" si="4"/>
        <v>735.24</v>
      </c>
      <c r="J173" s="43"/>
    </row>
    <row r="174" s="2" customFormat="1" ht="52.5" spans="1:10">
      <c r="A174" s="30">
        <v>20</v>
      </c>
      <c r="B174" s="34" t="s">
        <v>940</v>
      </c>
      <c r="C174" s="34" t="s">
        <v>947</v>
      </c>
      <c r="D174" s="35" t="s">
        <v>604</v>
      </c>
      <c r="E174" s="35">
        <v>2</v>
      </c>
      <c r="F174" s="53">
        <v>199.69</v>
      </c>
      <c r="G174" s="53">
        <v>91.96</v>
      </c>
      <c r="H174" s="33">
        <v>2</v>
      </c>
      <c r="I174" s="33">
        <f t="shared" si="4"/>
        <v>399.38</v>
      </c>
      <c r="J174" s="43"/>
    </row>
    <row r="175" s="2" customFormat="1" ht="52.5" spans="1:10">
      <c r="A175" s="30">
        <v>21</v>
      </c>
      <c r="B175" s="34" t="s">
        <v>948</v>
      </c>
      <c r="C175" s="34" t="s">
        <v>949</v>
      </c>
      <c r="D175" s="35" t="s">
        <v>604</v>
      </c>
      <c r="E175" s="35">
        <v>7</v>
      </c>
      <c r="F175" s="53">
        <v>175.1</v>
      </c>
      <c r="G175" s="53">
        <v>80.08</v>
      </c>
      <c r="H175" s="33">
        <v>7</v>
      </c>
      <c r="I175" s="33">
        <f t="shared" si="4"/>
        <v>1225.7</v>
      </c>
      <c r="J175" s="43"/>
    </row>
    <row r="176" s="2" customFormat="1" ht="52.5" spans="1:10">
      <c r="A176" s="30">
        <v>22</v>
      </c>
      <c r="B176" s="34" t="s">
        <v>948</v>
      </c>
      <c r="C176" s="34" t="s">
        <v>950</v>
      </c>
      <c r="D176" s="35" t="s">
        <v>604</v>
      </c>
      <c r="E176" s="35">
        <v>1</v>
      </c>
      <c r="F176" s="53">
        <v>155.44</v>
      </c>
      <c r="G176" s="53">
        <v>63.14</v>
      </c>
      <c r="H176" s="33">
        <v>1</v>
      </c>
      <c r="I176" s="33">
        <f t="shared" si="4"/>
        <v>155.44</v>
      </c>
      <c r="J176" s="43"/>
    </row>
    <row r="177" s="2" customFormat="1" ht="52.5" spans="1:10">
      <c r="A177" s="30">
        <v>23</v>
      </c>
      <c r="B177" s="34" t="s">
        <v>948</v>
      </c>
      <c r="C177" s="34" t="s">
        <v>951</v>
      </c>
      <c r="D177" s="35" t="s">
        <v>604</v>
      </c>
      <c r="E177" s="35">
        <v>4</v>
      </c>
      <c r="F177" s="53">
        <v>142.94</v>
      </c>
      <c r="G177" s="53">
        <v>51.92</v>
      </c>
      <c r="H177" s="33">
        <v>4</v>
      </c>
      <c r="I177" s="33">
        <f t="shared" si="4"/>
        <v>571.76</v>
      </c>
      <c r="J177" s="43"/>
    </row>
    <row r="178" s="2" customFormat="1" ht="52.5" spans="1:10">
      <c r="A178" s="30">
        <v>24</v>
      </c>
      <c r="B178" s="34" t="s">
        <v>948</v>
      </c>
      <c r="C178" s="34" t="s">
        <v>952</v>
      </c>
      <c r="D178" s="35" t="s">
        <v>604</v>
      </c>
      <c r="E178" s="35">
        <v>3</v>
      </c>
      <c r="F178" s="53">
        <v>580</v>
      </c>
      <c r="G178" s="53">
        <v>242</v>
      </c>
      <c r="H178" s="33">
        <v>3</v>
      </c>
      <c r="I178" s="33">
        <f t="shared" ref="I178:I206" si="5">H178*F178</f>
        <v>1740</v>
      </c>
      <c r="J178" s="43"/>
    </row>
    <row r="179" s="2" customFormat="1" ht="52.5" spans="1:10">
      <c r="A179" s="30">
        <v>25</v>
      </c>
      <c r="B179" s="34" t="s">
        <v>948</v>
      </c>
      <c r="C179" s="34" t="s">
        <v>953</v>
      </c>
      <c r="D179" s="35" t="s">
        <v>604</v>
      </c>
      <c r="E179" s="35">
        <v>2</v>
      </c>
      <c r="F179" s="53">
        <v>145.78</v>
      </c>
      <c r="G179" s="53">
        <v>62.48</v>
      </c>
      <c r="H179" s="33">
        <v>2</v>
      </c>
      <c r="I179" s="33">
        <f t="shared" si="5"/>
        <v>291.56</v>
      </c>
      <c r="J179" s="43"/>
    </row>
    <row r="180" s="2" customFormat="1" ht="52.5" spans="1:10">
      <c r="A180" s="30">
        <v>26</v>
      </c>
      <c r="B180" s="34" t="s">
        <v>954</v>
      </c>
      <c r="C180" s="34" t="s">
        <v>955</v>
      </c>
      <c r="D180" s="35" t="s">
        <v>604</v>
      </c>
      <c r="E180" s="35">
        <v>2</v>
      </c>
      <c r="F180" s="53">
        <v>155.99</v>
      </c>
      <c r="G180" s="53">
        <v>57.2</v>
      </c>
      <c r="H180" s="33">
        <v>2</v>
      </c>
      <c r="I180" s="33">
        <f t="shared" si="5"/>
        <v>311.98</v>
      </c>
      <c r="J180" s="43"/>
    </row>
    <row r="181" s="2" customFormat="1" ht="52.5" spans="1:10">
      <c r="A181" s="30">
        <v>27</v>
      </c>
      <c r="B181" s="34" t="s">
        <v>956</v>
      </c>
      <c r="C181" s="34" t="s">
        <v>957</v>
      </c>
      <c r="D181" s="35" t="s">
        <v>604</v>
      </c>
      <c r="E181" s="35">
        <v>4</v>
      </c>
      <c r="F181" s="53">
        <v>220.99</v>
      </c>
      <c r="G181" s="53">
        <v>87.45</v>
      </c>
      <c r="H181" s="33">
        <v>4</v>
      </c>
      <c r="I181" s="33">
        <f t="shared" si="5"/>
        <v>883.96</v>
      </c>
      <c r="J181" s="43"/>
    </row>
    <row r="182" s="2" customFormat="1" ht="42" spans="1:10">
      <c r="A182" s="30">
        <v>28</v>
      </c>
      <c r="B182" s="34" t="s">
        <v>958</v>
      </c>
      <c r="C182" s="34" t="s">
        <v>959</v>
      </c>
      <c r="D182" s="35" t="s">
        <v>604</v>
      </c>
      <c r="E182" s="35">
        <v>10</v>
      </c>
      <c r="F182" s="53">
        <v>243.3</v>
      </c>
      <c r="G182" s="53">
        <v>94.05</v>
      </c>
      <c r="H182" s="33">
        <v>10</v>
      </c>
      <c r="I182" s="33">
        <f t="shared" si="5"/>
        <v>2433</v>
      </c>
      <c r="J182" s="43"/>
    </row>
    <row r="183" s="2" customFormat="1" ht="42" spans="1:10">
      <c r="A183" s="30">
        <v>29</v>
      </c>
      <c r="B183" s="34" t="s">
        <v>958</v>
      </c>
      <c r="C183" s="34" t="s">
        <v>960</v>
      </c>
      <c r="D183" s="35" t="s">
        <v>604</v>
      </c>
      <c r="E183" s="35">
        <v>2</v>
      </c>
      <c r="F183" s="53">
        <v>408.57</v>
      </c>
      <c r="G183" s="53">
        <v>121</v>
      </c>
      <c r="H183" s="33">
        <v>2</v>
      </c>
      <c r="I183" s="33">
        <f t="shared" si="5"/>
        <v>817.14</v>
      </c>
      <c r="J183" s="43"/>
    </row>
    <row r="184" s="2" customFormat="1" ht="42" spans="1:10">
      <c r="A184" s="30">
        <v>30</v>
      </c>
      <c r="B184" s="34" t="s">
        <v>958</v>
      </c>
      <c r="C184" s="34" t="s">
        <v>961</v>
      </c>
      <c r="D184" s="35" t="s">
        <v>604</v>
      </c>
      <c r="E184" s="35">
        <v>1</v>
      </c>
      <c r="F184" s="53">
        <v>61.42</v>
      </c>
      <c r="G184" s="53">
        <v>20.08</v>
      </c>
      <c r="H184" s="33">
        <v>1</v>
      </c>
      <c r="I184" s="33">
        <f t="shared" si="5"/>
        <v>61.42</v>
      </c>
      <c r="J184" s="43"/>
    </row>
    <row r="185" s="2" customFormat="1" ht="42" spans="1:10">
      <c r="A185" s="30">
        <v>31</v>
      </c>
      <c r="B185" s="34" t="s">
        <v>958</v>
      </c>
      <c r="C185" s="34" t="s">
        <v>962</v>
      </c>
      <c r="D185" s="35" t="s">
        <v>604</v>
      </c>
      <c r="E185" s="35">
        <v>2</v>
      </c>
      <c r="F185" s="53">
        <v>37.15</v>
      </c>
      <c r="G185" s="53">
        <v>11</v>
      </c>
      <c r="H185" s="33">
        <v>2</v>
      </c>
      <c r="I185" s="33">
        <f t="shared" si="5"/>
        <v>74.3</v>
      </c>
      <c r="J185" s="43"/>
    </row>
    <row r="186" s="2" customFormat="1" ht="42" spans="1:10">
      <c r="A186" s="30">
        <v>32</v>
      </c>
      <c r="B186" s="34" t="s">
        <v>958</v>
      </c>
      <c r="C186" s="34" t="s">
        <v>963</v>
      </c>
      <c r="D186" s="35" t="s">
        <v>604</v>
      </c>
      <c r="E186" s="35">
        <v>1</v>
      </c>
      <c r="F186" s="53">
        <v>66.86</v>
      </c>
      <c r="G186" s="53">
        <v>19.8</v>
      </c>
      <c r="H186" s="33">
        <v>1</v>
      </c>
      <c r="I186" s="33">
        <f t="shared" si="5"/>
        <v>66.86</v>
      </c>
      <c r="J186" s="43"/>
    </row>
    <row r="187" s="2" customFormat="1" ht="94.5" spans="1:10">
      <c r="A187" s="30">
        <v>33</v>
      </c>
      <c r="B187" s="34" t="s">
        <v>964</v>
      </c>
      <c r="C187" s="34" t="s">
        <v>965</v>
      </c>
      <c r="D187" s="35" t="s">
        <v>517</v>
      </c>
      <c r="E187" s="35">
        <v>27.21</v>
      </c>
      <c r="F187" s="53">
        <v>91.67</v>
      </c>
      <c r="G187" s="53">
        <v>31.9</v>
      </c>
      <c r="H187" s="33">
        <v>13.61</v>
      </c>
      <c r="I187" s="33">
        <f t="shared" si="5"/>
        <v>1247.63</v>
      </c>
      <c r="J187" s="43"/>
    </row>
    <row r="188" s="2" customFormat="1" ht="94.5" spans="1:10">
      <c r="A188" s="30">
        <v>34</v>
      </c>
      <c r="B188" s="34" t="s">
        <v>964</v>
      </c>
      <c r="C188" s="34" t="s">
        <v>966</v>
      </c>
      <c r="D188" s="35" t="s">
        <v>517</v>
      </c>
      <c r="E188" s="35">
        <v>75.73</v>
      </c>
      <c r="F188" s="53">
        <v>118.54</v>
      </c>
      <c r="G188" s="53">
        <v>39.6</v>
      </c>
      <c r="H188" s="33">
        <v>0</v>
      </c>
      <c r="I188" s="33">
        <f t="shared" si="5"/>
        <v>0</v>
      </c>
      <c r="J188" s="43"/>
    </row>
    <row r="189" s="2" customFormat="1" ht="94.5" spans="1:10">
      <c r="A189" s="30">
        <v>35</v>
      </c>
      <c r="B189" s="34" t="s">
        <v>964</v>
      </c>
      <c r="C189" s="34" t="s">
        <v>967</v>
      </c>
      <c r="D189" s="35" t="s">
        <v>517</v>
      </c>
      <c r="E189" s="35">
        <v>30.35</v>
      </c>
      <c r="F189" s="53">
        <v>133.7</v>
      </c>
      <c r="G189" s="53">
        <v>57.2</v>
      </c>
      <c r="H189" s="33">
        <v>15.18</v>
      </c>
      <c r="I189" s="33">
        <f t="shared" si="5"/>
        <v>2029.57</v>
      </c>
      <c r="J189" s="43"/>
    </row>
    <row r="190" s="2" customFormat="1" ht="94.5" spans="1:10">
      <c r="A190" s="30">
        <v>36</v>
      </c>
      <c r="B190" s="34" t="s">
        <v>964</v>
      </c>
      <c r="C190" s="34" t="s">
        <v>968</v>
      </c>
      <c r="D190" s="35" t="s">
        <v>517</v>
      </c>
      <c r="E190" s="35">
        <v>67.47</v>
      </c>
      <c r="F190" s="53">
        <v>222.85</v>
      </c>
      <c r="G190" s="53">
        <v>66</v>
      </c>
      <c r="H190" s="33">
        <v>33.74</v>
      </c>
      <c r="I190" s="33">
        <f t="shared" si="5"/>
        <v>7518.96</v>
      </c>
      <c r="J190" s="43"/>
    </row>
    <row r="191" s="2" customFormat="1" ht="94.5" spans="1:10">
      <c r="A191" s="30">
        <v>37</v>
      </c>
      <c r="B191" s="34" t="s">
        <v>964</v>
      </c>
      <c r="C191" s="34" t="s">
        <v>969</v>
      </c>
      <c r="D191" s="35" t="s">
        <v>517</v>
      </c>
      <c r="E191" s="35">
        <v>31.44</v>
      </c>
      <c r="F191" s="53">
        <v>252.56</v>
      </c>
      <c r="G191" s="53">
        <v>74.8</v>
      </c>
      <c r="H191" s="33">
        <v>15.72</v>
      </c>
      <c r="I191" s="33">
        <f t="shared" si="5"/>
        <v>3970.24</v>
      </c>
      <c r="J191" s="43"/>
    </row>
    <row r="192" s="2" customFormat="1" ht="94.5" spans="1:10">
      <c r="A192" s="30">
        <v>38</v>
      </c>
      <c r="B192" s="34" t="s">
        <v>964</v>
      </c>
      <c r="C192" s="34" t="s">
        <v>970</v>
      </c>
      <c r="D192" s="35" t="s">
        <v>517</v>
      </c>
      <c r="E192" s="35">
        <v>10.96</v>
      </c>
      <c r="F192" s="53">
        <v>352.84</v>
      </c>
      <c r="G192" s="53">
        <v>104.5</v>
      </c>
      <c r="H192" s="33">
        <v>5.48</v>
      </c>
      <c r="I192" s="33">
        <f t="shared" si="5"/>
        <v>1933.56</v>
      </c>
      <c r="J192" s="43"/>
    </row>
    <row r="193" s="2" customFormat="1" ht="94.5" spans="1:10">
      <c r="A193" s="30">
        <v>39</v>
      </c>
      <c r="B193" s="34" t="s">
        <v>964</v>
      </c>
      <c r="C193" s="34" t="s">
        <v>971</v>
      </c>
      <c r="D193" s="35" t="s">
        <v>517</v>
      </c>
      <c r="E193" s="35">
        <v>1.11</v>
      </c>
      <c r="F193" s="53">
        <v>517.14</v>
      </c>
      <c r="G193" s="53">
        <v>152.9</v>
      </c>
      <c r="H193" s="33">
        <v>0.56</v>
      </c>
      <c r="I193" s="33">
        <f t="shared" si="5"/>
        <v>289.6</v>
      </c>
      <c r="J193" s="43"/>
    </row>
    <row r="194" s="2" customFormat="1" ht="94.5" spans="1:10">
      <c r="A194" s="30">
        <v>40</v>
      </c>
      <c r="B194" s="34" t="s">
        <v>964</v>
      </c>
      <c r="C194" s="34" t="s">
        <v>972</v>
      </c>
      <c r="D194" s="35" t="s">
        <v>517</v>
      </c>
      <c r="E194" s="35">
        <v>10.16</v>
      </c>
      <c r="F194" s="53">
        <v>767.64</v>
      </c>
      <c r="G194" s="53">
        <v>281.6</v>
      </c>
      <c r="H194" s="33">
        <v>5.08</v>
      </c>
      <c r="I194" s="33">
        <f t="shared" si="5"/>
        <v>3899.61</v>
      </c>
      <c r="J194" s="43"/>
    </row>
    <row r="195" s="2" customFormat="1" ht="94.5" spans="1:10">
      <c r="A195" s="30">
        <v>41</v>
      </c>
      <c r="B195" s="34" t="s">
        <v>964</v>
      </c>
      <c r="C195" s="34" t="s">
        <v>973</v>
      </c>
      <c r="D195" s="35" t="s">
        <v>517</v>
      </c>
      <c r="E195" s="35">
        <v>6.76</v>
      </c>
      <c r="F195" s="53">
        <v>30.49</v>
      </c>
      <c r="G195" s="53">
        <v>12.32</v>
      </c>
      <c r="H195" s="33">
        <v>3.38</v>
      </c>
      <c r="I195" s="33">
        <f t="shared" si="5"/>
        <v>103.06</v>
      </c>
      <c r="J195" s="43"/>
    </row>
    <row r="196" s="2" customFormat="1" ht="94.5" spans="1:10">
      <c r="A196" s="30">
        <v>42</v>
      </c>
      <c r="B196" s="34" t="s">
        <v>964</v>
      </c>
      <c r="C196" s="34" t="s">
        <v>974</v>
      </c>
      <c r="D196" s="35" t="s">
        <v>517</v>
      </c>
      <c r="E196" s="35">
        <v>19.25</v>
      </c>
      <c r="F196" s="53">
        <v>37</v>
      </c>
      <c r="G196" s="53">
        <v>13.97</v>
      </c>
      <c r="H196" s="33">
        <v>17.63</v>
      </c>
      <c r="I196" s="33">
        <f t="shared" si="5"/>
        <v>652.31</v>
      </c>
      <c r="J196" s="43"/>
    </row>
    <row r="197" s="2" customFormat="1" ht="84" spans="1:10">
      <c r="A197" s="30">
        <v>43</v>
      </c>
      <c r="B197" s="34" t="s">
        <v>975</v>
      </c>
      <c r="C197" s="34" t="s">
        <v>976</v>
      </c>
      <c r="D197" s="35" t="s">
        <v>517</v>
      </c>
      <c r="E197" s="35">
        <v>15</v>
      </c>
      <c r="F197" s="53">
        <v>45.12</v>
      </c>
      <c r="G197" s="53">
        <v>16.39</v>
      </c>
      <c r="H197" s="33">
        <v>7.5</v>
      </c>
      <c r="I197" s="33">
        <f t="shared" si="5"/>
        <v>338.4</v>
      </c>
      <c r="J197" s="43"/>
    </row>
    <row r="198" s="2" customFormat="1" ht="84" spans="1:10">
      <c r="A198" s="30">
        <v>44</v>
      </c>
      <c r="B198" s="34" t="s">
        <v>975</v>
      </c>
      <c r="C198" s="34" t="s">
        <v>977</v>
      </c>
      <c r="D198" s="35" t="s">
        <v>517</v>
      </c>
      <c r="E198" s="35">
        <v>56.12</v>
      </c>
      <c r="F198" s="53">
        <v>51.82</v>
      </c>
      <c r="G198" s="53">
        <v>17.27</v>
      </c>
      <c r="H198" s="33">
        <v>28.06</v>
      </c>
      <c r="I198" s="33">
        <f t="shared" si="5"/>
        <v>1454.07</v>
      </c>
      <c r="J198" s="43"/>
    </row>
    <row r="199" s="2" customFormat="1" ht="84" spans="1:10">
      <c r="A199" s="30">
        <v>45</v>
      </c>
      <c r="B199" s="34" t="s">
        <v>975</v>
      </c>
      <c r="C199" s="34" t="s">
        <v>978</v>
      </c>
      <c r="D199" s="35" t="s">
        <v>517</v>
      </c>
      <c r="E199" s="35">
        <v>28.11</v>
      </c>
      <c r="F199" s="53">
        <v>2807.36</v>
      </c>
      <c r="G199" s="53">
        <v>1023.33</v>
      </c>
      <c r="H199" s="33">
        <v>14.06</v>
      </c>
      <c r="I199" s="33">
        <f t="shared" si="5"/>
        <v>39471.48</v>
      </c>
      <c r="J199" s="43"/>
    </row>
    <row r="200" s="2" customFormat="1" ht="84" spans="1:10">
      <c r="A200" s="30">
        <v>46</v>
      </c>
      <c r="B200" s="34" t="s">
        <v>975</v>
      </c>
      <c r="C200" s="34" t="s">
        <v>979</v>
      </c>
      <c r="D200" s="35" t="s">
        <v>517</v>
      </c>
      <c r="E200" s="35">
        <v>15</v>
      </c>
      <c r="F200" s="53">
        <v>2807.36</v>
      </c>
      <c r="G200" s="53">
        <v>1023.33</v>
      </c>
      <c r="H200" s="33">
        <v>7.5</v>
      </c>
      <c r="I200" s="33">
        <f t="shared" si="5"/>
        <v>21055.2</v>
      </c>
      <c r="J200" s="43"/>
    </row>
    <row r="201" s="2" customFormat="1" ht="63" spans="1:10">
      <c r="A201" s="30">
        <v>47</v>
      </c>
      <c r="B201" s="34" t="s">
        <v>980</v>
      </c>
      <c r="C201" s="34" t="s">
        <v>981</v>
      </c>
      <c r="D201" s="35" t="s">
        <v>700</v>
      </c>
      <c r="E201" s="35">
        <v>0.2</v>
      </c>
      <c r="F201" s="53">
        <v>2807.36</v>
      </c>
      <c r="G201" s="53">
        <v>1023.33</v>
      </c>
      <c r="H201" s="33">
        <v>0.2</v>
      </c>
      <c r="I201" s="33">
        <f t="shared" si="5"/>
        <v>561.47</v>
      </c>
      <c r="J201" s="43"/>
    </row>
    <row r="202" s="2" customFormat="1" ht="84" spans="1:10">
      <c r="A202" s="30">
        <v>48</v>
      </c>
      <c r="B202" s="34" t="s">
        <v>982</v>
      </c>
      <c r="C202" s="34" t="s">
        <v>983</v>
      </c>
      <c r="D202" s="35" t="s">
        <v>700</v>
      </c>
      <c r="E202" s="35">
        <v>0.2</v>
      </c>
      <c r="F202" s="53">
        <v>2649.51</v>
      </c>
      <c r="G202" s="53">
        <v>924.66</v>
      </c>
      <c r="H202" s="33">
        <v>0.2</v>
      </c>
      <c r="I202" s="33">
        <f t="shared" si="5"/>
        <v>529.9</v>
      </c>
      <c r="J202" s="43"/>
    </row>
    <row r="203" s="2" customFormat="1" ht="84" spans="1:10">
      <c r="A203" s="30">
        <v>49</v>
      </c>
      <c r="B203" s="34" t="s">
        <v>982</v>
      </c>
      <c r="C203" s="34" t="s">
        <v>984</v>
      </c>
      <c r="D203" s="35" t="s">
        <v>700</v>
      </c>
      <c r="E203" s="35">
        <v>0.2</v>
      </c>
      <c r="F203" s="53">
        <v>40.08</v>
      </c>
      <c r="G203" s="53">
        <v>13.695</v>
      </c>
      <c r="H203" s="33">
        <v>0.2</v>
      </c>
      <c r="I203" s="33">
        <f t="shared" si="5"/>
        <v>8.02</v>
      </c>
      <c r="J203" s="43"/>
    </row>
    <row r="204" s="2" customFormat="1" ht="84" spans="1:10">
      <c r="A204" s="30">
        <v>50</v>
      </c>
      <c r="B204" s="34" t="s">
        <v>982</v>
      </c>
      <c r="C204" s="34" t="s">
        <v>985</v>
      </c>
      <c r="D204" s="35" t="s">
        <v>700</v>
      </c>
      <c r="E204" s="35">
        <v>0.2</v>
      </c>
      <c r="F204" s="53">
        <v>83.58</v>
      </c>
      <c r="G204" s="53">
        <v>29.92</v>
      </c>
      <c r="H204" s="33">
        <v>0.2</v>
      </c>
      <c r="I204" s="33">
        <f t="shared" si="5"/>
        <v>16.72</v>
      </c>
      <c r="J204" s="43"/>
    </row>
    <row r="205" s="2" customFormat="1" ht="73.5" spans="1:10">
      <c r="A205" s="30">
        <v>51</v>
      </c>
      <c r="B205" s="34" t="s">
        <v>986</v>
      </c>
      <c r="C205" s="34" t="s">
        <v>987</v>
      </c>
      <c r="D205" s="35" t="s">
        <v>482</v>
      </c>
      <c r="E205" s="35">
        <v>1</v>
      </c>
      <c r="F205" s="36">
        <v>27.64</v>
      </c>
      <c r="G205" s="35">
        <v>12.45</v>
      </c>
      <c r="H205" s="33">
        <v>1</v>
      </c>
      <c r="I205" s="33">
        <f t="shared" si="5"/>
        <v>27.64</v>
      </c>
      <c r="J205" s="43"/>
    </row>
    <row r="206" s="2" customFormat="1" ht="73.5" spans="1:10">
      <c r="A206" s="30">
        <v>52</v>
      </c>
      <c r="B206" s="34" t="s">
        <v>988</v>
      </c>
      <c r="C206" s="34" t="s">
        <v>989</v>
      </c>
      <c r="D206" s="35" t="s">
        <v>482</v>
      </c>
      <c r="E206" s="35">
        <v>3</v>
      </c>
      <c r="F206" s="36">
        <v>57.64</v>
      </c>
      <c r="G206" s="35">
        <v>27.2</v>
      </c>
      <c r="H206" s="33">
        <v>3</v>
      </c>
      <c r="I206" s="33">
        <f t="shared" si="5"/>
        <v>172.92</v>
      </c>
      <c r="J206" s="43"/>
    </row>
    <row r="207" ht="15" spans="1:10">
      <c r="A207" s="55" t="s">
        <v>436</v>
      </c>
      <c r="B207" s="56" t="s">
        <v>636</v>
      </c>
      <c r="C207" s="56"/>
      <c r="D207" s="57"/>
      <c r="E207" s="58"/>
      <c r="F207" s="58"/>
      <c r="G207" s="58"/>
      <c r="H207" s="59"/>
      <c r="I207" s="59">
        <f>SUM(I7:I206)</f>
        <v>835668.02</v>
      </c>
      <c r="J207" s="60"/>
    </row>
  </sheetData>
  <autoFilter ref="A2:G207">
    <extLst/>
  </autoFilter>
  <mergeCells count="10"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A1:J2"/>
  </mergeCells>
  <printOptions horizontalCentered="1"/>
  <pageMargins left="0" right="0" top="0" bottom="0" header="0.354166666666667" footer="0.298611111111111"/>
  <pageSetup paperSize="9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0"/>
  <sheetViews>
    <sheetView workbookViewId="0">
      <selection activeCell="J23" sqref="J23"/>
    </sheetView>
  </sheetViews>
  <sheetFormatPr defaultColWidth="8.75" defaultRowHeight="29" customHeight="1" outlineLevelCol="7"/>
  <cols>
    <col min="1" max="1" width="6.5" style="3" customWidth="1"/>
    <col min="2" max="2" width="13.375" style="3" customWidth="1"/>
    <col min="3" max="3" width="21.25" style="3" customWidth="1"/>
    <col min="4" max="4" width="7.125" style="3" customWidth="1"/>
    <col min="5" max="5" width="8.125" style="3" customWidth="1"/>
    <col min="6" max="6" width="9.625" style="3" customWidth="1"/>
    <col min="7" max="7" width="11.625" style="3" customWidth="1"/>
    <col min="8" max="8" width="10.5" style="3" customWidth="1"/>
    <col min="9" max="9" width="12.75" style="2" customWidth="1"/>
    <col min="10" max="16384" width="8.75" style="2"/>
  </cols>
  <sheetData>
    <row r="1" s="1" customFormat="1" customHeight="1" spans="1:8">
      <c r="A1" s="4" t="s">
        <v>990</v>
      </c>
      <c r="B1" s="4"/>
      <c r="C1" s="4"/>
      <c r="D1" s="4"/>
      <c r="E1" s="4"/>
      <c r="F1" s="4"/>
      <c r="G1" s="4"/>
      <c r="H1" s="4"/>
    </row>
    <row r="2" s="2" customFormat="1" customHeight="1" spans="1:8">
      <c r="A2" s="5" t="s">
        <v>991</v>
      </c>
      <c r="B2" s="5" t="s">
        <v>992</v>
      </c>
      <c r="C2" s="5" t="s">
        <v>993</v>
      </c>
      <c r="D2" s="5" t="s">
        <v>994</v>
      </c>
      <c r="E2" s="5" t="s">
        <v>995</v>
      </c>
      <c r="F2" s="5" t="s">
        <v>996</v>
      </c>
      <c r="G2" s="5" t="s">
        <v>997</v>
      </c>
      <c r="H2" s="5" t="s">
        <v>477</v>
      </c>
    </row>
    <row r="3" s="2" customFormat="1" customHeight="1" spans="1:8">
      <c r="A3" s="6">
        <v>1</v>
      </c>
      <c r="B3" s="6" t="s">
        <v>998</v>
      </c>
      <c r="C3" s="6" t="s">
        <v>999</v>
      </c>
      <c r="D3" s="6" t="s">
        <v>757</v>
      </c>
      <c r="E3" s="6">
        <v>7</v>
      </c>
      <c r="F3" s="7">
        <v>360</v>
      </c>
      <c r="G3" s="8">
        <f t="shared" ref="G3:G19" si="0">E3*F3</f>
        <v>2520</v>
      </c>
      <c r="H3" s="9" t="s">
        <v>1000</v>
      </c>
    </row>
    <row r="4" s="2" customFormat="1" customHeight="1" spans="1:8">
      <c r="A4" s="6">
        <v>2</v>
      </c>
      <c r="B4" s="6" t="s">
        <v>1001</v>
      </c>
      <c r="C4" s="6" t="s">
        <v>1002</v>
      </c>
      <c r="D4" s="6" t="s">
        <v>604</v>
      </c>
      <c r="E4" s="6">
        <v>7</v>
      </c>
      <c r="F4" s="7">
        <v>45</v>
      </c>
      <c r="G4" s="8">
        <f t="shared" si="0"/>
        <v>315</v>
      </c>
      <c r="H4" s="9" t="s">
        <v>1003</v>
      </c>
    </row>
    <row r="5" s="2" customFormat="1" customHeight="1" spans="1:8">
      <c r="A5" s="6">
        <v>3</v>
      </c>
      <c r="B5" s="6" t="s">
        <v>1004</v>
      </c>
      <c r="C5" s="6" t="s">
        <v>1002</v>
      </c>
      <c r="D5" s="6" t="s">
        <v>604</v>
      </c>
      <c r="E5" s="6">
        <v>7</v>
      </c>
      <c r="F5" s="7">
        <v>35</v>
      </c>
      <c r="G5" s="8">
        <f t="shared" si="0"/>
        <v>245</v>
      </c>
      <c r="H5" s="9" t="s">
        <v>1003</v>
      </c>
    </row>
    <row r="6" s="2" customFormat="1" ht="47" customHeight="1" spans="1:8">
      <c r="A6" s="6">
        <v>4</v>
      </c>
      <c r="B6" s="6" t="s">
        <v>1005</v>
      </c>
      <c r="C6" s="6" t="s">
        <v>1006</v>
      </c>
      <c r="D6" s="6" t="s">
        <v>757</v>
      </c>
      <c r="E6" s="6">
        <v>1</v>
      </c>
      <c r="F6" s="8">
        <v>3800</v>
      </c>
      <c r="G6" s="8">
        <f t="shared" si="0"/>
        <v>3800</v>
      </c>
      <c r="H6" s="9" t="s">
        <v>1000</v>
      </c>
    </row>
    <row r="7" s="2" customFormat="1" customHeight="1" spans="1:8">
      <c r="A7" s="6">
        <v>5</v>
      </c>
      <c r="B7" s="6" t="s">
        <v>1007</v>
      </c>
      <c r="C7" s="6" t="s">
        <v>1008</v>
      </c>
      <c r="D7" s="6" t="s">
        <v>757</v>
      </c>
      <c r="E7" s="6">
        <v>1</v>
      </c>
      <c r="F7" s="8">
        <v>3800</v>
      </c>
      <c r="G7" s="8">
        <f t="shared" si="0"/>
        <v>3800</v>
      </c>
      <c r="H7" s="9" t="s">
        <v>1009</v>
      </c>
    </row>
    <row r="8" s="2" customFormat="1" customHeight="1" spans="1:8">
      <c r="A8" s="6">
        <v>6</v>
      </c>
      <c r="B8" s="6" t="s">
        <v>1010</v>
      </c>
      <c r="C8" s="6" t="s">
        <v>1011</v>
      </c>
      <c r="D8" s="6" t="s">
        <v>604</v>
      </c>
      <c r="E8" s="6">
        <v>1</v>
      </c>
      <c r="F8" s="8">
        <v>1200</v>
      </c>
      <c r="G8" s="8">
        <f t="shared" si="0"/>
        <v>1200</v>
      </c>
      <c r="H8" s="9" t="s">
        <v>1009</v>
      </c>
    </row>
    <row r="9" s="2" customFormat="1" customHeight="1" spans="1:8">
      <c r="A9" s="6">
        <v>7</v>
      </c>
      <c r="B9" s="6" t="s">
        <v>880</v>
      </c>
      <c r="C9" s="6" t="s">
        <v>1012</v>
      </c>
      <c r="D9" s="6" t="s">
        <v>757</v>
      </c>
      <c r="E9" s="6">
        <v>3</v>
      </c>
      <c r="F9" s="8">
        <v>680</v>
      </c>
      <c r="G9" s="8">
        <f t="shared" si="0"/>
        <v>2040</v>
      </c>
      <c r="H9" s="9" t="s">
        <v>1000</v>
      </c>
    </row>
    <row r="10" s="2" customFormat="1" customHeight="1" spans="1:8">
      <c r="A10" s="6">
        <v>8</v>
      </c>
      <c r="B10" s="6" t="s">
        <v>1013</v>
      </c>
      <c r="C10" s="6" t="s">
        <v>1014</v>
      </c>
      <c r="D10" s="6" t="s">
        <v>1015</v>
      </c>
      <c r="E10" s="6">
        <v>4</v>
      </c>
      <c r="F10" s="8">
        <v>1500</v>
      </c>
      <c r="G10" s="8">
        <f t="shared" si="0"/>
        <v>6000</v>
      </c>
      <c r="H10" s="9" t="s">
        <v>1016</v>
      </c>
    </row>
    <row r="11" s="2" customFormat="1" customHeight="1" spans="1:8">
      <c r="A11" s="6">
        <v>9</v>
      </c>
      <c r="B11" s="10" t="s">
        <v>1017</v>
      </c>
      <c r="C11" s="11" t="s">
        <v>1018</v>
      </c>
      <c r="D11" s="11" t="s">
        <v>604</v>
      </c>
      <c r="E11" s="10">
        <v>4</v>
      </c>
      <c r="F11" s="12">
        <v>1125</v>
      </c>
      <c r="G11" s="8">
        <f t="shared" si="0"/>
        <v>4500</v>
      </c>
      <c r="H11" s="10" t="s">
        <v>1019</v>
      </c>
    </row>
    <row r="12" s="2" customFormat="1" customHeight="1" spans="1:8">
      <c r="A12" s="6">
        <v>10</v>
      </c>
      <c r="B12" s="6" t="s">
        <v>1020</v>
      </c>
      <c r="C12" s="6" t="s">
        <v>1021</v>
      </c>
      <c r="D12" s="6" t="s">
        <v>816</v>
      </c>
      <c r="E12" s="6">
        <v>300</v>
      </c>
      <c r="F12" s="8">
        <v>2.2</v>
      </c>
      <c r="G12" s="8">
        <f t="shared" si="0"/>
        <v>660</v>
      </c>
      <c r="H12" s="9" t="s">
        <v>1022</v>
      </c>
    </row>
    <row r="13" s="2" customFormat="1" customHeight="1" spans="1:8">
      <c r="A13" s="6">
        <v>11</v>
      </c>
      <c r="B13" s="6" t="s">
        <v>1023</v>
      </c>
      <c r="C13" s="6" t="s">
        <v>1024</v>
      </c>
      <c r="D13" s="6" t="s">
        <v>1025</v>
      </c>
      <c r="E13" s="6">
        <v>2</v>
      </c>
      <c r="F13" s="8">
        <v>280</v>
      </c>
      <c r="G13" s="8">
        <f t="shared" si="0"/>
        <v>560</v>
      </c>
      <c r="H13" s="9" t="s">
        <v>1026</v>
      </c>
    </row>
    <row r="14" s="2" customFormat="1" customHeight="1" spans="1:8">
      <c r="A14" s="6">
        <v>12</v>
      </c>
      <c r="B14" s="6" t="s">
        <v>1027</v>
      </c>
      <c r="C14" s="6" t="s">
        <v>1028</v>
      </c>
      <c r="D14" s="6" t="s">
        <v>816</v>
      </c>
      <c r="E14" s="6">
        <v>300</v>
      </c>
      <c r="F14" s="8">
        <v>2.2</v>
      </c>
      <c r="G14" s="8">
        <f t="shared" si="0"/>
        <v>660</v>
      </c>
      <c r="H14" s="9" t="s">
        <v>1029</v>
      </c>
    </row>
    <row r="15" s="2" customFormat="1" customHeight="1" spans="1:8">
      <c r="A15" s="6">
        <v>13</v>
      </c>
      <c r="B15" s="13" t="s">
        <v>1030</v>
      </c>
      <c r="C15" s="6" t="s">
        <v>1031</v>
      </c>
      <c r="D15" s="6" t="s">
        <v>681</v>
      </c>
      <c r="E15" s="6">
        <v>1</v>
      </c>
      <c r="F15" s="8">
        <v>770</v>
      </c>
      <c r="G15" s="8">
        <f t="shared" si="0"/>
        <v>770</v>
      </c>
      <c r="H15" s="9" t="s">
        <v>1009</v>
      </c>
    </row>
    <row r="16" s="2" customFormat="1" customHeight="1" spans="1:8">
      <c r="A16" s="6">
        <v>14</v>
      </c>
      <c r="B16" s="6" t="s">
        <v>1032</v>
      </c>
      <c r="C16" s="6" t="s">
        <v>1033</v>
      </c>
      <c r="D16" s="6" t="s">
        <v>1034</v>
      </c>
      <c r="E16" s="6">
        <v>8</v>
      </c>
      <c r="F16" s="8">
        <v>20</v>
      </c>
      <c r="G16" s="8">
        <f t="shared" si="0"/>
        <v>160</v>
      </c>
      <c r="H16" s="9" t="s">
        <v>1009</v>
      </c>
    </row>
    <row r="17" s="2" customFormat="1" customHeight="1" spans="1:8">
      <c r="A17" s="6">
        <v>15</v>
      </c>
      <c r="B17" s="6" t="s">
        <v>1035</v>
      </c>
      <c r="C17" s="6" t="s">
        <v>1036</v>
      </c>
      <c r="D17" s="6" t="s">
        <v>816</v>
      </c>
      <c r="E17" s="6">
        <v>300</v>
      </c>
      <c r="F17" s="8">
        <v>3.8</v>
      </c>
      <c r="G17" s="8">
        <f t="shared" si="0"/>
        <v>1140</v>
      </c>
      <c r="H17" s="9" t="s">
        <v>1022</v>
      </c>
    </row>
    <row r="18" s="2" customFormat="1" customHeight="1" spans="1:8">
      <c r="A18" s="6">
        <v>16</v>
      </c>
      <c r="B18" s="6" t="s">
        <v>1037</v>
      </c>
      <c r="C18" s="6" t="s">
        <v>1038</v>
      </c>
      <c r="D18" s="6" t="s">
        <v>604</v>
      </c>
      <c r="E18" s="6">
        <v>2</v>
      </c>
      <c r="F18" s="8">
        <v>150</v>
      </c>
      <c r="G18" s="8">
        <f t="shared" si="0"/>
        <v>300</v>
      </c>
      <c r="H18" s="9" t="s">
        <v>1009</v>
      </c>
    </row>
    <row r="19" s="2" customFormat="1" customHeight="1" spans="1:8">
      <c r="A19" s="6">
        <v>17</v>
      </c>
      <c r="B19" s="6" t="s">
        <v>1039</v>
      </c>
      <c r="C19" s="6" t="s">
        <v>1040</v>
      </c>
      <c r="D19" s="6" t="s">
        <v>816</v>
      </c>
      <c r="E19" s="6">
        <v>350</v>
      </c>
      <c r="F19" s="8">
        <v>3.8</v>
      </c>
      <c r="G19" s="8">
        <f t="shared" si="0"/>
        <v>1330</v>
      </c>
      <c r="H19" s="9" t="s">
        <v>1009</v>
      </c>
    </row>
    <row r="20" s="2" customFormat="1" customHeight="1" spans="1:8">
      <c r="A20" s="6">
        <v>18</v>
      </c>
      <c r="B20" s="6" t="s">
        <v>1041</v>
      </c>
      <c r="C20" s="6"/>
      <c r="D20" s="6"/>
      <c r="E20" s="6"/>
      <c r="F20" s="6"/>
      <c r="G20" s="8">
        <f>SUM(G3:G19)</f>
        <v>30000</v>
      </c>
      <c r="H20" s="9"/>
    </row>
  </sheetData>
  <mergeCells count="2">
    <mergeCell ref="A1:H1"/>
    <mergeCell ref="C20:F20"/>
  </mergeCells>
  <printOptions horizontalCentered="1"/>
  <pageMargins left="0" right="0" top="0" bottom="0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92" t="s">
        <v>205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</row>
    <row r="2" spans="1:29">
      <c r="A2" s="193" t="s">
        <v>1</v>
      </c>
      <c r="B2" s="193" t="s">
        <v>2</v>
      </c>
      <c r="C2" s="193" t="s">
        <v>3</v>
      </c>
      <c r="D2" s="193" t="s">
        <v>4</v>
      </c>
      <c r="E2" s="193" t="s">
        <v>5</v>
      </c>
      <c r="F2" s="193" t="s">
        <v>6</v>
      </c>
      <c r="G2" s="193" t="s">
        <v>7</v>
      </c>
      <c r="H2" s="193" t="s">
        <v>8</v>
      </c>
      <c r="I2" s="193" t="s">
        <v>9</v>
      </c>
      <c r="J2" s="193" t="s">
        <v>10</v>
      </c>
      <c r="K2" s="193" t="s">
        <v>11</v>
      </c>
      <c r="L2" s="193" t="s">
        <v>12</v>
      </c>
      <c r="M2" s="193" t="s">
        <v>13</v>
      </c>
      <c r="N2" s="193" t="s">
        <v>14</v>
      </c>
      <c r="O2" s="193" t="s">
        <v>15</v>
      </c>
      <c r="P2" s="193" t="s">
        <v>16</v>
      </c>
      <c r="Q2" s="193" t="s">
        <v>17</v>
      </c>
      <c r="R2" s="193" t="s">
        <v>18</v>
      </c>
      <c r="S2" s="193" t="s">
        <v>19</v>
      </c>
      <c r="T2" s="193" t="s">
        <v>20</v>
      </c>
      <c r="U2" s="193" t="s">
        <v>21</v>
      </c>
      <c r="V2" s="193" t="s">
        <v>22</v>
      </c>
      <c r="W2" s="193" t="s">
        <v>23</v>
      </c>
      <c r="X2" s="193" t="s">
        <v>24</v>
      </c>
      <c r="Y2" s="193" t="s">
        <v>25</v>
      </c>
      <c r="Z2" s="193" t="s">
        <v>26</v>
      </c>
      <c r="AA2" s="193" t="s">
        <v>27</v>
      </c>
      <c r="AB2" s="193" t="s">
        <v>28</v>
      </c>
      <c r="AC2" s="198" t="s">
        <v>206</v>
      </c>
    </row>
    <row r="3" spans="1:29">
      <c r="A3" s="193" t="s">
        <v>29</v>
      </c>
      <c r="B3" s="193" t="s">
        <v>38</v>
      </c>
      <c r="C3" s="193"/>
      <c r="D3" s="193"/>
      <c r="E3" s="193">
        <v>2</v>
      </c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>
        <f t="shared" ref="AB3:AB66" si="0">SUM(E3:AA3)</f>
        <v>2</v>
      </c>
      <c r="AC3" s="198">
        <f t="shared" ref="AC3:AC34" si="1">C3*D3*AB3/1000000</f>
        <v>0</v>
      </c>
    </row>
    <row r="4" spans="1:29">
      <c r="A4" s="193" t="s">
        <v>31</v>
      </c>
      <c r="B4" s="193" t="s">
        <v>207</v>
      </c>
      <c r="C4" s="193"/>
      <c r="D4" s="193"/>
      <c r="E4" s="193">
        <v>3</v>
      </c>
      <c r="F4" s="193">
        <v>1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>
        <f t="shared" si="0"/>
        <v>4</v>
      </c>
      <c r="AC4" s="198">
        <f t="shared" si="1"/>
        <v>0</v>
      </c>
    </row>
    <row r="5" spans="1:29">
      <c r="A5" s="193" t="s">
        <v>33</v>
      </c>
      <c r="B5" s="193" t="s">
        <v>124</v>
      </c>
      <c r="C5" s="193"/>
      <c r="D5" s="193"/>
      <c r="E5" s="193">
        <v>2</v>
      </c>
      <c r="F5" s="193">
        <v>3</v>
      </c>
      <c r="G5" s="193"/>
      <c r="H5" s="193">
        <v>3</v>
      </c>
      <c r="I5" s="193">
        <v>3</v>
      </c>
      <c r="J5" s="193">
        <v>3</v>
      </c>
      <c r="K5" s="193">
        <v>3</v>
      </c>
      <c r="L5" s="193">
        <v>3</v>
      </c>
      <c r="M5" s="193">
        <v>3</v>
      </c>
      <c r="N5" s="193">
        <v>3</v>
      </c>
      <c r="O5" s="193">
        <v>3</v>
      </c>
      <c r="P5" s="193">
        <v>3</v>
      </c>
      <c r="Q5" s="193">
        <v>3</v>
      </c>
      <c r="R5" s="193">
        <v>3</v>
      </c>
      <c r="S5" s="193">
        <v>3</v>
      </c>
      <c r="T5" s="193">
        <v>3</v>
      </c>
      <c r="U5" s="193">
        <v>3</v>
      </c>
      <c r="V5" s="193">
        <v>3</v>
      </c>
      <c r="W5" s="193">
        <v>3</v>
      </c>
      <c r="X5" s="193"/>
      <c r="Y5" s="193"/>
      <c r="Z5" s="193"/>
      <c r="AA5" s="193"/>
      <c r="AB5" s="193">
        <f t="shared" si="0"/>
        <v>53</v>
      </c>
      <c r="AC5" s="198">
        <f t="shared" si="1"/>
        <v>0</v>
      </c>
    </row>
    <row r="6" spans="1:29">
      <c r="A6" s="193" t="s">
        <v>35</v>
      </c>
      <c r="B6" s="193" t="s">
        <v>208</v>
      </c>
      <c r="C6" s="193"/>
      <c r="D6" s="193"/>
      <c r="E6" s="193">
        <v>3</v>
      </c>
      <c r="F6" s="193">
        <v>3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>
        <f t="shared" si="0"/>
        <v>6</v>
      </c>
      <c r="AC6" s="198">
        <f t="shared" si="1"/>
        <v>0</v>
      </c>
    </row>
    <row r="7" spans="1:29">
      <c r="A7" s="193" t="s">
        <v>37</v>
      </c>
      <c r="B7" s="193" t="s">
        <v>86</v>
      </c>
      <c r="C7" s="193"/>
      <c r="D7" s="193"/>
      <c r="E7" s="193"/>
      <c r="F7" s="193">
        <v>1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>
        <f t="shared" si="0"/>
        <v>1</v>
      </c>
      <c r="AC7" s="198">
        <f t="shared" si="1"/>
        <v>0</v>
      </c>
    </row>
    <row r="8" spans="1:29">
      <c r="A8" s="193" t="s">
        <v>39</v>
      </c>
      <c r="B8" s="193" t="s">
        <v>48</v>
      </c>
      <c r="C8" s="193"/>
      <c r="D8" s="193"/>
      <c r="E8" s="193"/>
      <c r="F8" s="193">
        <v>2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>
        <f t="shared" si="0"/>
        <v>2</v>
      </c>
      <c r="AC8" s="198">
        <f t="shared" si="1"/>
        <v>0</v>
      </c>
    </row>
    <row r="9" spans="1:29">
      <c r="A9" s="193" t="s">
        <v>41</v>
      </c>
      <c r="B9" s="193" t="s">
        <v>209</v>
      </c>
      <c r="C9" s="193"/>
      <c r="D9" s="193"/>
      <c r="E9" s="193"/>
      <c r="F9" s="193">
        <v>1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>
        <f t="shared" si="0"/>
        <v>1</v>
      </c>
      <c r="AC9" s="198">
        <f t="shared" si="1"/>
        <v>0</v>
      </c>
    </row>
    <row r="10" spans="1:29">
      <c r="A10" s="193" t="s">
        <v>43</v>
      </c>
      <c r="B10" s="193" t="s">
        <v>210</v>
      </c>
      <c r="C10" s="193"/>
      <c r="D10" s="193"/>
      <c r="E10" s="193"/>
      <c r="F10" s="193">
        <v>1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>
        <f t="shared" si="0"/>
        <v>1</v>
      </c>
      <c r="AC10" s="198">
        <f t="shared" si="1"/>
        <v>0</v>
      </c>
    </row>
    <row r="11" spans="1:29">
      <c r="A11" s="193" t="s">
        <v>45</v>
      </c>
      <c r="B11" s="193" t="s">
        <v>211</v>
      </c>
      <c r="C11" s="193"/>
      <c r="D11" s="193"/>
      <c r="E11" s="193"/>
      <c r="F11" s="193">
        <v>1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>
        <f t="shared" si="0"/>
        <v>1</v>
      </c>
      <c r="AC11" s="198">
        <f t="shared" si="1"/>
        <v>0</v>
      </c>
    </row>
    <row r="12" spans="1:29">
      <c r="A12" s="193" t="s">
        <v>47</v>
      </c>
      <c r="B12" s="193" t="s">
        <v>212</v>
      </c>
      <c r="C12" s="193"/>
      <c r="D12" s="193"/>
      <c r="E12" s="193"/>
      <c r="F12" s="193">
        <v>1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>
        <f t="shared" si="0"/>
        <v>1</v>
      </c>
      <c r="AC12" s="198">
        <f t="shared" si="1"/>
        <v>0</v>
      </c>
    </row>
    <row r="13" spans="1:29">
      <c r="A13" s="193" t="s">
        <v>49</v>
      </c>
      <c r="B13" s="193" t="s">
        <v>213</v>
      </c>
      <c r="C13" s="193"/>
      <c r="D13" s="193"/>
      <c r="E13" s="193"/>
      <c r="F13" s="193">
        <v>1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>
        <f t="shared" si="0"/>
        <v>1</v>
      </c>
      <c r="AC13" s="198">
        <f t="shared" si="1"/>
        <v>0</v>
      </c>
    </row>
    <row r="14" spans="1:29">
      <c r="A14" s="193" t="s">
        <v>51</v>
      </c>
      <c r="B14" s="193" t="s">
        <v>214</v>
      </c>
      <c r="C14" s="193"/>
      <c r="D14" s="193"/>
      <c r="E14" s="193"/>
      <c r="F14" s="193">
        <v>2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>
        <f t="shared" si="0"/>
        <v>2</v>
      </c>
      <c r="AC14" s="198">
        <f t="shared" si="1"/>
        <v>0</v>
      </c>
    </row>
    <row r="15" spans="1:29">
      <c r="A15" s="193" t="s">
        <v>53</v>
      </c>
      <c r="B15" s="193" t="s">
        <v>215</v>
      </c>
      <c r="C15" s="193"/>
      <c r="D15" s="193"/>
      <c r="E15" s="193"/>
      <c r="F15" s="193">
        <v>1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>
        <f t="shared" si="0"/>
        <v>1</v>
      </c>
      <c r="AC15" s="198">
        <f t="shared" si="1"/>
        <v>0</v>
      </c>
    </row>
    <row r="16" spans="1:29">
      <c r="A16" s="193" t="s">
        <v>55</v>
      </c>
      <c r="B16" s="193" t="s">
        <v>44</v>
      </c>
      <c r="C16" s="193"/>
      <c r="D16" s="193"/>
      <c r="E16" s="193"/>
      <c r="F16" s="193">
        <v>1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>
        <f t="shared" si="0"/>
        <v>1</v>
      </c>
      <c r="AC16" s="198">
        <f t="shared" si="1"/>
        <v>0</v>
      </c>
    </row>
    <row r="17" spans="1:29">
      <c r="A17" s="193" t="s">
        <v>57</v>
      </c>
      <c r="B17" s="193" t="s">
        <v>216</v>
      </c>
      <c r="C17" s="193"/>
      <c r="D17" s="193"/>
      <c r="E17" s="193"/>
      <c r="F17" s="193">
        <v>1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>
        <f t="shared" si="0"/>
        <v>1</v>
      </c>
      <c r="AC17" s="198">
        <f t="shared" si="1"/>
        <v>0</v>
      </c>
    </row>
    <row r="18" spans="1:29">
      <c r="A18" s="193" t="s">
        <v>59</v>
      </c>
      <c r="B18" s="193" t="s">
        <v>217</v>
      </c>
      <c r="C18" s="193"/>
      <c r="D18" s="193"/>
      <c r="E18" s="193"/>
      <c r="F18" s="193">
        <v>1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>
        <f t="shared" si="0"/>
        <v>1</v>
      </c>
      <c r="AC18" s="198">
        <f t="shared" si="1"/>
        <v>0</v>
      </c>
    </row>
    <row r="19" spans="1:29">
      <c r="A19" s="193" t="s">
        <v>61</v>
      </c>
      <c r="B19" s="193" t="s">
        <v>218</v>
      </c>
      <c r="C19" s="193"/>
      <c r="D19" s="193"/>
      <c r="E19" s="193"/>
      <c r="F19" s="193">
        <v>2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>
        <f t="shared" si="0"/>
        <v>2</v>
      </c>
      <c r="AC19" s="198">
        <f t="shared" si="1"/>
        <v>0</v>
      </c>
    </row>
    <row r="20" spans="1:29">
      <c r="A20" s="193" t="s">
        <v>63</v>
      </c>
      <c r="B20" s="193" t="s">
        <v>219</v>
      </c>
      <c r="C20" s="193"/>
      <c r="D20" s="193"/>
      <c r="E20" s="193"/>
      <c r="F20" s="193">
        <v>1</v>
      </c>
      <c r="G20" s="193">
        <v>1</v>
      </c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>
        <f t="shared" si="0"/>
        <v>2</v>
      </c>
      <c r="AC20" s="198">
        <f t="shared" si="1"/>
        <v>0</v>
      </c>
    </row>
    <row r="21" spans="1:29">
      <c r="A21" s="193" t="s">
        <v>65</v>
      </c>
      <c r="B21" s="193" t="s">
        <v>220</v>
      </c>
      <c r="C21" s="193"/>
      <c r="D21" s="193"/>
      <c r="E21" s="193"/>
      <c r="F21" s="193">
        <v>2</v>
      </c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>
        <f t="shared" si="0"/>
        <v>2</v>
      </c>
      <c r="AC21" s="198">
        <f t="shared" si="1"/>
        <v>0</v>
      </c>
    </row>
    <row r="22" spans="1:29">
      <c r="A22" s="193" t="s">
        <v>67</v>
      </c>
      <c r="B22" s="193" t="s">
        <v>204</v>
      </c>
      <c r="C22" s="193"/>
      <c r="D22" s="193"/>
      <c r="E22" s="193"/>
      <c r="F22" s="193">
        <v>2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>
        <f t="shared" si="0"/>
        <v>2</v>
      </c>
      <c r="AC22" s="198">
        <f t="shared" si="1"/>
        <v>0</v>
      </c>
    </row>
    <row r="23" spans="1:29">
      <c r="A23" s="193" t="s">
        <v>69</v>
      </c>
      <c r="B23" s="193" t="s">
        <v>221</v>
      </c>
      <c r="C23" s="193"/>
      <c r="D23" s="193"/>
      <c r="E23" s="193"/>
      <c r="F23" s="193">
        <v>3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>
        <f t="shared" si="0"/>
        <v>3</v>
      </c>
      <c r="AC23" s="198">
        <f t="shared" si="1"/>
        <v>0</v>
      </c>
    </row>
    <row r="24" spans="1:29">
      <c r="A24" s="193" t="s">
        <v>71</v>
      </c>
      <c r="B24" s="193" t="s">
        <v>222</v>
      </c>
      <c r="C24" s="193"/>
      <c r="D24" s="193"/>
      <c r="E24" s="193"/>
      <c r="F24" s="193">
        <v>2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>
        <f t="shared" si="0"/>
        <v>2</v>
      </c>
      <c r="AC24" s="198">
        <f t="shared" si="1"/>
        <v>0</v>
      </c>
    </row>
    <row r="25" spans="1:29">
      <c r="A25" s="193" t="s">
        <v>223</v>
      </c>
      <c r="B25" s="193" t="s">
        <v>224</v>
      </c>
      <c r="C25" s="193"/>
      <c r="D25" s="193"/>
      <c r="E25" s="193"/>
      <c r="F25" s="193">
        <v>2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>
        <f t="shared" si="0"/>
        <v>2</v>
      </c>
      <c r="AC25" s="198">
        <f t="shared" si="1"/>
        <v>0</v>
      </c>
    </row>
    <row r="26" spans="1:29">
      <c r="A26" s="193" t="s">
        <v>73</v>
      </c>
      <c r="B26" s="193" t="s">
        <v>225</v>
      </c>
      <c r="C26" s="193"/>
      <c r="D26" s="193"/>
      <c r="E26" s="193"/>
      <c r="F26" s="193">
        <v>1</v>
      </c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>
        <f t="shared" si="0"/>
        <v>1</v>
      </c>
      <c r="AC26" s="198">
        <f t="shared" si="1"/>
        <v>0</v>
      </c>
    </row>
    <row r="27" spans="1:29">
      <c r="A27" s="193" t="s">
        <v>75</v>
      </c>
      <c r="B27" s="193" t="s">
        <v>226</v>
      </c>
      <c r="C27" s="193"/>
      <c r="D27" s="193"/>
      <c r="E27" s="193"/>
      <c r="F27" s="193">
        <v>1</v>
      </c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>
        <f t="shared" si="0"/>
        <v>1</v>
      </c>
      <c r="AC27" s="198">
        <f t="shared" si="1"/>
        <v>0</v>
      </c>
    </row>
    <row r="28" spans="1:29">
      <c r="A28" s="193" t="s">
        <v>77</v>
      </c>
      <c r="B28" s="193" t="s">
        <v>110</v>
      </c>
      <c r="C28" s="193"/>
      <c r="D28" s="193"/>
      <c r="E28" s="193"/>
      <c r="F28" s="193"/>
      <c r="G28" s="193">
        <v>1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>
        <f t="shared" si="0"/>
        <v>1</v>
      </c>
      <c r="AC28" s="198">
        <f t="shared" si="1"/>
        <v>0</v>
      </c>
    </row>
    <row r="29" spans="1:29">
      <c r="A29" s="193" t="s">
        <v>79</v>
      </c>
      <c r="B29" s="193" t="s">
        <v>90</v>
      </c>
      <c r="C29" s="193"/>
      <c r="D29" s="193"/>
      <c r="E29" s="193"/>
      <c r="F29" s="193"/>
      <c r="G29" s="193">
        <v>3</v>
      </c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>
        <f t="shared" si="0"/>
        <v>3</v>
      </c>
      <c r="AC29" s="198">
        <f t="shared" si="1"/>
        <v>0</v>
      </c>
    </row>
    <row r="30" spans="1:29">
      <c r="A30" s="193" t="s">
        <v>81</v>
      </c>
      <c r="B30" s="193" t="s">
        <v>88</v>
      </c>
      <c r="C30" s="193"/>
      <c r="D30" s="193"/>
      <c r="E30" s="193"/>
      <c r="F30" s="193"/>
      <c r="G30" s="193">
        <v>1</v>
      </c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>
        <f t="shared" si="0"/>
        <v>1</v>
      </c>
      <c r="AC30" s="198">
        <f t="shared" si="1"/>
        <v>0</v>
      </c>
    </row>
    <row r="31" spans="1:29">
      <c r="A31" s="193" t="s">
        <v>83</v>
      </c>
      <c r="B31" s="193" t="s">
        <v>122</v>
      </c>
      <c r="C31" s="193"/>
      <c r="D31" s="193"/>
      <c r="E31" s="193"/>
      <c r="F31" s="193"/>
      <c r="G31" s="193">
        <v>5</v>
      </c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>
        <f t="shared" si="0"/>
        <v>5</v>
      </c>
      <c r="AC31" s="198">
        <f t="shared" si="1"/>
        <v>0</v>
      </c>
    </row>
    <row r="32" spans="1:29">
      <c r="A32" s="193" t="s">
        <v>85</v>
      </c>
      <c r="B32" s="193" t="s">
        <v>227</v>
      </c>
      <c r="C32" s="193"/>
      <c r="D32" s="193"/>
      <c r="E32" s="193"/>
      <c r="F32" s="193"/>
      <c r="G32" s="193">
        <v>1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>
        <f t="shared" si="0"/>
        <v>1</v>
      </c>
      <c r="AC32" s="198">
        <f t="shared" si="1"/>
        <v>0</v>
      </c>
    </row>
    <row r="33" spans="1:29">
      <c r="A33" s="193" t="s">
        <v>87</v>
      </c>
      <c r="B33" s="193" t="s">
        <v>228</v>
      </c>
      <c r="C33" s="193"/>
      <c r="D33" s="193"/>
      <c r="E33" s="193"/>
      <c r="F33" s="193"/>
      <c r="G33" s="193">
        <v>1</v>
      </c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>
        <f t="shared" si="0"/>
        <v>1</v>
      </c>
      <c r="AC33" s="198">
        <f t="shared" si="1"/>
        <v>0</v>
      </c>
    </row>
    <row r="34" spans="1:29">
      <c r="A34" s="193" t="s">
        <v>89</v>
      </c>
      <c r="B34" s="193" t="s">
        <v>229</v>
      </c>
      <c r="C34" s="193"/>
      <c r="D34" s="193"/>
      <c r="E34" s="193"/>
      <c r="F34" s="193"/>
      <c r="G34" s="193">
        <v>1</v>
      </c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>
        <f t="shared" si="0"/>
        <v>1</v>
      </c>
      <c r="AC34" s="198">
        <f t="shared" si="1"/>
        <v>0</v>
      </c>
    </row>
    <row r="35" spans="1:29">
      <c r="A35" s="193" t="s">
        <v>91</v>
      </c>
      <c r="B35" s="193" t="s">
        <v>112</v>
      </c>
      <c r="C35" s="193"/>
      <c r="D35" s="193"/>
      <c r="E35" s="193"/>
      <c r="F35" s="193"/>
      <c r="G35" s="193">
        <v>1</v>
      </c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>
        <f t="shared" si="0"/>
        <v>1</v>
      </c>
      <c r="AC35" s="198">
        <f t="shared" ref="AC35:AC64" si="2">C35*D35*AB35/1000000</f>
        <v>0</v>
      </c>
    </row>
    <row r="36" spans="1:29">
      <c r="A36" s="193" t="s">
        <v>93</v>
      </c>
      <c r="B36" s="193" t="s">
        <v>139</v>
      </c>
      <c r="C36" s="193"/>
      <c r="D36" s="193"/>
      <c r="E36" s="193"/>
      <c r="F36" s="193"/>
      <c r="G36" s="193">
        <v>2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>
        <f t="shared" si="0"/>
        <v>2</v>
      </c>
      <c r="AC36" s="198">
        <f t="shared" si="2"/>
        <v>0</v>
      </c>
    </row>
    <row r="37" spans="1:29">
      <c r="A37" s="193" t="s">
        <v>95</v>
      </c>
      <c r="B37" s="193" t="s">
        <v>230</v>
      </c>
      <c r="C37" s="193"/>
      <c r="D37" s="193"/>
      <c r="E37" s="193"/>
      <c r="F37" s="193"/>
      <c r="G37" s="193">
        <v>1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>
        <f t="shared" si="0"/>
        <v>1</v>
      </c>
      <c r="AC37" s="198">
        <f t="shared" si="2"/>
        <v>0</v>
      </c>
    </row>
    <row r="38" spans="1:29">
      <c r="A38" s="193" t="s">
        <v>97</v>
      </c>
      <c r="B38" s="193" t="s">
        <v>231</v>
      </c>
      <c r="C38" s="193"/>
      <c r="D38" s="193"/>
      <c r="E38" s="193"/>
      <c r="F38" s="193"/>
      <c r="G38" s="193">
        <v>1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>
        <f t="shared" si="0"/>
        <v>1</v>
      </c>
      <c r="AC38" s="198">
        <f t="shared" si="2"/>
        <v>0</v>
      </c>
    </row>
    <row r="39" spans="1:29">
      <c r="A39" s="193" t="s">
        <v>99</v>
      </c>
      <c r="B39" s="193" t="s">
        <v>232</v>
      </c>
      <c r="C39" s="193"/>
      <c r="D39" s="193"/>
      <c r="E39" s="193"/>
      <c r="F39" s="193"/>
      <c r="G39" s="193">
        <v>1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>
        <f t="shared" si="0"/>
        <v>1</v>
      </c>
      <c r="AC39" s="198">
        <f t="shared" si="2"/>
        <v>0</v>
      </c>
    </row>
    <row r="40" spans="1:29">
      <c r="A40" s="193" t="s">
        <v>101</v>
      </c>
      <c r="B40" s="193" t="s">
        <v>233</v>
      </c>
      <c r="C40" s="193"/>
      <c r="D40" s="193"/>
      <c r="E40" s="193"/>
      <c r="F40" s="193"/>
      <c r="G40" s="193">
        <v>1</v>
      </c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>
        <f t="shared" si="0"/>
        <v>1</v>
      </c>
      <c r="AC40" s="198">
        <f t="shared" si="2"/>
        <v>0</v>
      </c>
    </row>
    <row r="41" spans="1:29">
      <c r="A41" s="193" t="s">
        <v>103</v>
      </c>
      <c r="B41" s="193" t="s">
        <v>234</v>
      </c>
      <c r="C41" s="193"/>
      <c r="D41" s="193"/>
      <c r="E41" s="193"/>
      <c r="F41" s="193"/>
      <c r="G41" s="193">
        <v>1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>
        <f t="shared" si="0"/>
        <v>1</v>
      </c>
      <c r="AC41" s="198">
        <f t="shared" si="2"/>
        <v>0</v>
      </c>
    </row>
    <row r="42" spans="1:29">
      <c r="A42" s="193" t="s">
        <v>105</v>
      </c>
      <c r="B42" s="193" t="s">
        <v>235</v>
      </c>
      <c r="C42" s="193"/>
      <c r="D42" s="193"/>
      <c r="E42" s="193"/>
      <c r="F42" s="193"/>
      <c r="G42" s="193">
        <v>2</v>
      </c>
      <c r="H42" s="193">
        <v>4</v>
      </c>
      <c r="I42" s="193">
        <v>4</v>
      </c>
      <c r="J42" s="193">
        <v>4</v>
      </c>
      <c r="K42" s="193">
        <v>4</v>
      </c>
      <c r="L42" s="193">
        <v>4</v>
      </c>
      <c r="M42" s="193">
        <v>4</v>
      </c>
      <c r="N42" s="193">
        <v>4</v>
      </c>
      <c r="O42" s="193">
        <v>4</v>
      </c>
      <c r="P42" s="193">
        <v>4</v>
      </c>
      <c r="Q42" s="193">
        <v>4</v>
      </c>
      <c r="R42" s="193">
        <v>4</v>
      </c>
      <c r="S42" s="193">
        <v>4</v>
      </c>
      <c r="T42" s="193">
        <v>4</v>
      </c>
      <c r="U42" s="193">
        <v>4</v>
      </c>
      <c r="V42" s="193">
        <v>4</v>
      </c>
      <c r="W42" s="193">
        <v>4</v>
      </c>
      <c r="X42" s="193"/>
      <c r="Y42" s="193"/>
      <c r="Z42" s="193"/>
      <c r="AA42" s="193"/>
      <c r="AB42" s="193">
        <f t="shared" si="0"/>
        <v>66</v>
      </c>
      <c r="AC42" s="198">
        <f t="shared" si="2"/>
        <v>0</v>
      </c>
    </row>
    <row r="43" spans="1:29">
      <c r="A43" s="193" t="s">
        <v>107</v>
      </c>
      <c r="B43" s="193" t="s">
        <v>236</v>
      </c>
      <c r="C43" s="193"/>
      <c r="D43" s="193"/>
      <c r="E43" s="193"/>
      <c r="F43" s="193"/>
      <c r="G43" s="193">
        <v>2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>
        <f t="shared" si="0"/>
        <v>2</v>
      </c>
      <c r="AC43" s="198">
        <f t="shared" si="2"/>
        <v>0</v>
      </c>
    </row>
    <row r="44" spans="1:29">
      <c r="A44" s="193" t="s">
        <v>109</v>
      </c>
      <c r="B44" s="193" t="s">
        <v>237</v>
      </c>
      <c r="C44" s="193"/>
      <c r="D44" s="193"/>
      <c r="E44" s="193"/>
      <c r="F44" s="193"/>
      <c r="G44" s="193">
        <v>2</v>
      </c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>
        <f t="shared" si="0"/>
        <v>2</v>
      </c>
      <c r="AC44" s="198">
        <f t="shared" si="2"/>
        <v>0</v>
      </c>
    </row>
    <row r="45" spans="1:29">
      <c r="A45" s="193" t="s">
        <v>111</v>
      </c>
      <c r="B45" s="193" t="s">
        <v>238</v>
      </c>
      <c r="C45" s="193"/>
      <c r="D45" s="193"/>
      <c r="E45" s="193"/>
      <c r="F45" s="193"/>
      <c r="G45" s="193">
        <v>2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>
        <f t="shared" si="0"/>
        <v>2</v>
      </c>
      <c r="AC45" s="198">
        <f t="shared" si="2"/>
        <v>0</v>
      </c>
    </row>
    <row r="46" spans="1:29">
      <c r="A46" s="193" t="s">
        <v>113</v>
      </c>
      <c r="B46" s="193" t="s">
        <v>239</v>
      </c>
      <c r="C46" s="193"/>
      <c r="D46" s="193"/>
      <c r="E46" s="193"/>
      <c r="F46" s="193"/>
      <c r="G46" s="193">
        <v>1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>
        <f t="shared" si="0"/>
        <v>1</v>
      </c>
      <c r="AC46" s="198">
        <f t="shared" si="2"/>
        <v>0</v>
      </c>
    </row>
    <row r="47" spans="1:29">
      <c r="A47" s="193" t="s">
        <v>115</v>
      </c>
      <c r="B47" s="193" t="s">
        <v>153</v>
      </c>
      <c r="C47" s="193"/>
      <c r="D47" s="193"/>
      <c r="E47" s="193"/>
      <c r="F47" s="193"/>
      <c r="G47" s="193">
        <v>2</v>
      </c>
      <c r="H47" s="193">
        <v>12</v>
      </c>
      <c r="I47" s="193">
        <v>12</v>
      </c>
      <c r="J47" s="193">
        <v>12</v>
      </c>
      <c r="K47" s="193">
        <v>12</v>
      </c>
      <c r="L47" s="193">
        <v>12</v>
      </c>
      <c r="M47" s="193">
        <v>12</v>
      </c>
      <c r="N47" s="193">
        <v>12</v>
      </c>
      <c r="O47" s="193">
        <v>12</v>
      </c>
      <c r="P47" s="193">
        <v>12</v>
      </c>
      <c r="Q47" s="193">
        <v>12</v>
      </c>
      <c r="R47" s="193">
        <v>12</v>
      </c>
      <c r="S47" s="193">
        <v>12</v>
      </c>
      <c r="T47" s="193">
        <v>12</v>
      </c>
      <c r="U47" s="193">
        <v>12</v>
      </c>
      <c r="V47" s="193">
        <v>12</v>
      </c>
      <c r="W47" s="193">
        <v>12</v>
      </c>
      <c r="X47" s="193"/>
      <c r="Y47" s="193"/>
      <c r="Z47" s="193"/>
      <c r="AA47" s="193"/>
      <c r="AB47" s="193">
        <f t="shared" si="0"/>
        <v>194</v>
      </c>
      <c r="AC47" s="198">
        <f t="shared" si="2"/>
        <v>0</v>
      </c>
    </row>
    <row r="48" s="197" customFormat="1" spans="1:30">
      <c r="A48" s="196" t="s">
        <v>117</v>
      </c>
      <c r="B48" s="196" t="s">
        <v>240</v>
      </c>
      <c r="C48" s="196"/>
      <c r="D48" s="196"/>
      <c r="E48" s="196"/>
      <c r="F48" s="196"/>
      <c r="G48" s="196">
        <v>2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>
        <f t="shared" si="0"/>
        <v>2</v>
      </c>
      <c r="AC48" s="199">
        <f t="shared" si="2"/>
        <v>0</v>
      </c>
      <c r="AD48" s="197" t="s">
        <v>241</v>
      </c>
    </row>
    <row r="49" spans="1:29">
      <c r="A49" s="193" t="s">
        <v>119</v>
      </c>
      <c r="B49" s="193" t="s">
        <v>242</v>
      </c>
      <c r="C49" s="193"/>
      <c r="D49" s="193"/>
      <c r="E49" s="193"/>
      <c r="F49" s="193"/>
      <c r="G49" s="193">
        <v>2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>
        <f t="shared" si="0"/>
        <v>2</v>
      </c>
      <c r="AC49" s="198">
        <f t="shared" si="2"/>
        <v>0</v>
      </c>
    </row>
    <row r="50" spans="1:29">
      <c r="A50" s="193" t="s">
        <v>121</v>
      </c>
      <c r="B50" s="193" t="s">
        <v>243</v>
      </c>
      <c r="C50" s="193"/>
      <c r="D50" s="193"/>
      <c r="E50" s="193"/>
      <c r="F50" s="193"/>
      <c r="G50" s="193">
        <v>2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>
        <f t="shared" si="0"/>
        <v>2</v>
      </c>
      <c r="AC50" s="198">
        <f t="shared" si="2"/>
        <v>0</v>
      </c>
    </row>
    <row r="51" spans="1:29">
      <c r="A51" s="193" t="s">
        <v>123</v>
      </c>
      <c r="B51" s="193" t="s">
        <v>244</v>
      </c>
      <c r="C51" s="193"/>
      <c r="D51" s="193"/>
      <c r="E51" s="193"/>
      <c r="F51" s="193"/>
      <c r="G51" s="193">
        <v>1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>
        <f t="shared" si="0"/>
        <v>1</v>
      </c>
      <c r="AC51" s="198">
        <f t="shared" si="2"/>
        <v>0</v>
      </c>
    </row>
    <row r="52" spans="1:29">
      <c r="A52" s="193" t="s">
        <v>125</v>
      </c>
      <c r="B52" s="193" t="s">
        <v>245</v>
      </c>
      <c r="C52" s="193"/>
      <c r="D52" s="193"/>
      <c r="E52" s="193"/>
      <c r="F52" s="193"/>
      <c r="G52" s="193">
        <v>3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>
        <f t="shared" si="0"/>
        <v>3</v>
      </c>
      <c r="AC52" s="198">
        <f t="shared" si="2"/>
        <v>0</v>
      </c>
    </row>
    <row r="53" spans="1:29">
      <c r="A53" s="193" t="s">
        <v>127</v>
      </c>
      <c r="B53" s="193" t="s">
        <v>246</v>
      </c>
      <c r="C53" s="193"/>
      <c r="D53" s="193"/>
      <c r="E53" s="193"/>
      <c r="F53" s="193"/>
      <c r="G53" s="193">
        <v>2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>
        <f t="shared" si="0"/>
        <v>2</v>
      </c>
      <c r="AC53" s="198">
        <f t="shared" si="2"/>
        <v>0</v>
      </c>
    </row>
    <row r="54" spans="1:29">
      <c r="A54" s="193" t="s">
        <v>129</v>
      </c>
      <c r="B54" s="193" t="s">
        <v>247</v>
      </c>
      <c r="C54" s="193"/>
      <c r="D54" s="193"/>
      <c r="E54" s="193"/>
      <c r="F54" s="193"/>
      <c r="G54" s="193">
        <v>2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>
        <f t="shared" si="0"/>
        <v>2</v>
      </c>
      <c r="AC54" s="198">
        <f t="shared" si="2"/>
        <v>0</v>
      </c>
    </row>
    <row r="55" spans="1:29">
      <c r="A55" s="193" t="s">
        <v>131</v>
      </c>
      <c r="B55" s="194" t="s">
        <v>34</v>
      </c>
      <c r="C55" s="194"/>
      <c r="D55" s="194"/>
      <c r="E55" s="194"/>
      <c r="F55" s="194"/>
      <c r="G55" s="194">
        <v>3</v>
      </c>
      <c r="H55" s="194">
        <v>4</v>
      </c>
      <c r="I55" s="194">
        <v>4</v>
      </c>
      <c r="J55" s="194">
        <v>4</v>
      </c>
      <c r="K55" s="194">
        <v>4</v>
      </c>
      <c r="L55" s="194">
        <v>4</v>
      </c>
      <c r="M55" s="194">
        <v>4</v>
      </c>
      <c r="N55" s="194">
        <v>4</v>
      </c>
      <c r="O55" s="194">
        <v>4</v>
      </c>
      <c r="P55" s="194">
        <v>4</v>
      </c>
      <c r="Q55" s="194">
        <v>4</v>
      </c>
      <c r="R55" s="194">
        <v>4</v>
      </c>
      <c r="S55" s="194">
        <v>4</v>
      </c>
      <c r="T55" s="194">
        <v>4</v>
      </c>
      <c r="U55" s="194">
        <v>4</v>
      </c>
      <c r="V55" s="194">
        <v>4</v>
      </c>
      <c r="W55" s="194">
        <v>4</v>
      </c>
      <c r="X55" s="194"/>
      <c r="Y55" s="194"/>
      <c r="Z55" s="194"/>
      <c r="AA55" s="194"/>
      <c r="AB55" s="193">
        <f t="shared" si="0"/>
        <v>67</v>
      </c>
      <c r="AC55" s="200">
        <f t="shared" si="2"/>
        <v>0</v>
      </c>
    </row>
    <row r="56" spans="1:29">
      <c r="A56" s="193" t="s">
        <v>133</v>
      </c>
      <c r="B56" s="193" t="s">
        <v>248</v>
      </c>
      <c r="C56" s="193"/>
      <c r="D56" s="193"/>
      <c r="E56" s="193"/>
      <c r="F56" s="193"/>
      <c r="G56" s="193">
        <v>2</v>
      </c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>
        <f t="shared" si="0"/>
        <v>2</v>
      </c>
      <c r="AC56" s="198">
        <f t="shared" si="2"/>
        <v>0</v>
      </c>
    </row>
    <row r="57" spans="1:29">
      <c r="A57" s="193" t="s">
        <v>135</v>
      </c>
      <c r="B57" s="193" t="s">
        <v>249</v>
      </c>
      <c r="C57" s="193"/>
      <c r="D57" s="193"/>
      <c r="E57" s="193"/>
      <c r="F57" s="193"/>
      <c r="G57" s="193">
        <v>3</v>
      </c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>
        <f t="shared" si="0"/>
        <v>3</v>
      </c>
      <c r="AC57" s="198">
        <f t="shared" si="2"/>
        <v>0</v>
      </c>
    </row>
    <row r="58" spans="1:29">
      <c r="A58" s="193" t="s">
        <v>137</v>
      </c>
      <c r="B58" s="193" t="s">
        <v>92</v>
      </c>
      <c r="C58" s="193"/>
      <c r="D58" s="193"/>
      <c r="E58" s="193"/>
      <c r="F58" s="193"/>
      <c r="G58" s="193">
        <v>2</v>
      </c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>
        <f t="shared" si="0"/>
        <v>2</v>
      </c>
      <c r="AC58" s="198">
        <f t="shared" si="2"/>
        <v>0</v>
      </c>
    </row>
    <row r="59" spans="1:29">
      <c r="A59" s="193" t="s">
        <v>138</v>
      </c>
      <c r="B59" s="193" t="s">
        <v>250</v>
      </c>
      <c r="C59" s="193"/>
      <c r="D59" s="193"/>
      <c r="E59" s="193"/>
      <c r="F59" s="193"/>
      <c r="G59" s="193">
        <v>2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>
        <f t="shared" si="0"/>
        <v>2</v>
      </c>
      <c r="AC59" s="198">
        <f t="shared" si="2"/>
        <v>0</v>
      </c>
    </row>
    <row r="60" spans="1:29">
      <c r="A60" s="193" t="s">
        <v>140</v>
      </c>
      <c r="B60" s="193" t="s">
        <v>102</v>
      </c>
      <c r="C60" s="193"/>
      <c r="D60" s="193"/>
      <c r="E60" s="193"/>
      <c r="F60" s="193"/>
      <c r="G60" s="193">
        <v>1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>
        <f t="shared" si="0"/>
        <v>1</v>
      </c>
      <c r="AC60" s="198">
        <f t="shared" si="2"/>
        <v>0</v>
      </c>
    </row>
    <row r="61" spans="1:29">
      <c r="A61" s="193" t="s">
        <v>142</v>
      </c>
      <c r="B61" s="193" t="s">
        <v>251</v>
      </c>
      <c r="C61" s="193"/>
      <c r="D61" s="193"/>
      <c r="E61" s="193"/>
      <c r="F61" s="193"/>
      <c r="G61" s="193">
        <v>1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>
        <f t="shared" si="0"/>
        <v>1</v>
      </c>
      <c r="AC61" s="198">
        <f t="shared" si="2"/>
        <v>0</v>
      </c>
    </row>
    <row r="62" spans="1:29">
      <c r="A62" s="193" t="s">
        <v>144</v>
      </c>
      <c r="B62" s="193" t="s">
        <v>252</v>
      </c>
      <c r="C62" s="193"/>
      <c r="D62" s="193"/>
      <c r="E62" s="193"/>
      <c r="F62" s="193"/>
      <c r="G62" s="193"/>
      <c r="H62" s="193">
        <v>2</v>
      </c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>
        <f t="shared" si="0"/>
        <v>2</v>
      </c>
      <c r="AC62" s="198">
        <f t="shared" si="2"/>
        <v>0</v>
      </c>
    </row>
    <row r="63" spans="1:29">
      <c r="A63" s="193" t="s">
        <v>146</v>
      </c>
      <c r="B63" s="193" t="s">
        <v>141</v>
      </c>
      <c r="C63" s="193"/>
      <c r="D63" s="193"/>
      <c r="E63" s="193"/>
      <c r="F63" s="193"/>
      <c r="G63" s="193"/>
      <c r="H63" s="193">
        <v>2</v>
      </c>
      <c r="I63" s="193">
        <v>2</v>
      </c>
      <c r="J63" s="193">
        <v>2</v>
      </c>
      <c r="K63" s="193">
        <v>2</v>
      </c>
      <c r="L63" s="193">
        <v>2</v>
      </c>
      <c r="M63" s="193">
        <v>2</v>
      </c>
      <c r="N63" s="193">
        <v>2</v>
      </c>
      <c r="O63" s="193">
        <v>2</v>
      </c>
      <c r="P63" s="193">
        <v>2</v>
      </c>
      <c r="Q63" s="193">
        <v>2</v>
      </c>
      <c r="R63" s="193">
        <v>2</v>
      </c>
      <c r="S63" s="193">
        <v>2</v>
      </c>
      <c r="T63" s="193">
        <v>2</v>
      </c>
      <c r="U63" s="193">
        <v>2</v>
      </c>
      <c r="V63" s="193">
        <v>2</v>
      </c>
      <c r="W63" s="193">
        <v>2</v>
      </c>
      <c r="X63" s="193"/>
      <c r="Y63" s="193"/>
      <c r="Z63" s="193"/>
      <c r="AA63" s="193"/>
      <c r="AB63" s="193">
        <f t="shared" si="0"/>
        <v>32</v>
      </c>
      <c r="AC63" s="198">
        <f t="shared" si="2"/>
        <v>0</v>
      </c>
    </row>
    <row r="64" spans="1:29">
      <c r="A64" s="193" t="s">
        <v>148</v>
      </c>
      <c r="B64" s="193" t="s">
        <v>253</v>
      </c>
      <c r="C64" s="193"/>
      <c r="D64" s="193"/>
      <c r="E64" s="193"/>
      <c r="F64" s="193"/>
      <c r="G64" s="193"/>
      <c r="H64" s="193">
        <v>6</v>
      </c>
      <c r="I64" s="193">
        <v>6</v>
      </c>
      <c r="J64" s="193">
        <v>6</v>
      </c>
      <c r="K64" s="193">
        <v>6</v>
      </c>
      <c r="L64" s="193">
        <v>6</v>
      </c>
      <c r="M64" s="193">
        <v>6</v>
      </c>
      <c r="N64" s="193">
        <v>6</v>
      </c>
      <c r="O64" s="193">
        <v>6</v>
      </c>
      <c r="P64" s="193">
        <v>6</v>
      </c>
      <c r="Q64" s="193">
        <v>6</v>
      </c>
      <c r="R64" s="193">
        <v>6</v>
      </c>
      <c r="S64" s="193">
        <v>6</v>
      </c>
      <c r="T64" s="193">
        <v>6</v>
      </c>
      <c r="U64" s="193">
        <v>6</v>
      </c>
      <c r="V64" s="193">
        <v>6</v>
      </c>
      <c r="W64" s="193">
        <v>6</v>
      </c>
      <c r="X64" s="193"/>
      <c r="Y64" s="193"/>
      <c r="Z64" s="193"/>
      <c r="AA64" s="193"/>
      <c r="AB64" s="193">
        <f t="shared" si="0"/>
        <v>96</v>
      </c>
      <c r="AC64" s="198">
        <f t="shared" si="2"/>
        <v>0</v>
      </c>
    </row>
    <row r="65" spans="1:29">
      <c r="A65" s="193" t="s">
        <v>150</v>
      </c>
      <c r="B65" s="193" t="s">
        <v>254</v>
      </c>
      <c r="C65" s="193"/>
      <c r="D65" s="193"/>
      <c r="E65" s="193"/>
      <c r="F65" s="193"/>
      <c r="G65" s="193"/>
      <c r="H65" s="193">
        <v>2</v>
      </c>
      <c r="I65" s="193">
        <v>2</v>
      </c>
      <c r="J65" s="193">
        <v>2</v>
      </c>
      <c r="K65" s="193">
        <v>2</v>
      </c>
      <c r="L65" s="193">
        <v>6</v>
      </c>
      <c r="M65" s="193">
        <v>6</v>
      </c>
      <c r="N65" s="193">
        <v>6</v>
      </c>
      <c r="O65" s="193">
        <v>6</v>
      </c>
      <c r="P65" s="193">
        <v>6</v>
      </c>
      <c r="Q65" s="193">
        <v>6</v>
      </c>
      <c r="R65" s="193">
        <v>6</v>
      </c>
      <c r="S65" s="193">
        <v>6</v>
      </c>
      <c r="T65" s="193">
        <v>6</v>
      </c>
      <c r="U65" s="193">
        <v>6</v>
      </c>
      <c r="V65" s="193">
        <v>6</v>
      </c>
      <c r="W65" s="193">
        <v>6</v>
      </c>
      <c r="X65" s="193"/>
      <c r="Y65" s="193"/>
      <c r="Z65" s="193"/>
      <c r="AA65" s="193"/>
      <c r="AB65" s="193">
        <f t="shared" si="0"/>
        <v>80</v>
      </c>
      <c r="AC65" s="198">
        <f t="shared" ref="AC65:AC84" si="3">C65*D65*AB65/1000000</f>
        <v>0</v>
      </c>
    </row>
    <row r="66" spans="1:29">
      <c r="A66" s="193" t="s">
        <v>152</v>
      </c>
      <c r="B66" s="193" t="s">
        <v>143</v>
      </c>
      <c r="C66" s="193"/>
      <c r="D66" s="193"/>
      <c r="E66" s="193"/>
      <c r="F66" s="193"/>
      <c r="G66" s="193"/>
      <c r="H66" s="193">
        <v>10</v>
      </c>
      <c r="I66" s="193">
        <v>10</v>
      </c>
      <c r="J66" s="193">
        <v>10</v>
      </c>
      <c r="K66" s="193">
        <v>10</v>
      </c>
      <c r="L66" s="193">
        <v>9</v>
      </c>
      <c r="M66" s="193">
        <v>9</v>
      </c>
      <c r="N66" s="193">
        <v>9</v>
      </c>
      <c r="O66" s="193">
        <v>9</v>
      </c>
      <c r="P66" s="193">
        <v>9</v>
      </c>
      <c r="Q66" s="193">
        <v>9</v>
      </c>
      <c r="R66" s="193">
        <v>9</v>
      </c>
      <c r="S66" s="193">
        <v>9</v>
      </c>
      <c r="T66" s="193">
        <v>9</v>
      </c>
      <c r="U66" s="193">
        <v>9</v>
      </c>
      <c r="V66" s="193">
        <v>9</v>
      </c>
      <c r="W66" s="193">
        <v>9</v>
      </c>
      <c r="X66" s="193"/>
      <c r="Y66" s="193"/>
      <c r="Z66" s="193"/>
      <c r="AA66" s="193"/>
      <c r="AB66" s="193">
        <f t="shared" si="0"/>
        <v>148</v>
      </c>
      <c r="AC66" s="198">
        <f t="shared" si="3"/>
        <v>0</v>
      </c>
    </row>
    <row r="67" spans="1:29">
      <c r="A67" s="193" t="s">
        <v>154</v>
      </c>
      <c r="B67" s="193" t="s">
        <v>145</v>
      </c>
      <c r="C67" s="193"/>
      <c r="D67" s="193"/>
      <c r="E67" s="193"/>
      <c r="F67" s="193"/>
      <c r="G67" s="193"/>
      <c r="H67" s="193">
        <v>6</v>
      </c>
      <c r="I67" s="193">
        <v>6</v>
      </c>
      <c r="J67" s="193">
        <v>6</v>
      </c>
      <c r="K67" s="193">
        <v>6</v>
      </c>
      <c r="L67" s="193">
        <v>6</v>
      </c>
      <c r="M67" s="193">
        <v>6</v>
      </c>
      <c r="N67" s="193">
        <v>6</v>
      </c>
      <c r="O67" s="193">
        <v>6</v>
      </c>
      <c r="P67" s="193">
        <v>6</v>
      </c>
      <c r="Q67" s="193">
        <v>6</v>
      </c>
      <c r="R67" s="193">
        <v>6</v>
      </c>
      <c r="S67" s="193">
        <v>6</v>
      </c>
      <c r="T67" s="193">
        <v>6</v>
      </c>
      <c r="U67" s="193">
        <v>6</v>
      </c>
      <c r="V67" s="193">
        <v>6</v>
      </c>
      <c r="W67" s="193">
        <v>6</v>
      </c>
      <c r="X67" s="193"/>
      <c r="Y67" s="193"/>
      <c r="Z67" s="193"/>
      <c r="AA67" s="193"/>
      <c r="AB67" s="193">
        <f t="shared" ref="AB67:AB86" si="4">SUM(E67:AA67)</f>
        <v>96</v>
      </c>
      <c r="AC67" s="198">
        <f t="shared" si="3"/>
        <v>0</v>
      </c>
    </row>
    <row r="68" spans="1:29">
      <c r="A68" s="193" t="s">
        <v>156</v>
      </c>
      <c r="B68" s="193" t="s">
        <v>151</v>
      </c>
      <c r="C68" s="193"/>
      <c r="D68" s="193"/>
      <c r="E68" s="193"/>
      <c r="F68" s="193"/>
      <c r="G68" s="193"/>
      <c r="H68" s="193">
        <v>6</v>
      </c>
      <c r="I68" s="193">
        <v>6</v>
      </c>
      <c r="J68" s="193">
        <v>6</v>
      </c>
      <c r="K68" s="193">
        <v>6</v>
      </c>
      <c r="L68" s="193">
        <v>6</v>
      </c>
      <c r="M68" s="193">
        <v>6</v>
      </c>
      <c r="N68" s="193">
        <v>6</v>
      </c>
      <c r="O68" s="193">
        <v>6</v>
      </c>
      <c r="P68" s="193">
        <v>6</v>
      </c>
      <c r="Q68" s="193">
        <v>6</v>
      </c>
      <c r="R68" s="193">
        <v>6</v>
      </c>
      <c r="S68" s="193">
        <v>6</v>
      </c>
      <c r="T68" s="193">
        <v>6</v>
      </c>
      <c r="U68" s="193">
        <v>6</v>
      </c>
      <c r="V68" s="193">
        <v>6</v>
      </c>
      <c r="W68" s="193">
        <v>6</v>
      </c>
      <c r="X68" s="193"/>
      <c r="Y68" s="193"/>
      <c r="Z68" s="193"/>
      <c r="AA68" s="193"/>
      <c r="AB68" s="193">
        <f t="shared" si="4"/>
        <v>96</v>
      </c>
      <c r="AC68" s="198">
        <f t="shared" si="3"/>
        <v>0</v>
      </c>
    </row>
    <row r="69" spans="1:29">
      <c r="A69" s="193" t="s">
        <v>158</v>
      </c>
      <c r="B69" s="193" t="s">
        <v>255</v>
      </c>
      <c r="C69" s="193"/>
      <c r="D69" s="193"/>
      <c r="E69" s="193"/>
      <c r="F69" s="193"/>
      <c r="G69" s="193"/>
      <c r="H69" s="193">
        <v>3</v>
      </c>
      <c r="I69" s="193">
        <v>4</v>
      </c>
      <c r="J69" s="193">
        <v>4</v>
      </c>
      <c r="K69" s="193">
        <v>4</v>
      </c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>
        <f t="shared" si="4"/>
        <v>15</v>
      </c>
      <c r="AC69" s="198">
        <f t="shared" si="3"/>
        <v>0</v>
      </c>
    </row>
    <row r="70" spans="1:29">
      <c r="A70" s="193" t="s">
        <v>160</v>
      </c>
      <c r="B70" s="193" t="s">
        <v>256</v>
      </c>
      <c r="C70" s="193"/>
      <c r="D70" s="193"/>
      <c r="E70" s="193"/>
      <c r="F70" s="193"/>
      <c r="G70" s="193"/>
      <c r="H70" s="193">
        <v>2</v>
      </c>
      <c r="I70" s="193">
        <v>2</v>
      </c>
      <c r="J70" s="193">
        <v>2</v>
      </c>
      <c r="K70" s="193">
        <v>2</v>
      </c>
      <c r="L70" s="193">
        <v>2</v>
      </c>
      <c r="M70" s="193">
        <v>2</v>
      </c>
      <c r="N70" s="193">
        <v>2</v>
      </c>
      <c r="O70" s="193">
        <v>2</v>
      </c>
      <c r="P70" s="193">
        <v>2</v>
      </c>
      <c r="Q70" s="193">
        <v>2</v>
      </c>
      <c r="R70" s="193">
        <v>2</v>
      </c>
      <c r="S70" s="193">
        <v>2</v>
      </c>
      <c r="T70" s="193">
        <v>2</v>
      </c>
      <c r="U70" s="193">
        <v>2</v>
      </c>
      <c r="V70" s="193">
        <v>2</v>
      </c>
      <c r="W70" s="193">
        <v>2</v>
      </c>
      <c r="X70" s="193"/>
      <c r="Y70" s="193"/>
      <c r="Z70" s="193"/>
      <c r="AA70" s="193"/>
      <c r="AB70" s="193">
        <f t="shared" si="4"/>
        <v>32</v>
      </c>
      <c r="AC70" s="198">
        <f t="shared" si="3"/>
        <v>0</v>
      </c>
    </row>
    <row r="71" spans="1:29">
      <c r="A71" s="193" t="s">
        <v>162</v>
      </c>
      <c r="B71" s="193" t="s">
        <v>257</v>
      </c>
      <c r="C71" s="193"/>
      <c r="D71" s="193"/>
      <c r="E71" s="193"/>
      <c r="F71" s="193"/>
      <c r="G71" s="193"/>
      <c r="H71" s="193">
        <v>2</v>
      </c>
      <c r="I71" s="193">
        <v>2</v>
      </c>
      <c r="J71" s="193">
        <v>2</v>
      </c>
      <c r="K71" s="193">
        <v>2</v>
      </c>
      <c r="L71" s="193">
        <v>2</v>
      </c>
      <c r="M71" s="193">
        <v>2</v>
      </c>
      <c r="N71" s="193">
        <v>2</v>
      </c>
      <c r="O71" s="193">
        <v>2</v>
      </c>
      <c r="P71" s="193">
        <v>2</v>
      </c>
      <c r="Q71" s="193">
        <v>2</v>
      </c>
      <c r="R71" s="193">
        <v>2</v>
      </c>
      <c r="S71" s="193">
        <v>2</v>
      </c>
      <c r="T71" s="193">
        <v>2</v>
      </c>
      <c r="U71" s="193">
        <v>2</v>
      </c>
      <c r="V71" s="193">
        <v>2</v>
      </c>
      <c r="W71" s="193">
        <v>2</v>
      </c>
      <c r="X71" s="193"/>
      <c r="Y71" s="193"/>
      <c r="Z71" s="193"/>
      <c r="AA71" s="193"/>
      <c r="AB71" s="193">
        <f t="shared" si="4"/>
        <v>32</v>
      </c>
      <c r="AC71" s="198">
        <f t="shared" si="3"/>
        <v>0</v>
      </c>
    </row>
    <row r="72" spans="1:29">
      <c r="A72" s="193" t="s">
        <v>164</v>
      </c>
      <c r="B72" s="193" t="s">
        <v>258</v>
      </c>
      <c r="C72" s="193"/>
      <c r="D72" s="193"/>
      <c r="E72" s="193"/>
      <c r="F72" s="193"/>
      <c r="G72" s="193"/>
      <c r="H72" s="193">
        <v>2</v>
      </c>
      <c r="I72" s="193">
        <v>2</v>
      </c>
      <c r="J72" s="193">
        <v>2</v>
      </c>
      <c r="K72" s="193">
        <v>2</v>
      </c>
      <c r="L72" s="193">
        <v>2</v>
      </c>
      <c r="M72" s="193">
        <v>2</v>
      </c>
      <c r="N72" s="193">
        <v>2</v>
      </c>
      <c r="O72" s="193">
        <v>2</v>
      </c>
      <c r="P72" s="193">
        <v>2</v>
      </c>
      <c r="Q72" s="193">
        <v>2</v>
      </c>
      <c r="R72" s="193">
        <v>2</v>
      </c>
      <c r="S72" s="193">
        <v>2</v>
      </c>
      <c r="T72" s="193">
        <v>2</v>
      </c>
      <c r="U72" s="193">
        <v>2</v>
      </c>
      <c r="V72" s="193">
        <v>2</v>
      </c>
      <c r="W72" s="193">
        <v>2</v>
      </c>
      <c r="X72" s="193"/>
      <c r="Y72" s="193"/>
      <c r="Z72" s="193"/>
      <c r="AA72" s="193"/>
      <c r="AB72" s="193">
        <f t="shared" si="4"/>
        <v>32</v>
      </c>
      <c r="AC72" s="198">
        <f t="shared" si="3"/>
        <v>0</v>
      </c>
    </row>
    <row r="73" spans="1:29">
      <c r="A73" s="193" t="s">
        <v>166</v>
      </c>
      <c r="B73" s="193" t="s">
        <v>259</v>
      </c>
      <c r="C73" s="193"/>
      <c r="D73" s="193"/>
      <c r="E73" s="193"/>
      <c r="F73" s="193"/>
      <c r="G73" s="193"/>
      <c r="H73" s="193">
        <v>3</v>
      </c>
      <c r="I73" s="193">
        <v>3</v>
      </c>
      <c r="J73" s="193">
        <v>3</v>
      </c>
      <c r="K73" s="193">
        <v>3</v>
      </c>
      <c r="L73" s="193">
        <v>3</v>
      </c>
      <c r="M73" s="193">
        <v>3</v>
      </c>
      <c r="N73" s="193">
        <v>3</v>
      </c>
      <c r="O73" s="193">
        <v>3</v>
      </c>
      <c r="P73" s="193">
        <v>3</v>
      </c>
      <c r="Q73" s="193">
        <v>3</v>
      </c>
      <c r="R73" s="193">
        <v>3</v>
      </c>
      <c r="S73" s="193">
        <v>3</v>
      </c>
      <c r="T73" s="193">
        <v>3</v>
      </c>
      <c r="U73" s="193">
        <v>3</v>
      </c>
      <c r="V73" s="193">
        <v>3</v>
      </c>
      <c r="W73" s="193">
        <v>3</v>
      </c>
      <c r="X73" s="193"/>
      <c r="Y73" s="193"/>
      <c r="Z73" s="193"/>
      <c r="AA73" s="193"/>
      <c r="AB73" s="193">
        <f t="shared" si="4"/>
        <v>48</v>
      </c>
      <c r="AC73" s="198">
        <f t="shared" si="3"/>
        <v>0</v>
      </c>
    </row>
    <row r="74" spans="1:29">
      <c r="A74" s="193" t="s">
        <v>168</v>
      </c>
      <c r="B74" s="193" t="s">
        <v>260</v>
      </c>
      <c r="C74" s="193"/>
      <c r="D74" s="193"/>
      <c r="E74" s="193"/>
      <c r="F74" s="193"/>
      <c r="G74" s="193"/>
      <c r="H74" s="193">
        <v>3</v>
      </c>
      <c r="I74" s="193">
        <v>2</v>
      </c>
      <c r="J74" s="193">
        <v>2</v>
      </c>
      <c r="K74" s="193">
        <v>2</v>
      </c>
      <c r="L74" s="193">
        <v>6</v>
      </c>
      <c r="M74" s="193">
        <v>6</v>
      </c>
      <c r="N74" s="193">
        <v>6</v>
      </c>
      <c r="O74" s="193">
        <v>6</v>
      </c>
      <c r="P74" s="193">
        <v>6</v>
      </c>
      <c r="Q74" s="193">
        <v>6</v>
      </c>
      <c r="R74" s="193">
        <v>6</v>
      </c>
      <c r="S74" s="193">
        <v>6</v>
      </c>
      <c r="T74" s="193">
        <v>6</v>
      </c>
      <c r="U74" s="193">
        <v>6</v>
      </c>
      <c r="V74" s="193">
        <v>6</v>
      </c>
      <c r="W74" s="193">
        <v>6</v>
      </c>
      <c r="X74" s="193"/>
      <c r="Y74" s="193"/>
      <c r="Z74" s="193"/>
      <c r="AA74" s="193"/>
      <c r="AB74" s="193">
        <f t="shared" si="4"/>
        <v>81</v>
      </c>
      <c r="AC74" s="198">
        <f t="shared" si="3"/>
        <v>0</v>
      </c>
    </row>
    <row r="75" spans="1:29">
      <c r="A75" s="193" t="s">
        <v>170</v>
      </c>
      <c r="B75" s="193" t="s">
        <v>261</v>
      </c>
      <c r="C75" s="193"/>
      <c r="D75" s="193"/>
      <c r="E75" s="193"/>
      <c r="F75" s="193"/>
      <c r="G75" s="193"/>
      <c r="H75" s="193">
        <v>4</v>
      </c>
      <c r="I75" s="193">
        <v>4</v>
      </c>
      <c r="J75" s="193">
        <v>4</v>
      </c>
      <c r="K75" s="193">
        <v>4</v>
      </c>
      <c r="L75" s="193">
        <v>4</v>
      </c>
      <c r="M75" s="193">
        <v>4</v>
      </c>
      <c r="N75" s="193">
        <v>4</v>
      </c>
      <c r="O75" s="193">
        <v>4</v>
      </c>
      <c r="P75" s="193">
        <v>4</v>
      </c>
      <c r="Q75" s="193">
        <v>4</v>
      </c>
      <c r="R75" s="193">
        <v>4</v>
      </c>
      <c r="S75" s="193">
        <v>4</v>
      </c>
      <c r="T75" s="193">
        <v>4</v>
      </c>
      <c r="U75" s="193">
        <v>4</v>
      </c>
      <c r="V75" s="193">
        <v>4</v>
      </c>
      <c r="W75" s="193">
        <v>4</v>
      </c>
      <c r="X75" s="193"/>
      <c r="Y75" s="193"/>
      <c r="Z75" s="193"/>
      <c r="AA75" s="193"/>
      <c r="AB75" s="193">
        <f t="shared" si="4"/>
        <v>64</v>
      </c>
      <c r="AC75" s="198">
        <f t="shared" si="3"/>
        <v>0</v>
      </c>
    </row>
    <row r="76" spans="1:29">
      <c r="A76" s="193" t="s">
        <v>172</v>
      </c>
      <c r="B76" s="193" t="s">
        <v>179</v>
      </c>
      <c r="C76" s="193"/>
      <c r="D76" s="193"/>
      <c r="E76" s="193"/>
      <c r="F76" s="193"/>
      <c r="G76" s="193"/>
      <c r="H76" s="193"/>
      <c r="I76" s="193">
        <v>2</v>
      </c>
      <c r="J76" s="193">
        <v>2</v>
      </c>
      <c r="K76" s="193">
        <v>2</v>
      </c>
      <c r="L76" s="193">
        <v>2</v>
      </c>
      <c r="M76" s="193">
        <v>2</v>
      </c>
      <c r="N76" s="193">
        <v>2</v>
      </c>
      <c r="O76" s="193">
        <v>2</v>
      </c>
      <c r="P76" s="193">
        <v>2</v>
      </c>
      <c r="Q76" s="193">
        <v>2</v>
      </c>
      <c r="R76" s="193">
        <v>2</v>
      </c>
      <c r="S76" s="193">
        <v>2</v>
      </c>
      <c r="T76" s="193">
        <v>2</v>
      </c>
      <c r="U76" s="193">
        <v>2</v>
      </c>
      <c r="V76" s="193">
        <v>2</v>
      </c>
      <c r="W76" s="193">
        <v>2</v>
      </c>
      <c r="X76" s="193"/>
      <c r="Y76" s="193"/>
      <c r="Z76" s="193"/>
      <c r="AA76" s="193"/>
      <c r="AB76" s="193">
        <f t="shared" si="4"/>
        <v>30</v>
      </c>
      <c r="AC76" s="198">
        <f t="shared" si="3"/>
        <v>0</v>
      </c>
    </row>
    <row r="77" spans="1:29">
      <c r="A77" s="193" t="s">
        <v>174</v>
      </c>
      <c r="B77" s="193" t="s">
        <v>262</v>
      </c>
      <c r="C77" s="193"/>
      <c r="D77" s="193"/>
      <c r="E77" s="193"/>
      <c r="F77" s="193"/>
      <c r="G77" s="193"/>
      <c r="H77" s="193"/>
      <c r="I77" s="193">
        <v>4</v>
      </c>
      <c r="J77" s="193">
        <v>4</v>
      </c>
      <c r="K77" s="193">
        <v>4</v>
      </c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>
        <f t="shared" si="4"/>
        <v>12</v>
      </c>
      <c r="AC77" s="198">
        <f t="shared" si="3"/>
        <v>0</v>
      </c>
    </row>
    <row r="78" spans="1:29">
      <c r="A78" s="193" t="s">
        <v>176</v>
      </c>
      <c r="B78" s="193" t="s">
        <v>147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>
        <v>1</v>
      </c>
      <c r="M78" s="193">
        <v>1</v>
      </c>
      <c r="N78" s="193">
        <v>1</v>
      </c>
      <c r="O78" s="193">
        <v>1</v>
      </c>
      <c r="P78" s="193">
        <v>1</v>
      </c>
      <c r="Q78" s="193">
        <v>1</v>
      </c>
      <c r="R78" s="193">
        <v>1</v>
      </c>
      <c r="S78" s="193">
        <v>1</v>
      </c>
      <c r="T78" s="193">
        <v>1</v>
      </c>
      <c r="U78" s="193">
        <v>1</v>
      </c>
      <c r="V78" s="193">
        <v>1</v>
      </c>
      <c r="W78" s="193">
        <v>1</v>
      </c>
      <c r="X78" s="193"/>
      <c r="Y78" s="193"/>
      <c r="Z78" s="193"/>
      <c r="AA78" s="193"/>
      <c r="AB78" s="193">
        <f t="shared" si="4"/>
        <v>12</v>
      </c>
      <c r="AC78" s="198">
        <f t="shared" si="3"/>
        <v>0</v>
      </c>
    </row>
    <row r="79" spans="1:29">
      <c r="A79" s="193" t="s">
        <v>178</v>
      </c>
      <c r="B79" s="193" t="s">
        <v>191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>
        <v>6</v>
      </c>
      <c r="AB79" s="193">
        <f t="shared" si="4"/>
        <v>6</v>
      </c>
      <c r="AC79" s="198">
        <f t="shared" si="3"/>
        <v>0</v>
      </c>
    </row>
    <row r="80" spans="1:29">
      <c r="A80" s="193" t="s">
        <v>180</v>
      </c>
      <c r="B80" s="193" t="s">
        <v>263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>
        <v>3</v>
      </c>
      <c r="AB80" s="193">
        <f t="shared" si="4"/>
        <v>3</v>
      </c>
      <c r="AC80" s="198">
        <f t="shared" si="3"/>
        <v>0</v>
      </c>
    </row>
    <row r="81" spans="1:29">
      <c r="A81" s="193" t="s">
        <v>182</v>
      </c>
      <c r="B81" s="193" t="s">
        <v>264</v>
      </c>
      <c r="C81" s="193"/>
      <c r="D81" s="193"/>
      <c r="E81" s="193"/>
      <c r="F81" s="193"/>
      <c r="G81" s="193">
        <v>3</v>
      </c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>
        <f t="shared" si="4"/>
        <v>3</v>
      </c>
      <c r="AC81" s="198">
        <f t="shared" si="3"/>
        <v>0</v>
      </c>
    </row>
    <row r="82" spans="1:29">
      <c r="A82" s="193" t="s">
        <v>184</v>
      </c>
      <c r="B82" s="193" t="s">
        <v>265</v>
      </c>
      <c r="C82" s="193"/>
      <c r="D82" s="193"/>
      <c r="E82" s="193"/>
      <c r="F82" s="193">
        <v>1</v>
      </c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>
        <f t="shared" si="4"/>
        <v>1</v>
      </c>
      <c r="AC82" s="198">
        <f t="shared" si="3"/>
        <v>0</v>
      </c>
    </row>
    <row r="83" spans="1:29">
      <c r="A83" s="193" t="s">
        <v>186</v>
      </c>
      <c r="B83" s="193" t="s">
        <v>266</v>
      </c>
      <c r="C83" s="193"/>
      <c r="D83" s="193"/>
      <c r="E83" s="193"/>
      <c r="F83" s="193"/>
      <c r="G83" s="193">
        <v>2</v>
      </c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>
        <f t="shared" si="4"/>
        <v>2</v>
      </c>
      <c r="AC83" s="193">
        <f t="shared" si="3"/>
        <v>0</v>
      </c>
    </row>
    <row r="84" spans="1:29">
      <c r="A84" s="193" t="s">
        <v>188</v>
      </c>
      <c r="B84" s="193" t="s">
        <v>267</v>
      </c>
      <c r="C84" s="193"/>
      <c r="D84" s="193"/>
      <c r="E84" s="193"/>
      <c r="F84" s="193"/>
      <c r="G84" s="193">
        <v>2</v>
      </c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>
        <f t="shared" si="4"/>
        <v>2</v>
      </c>
      <c r="AC84" s="193">
        <f t="shared" si="3"/>
        <v>0</v>
      </c>
    </row>
    <row r="85" spans="1:29">
      <c r="A85" s="193" t="s">
        <v>190</v>
      </c>
      <c r="B85" s="193" t="s">
        <v>268</v>
      </c>
      <c r="C85" s="193"/>
      <c r="D85" s="193"/>
      <c r="E85" s="193"/>
      <c r="F85" s="193">
        <v>9</v>
      </c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>
        <f t="shared" si="4"/>
        <v>9</v>
      </c>
      <c r="AC85" s="193"/>
    </row>
    <row r="86" spans="1:29">
      <c r="A86" s="193" t="s">
        <v>192</v>
      </c>
      <c r="B86" s="193" t="s">
        <v>269</v>
      </c>
      <c r="C86" s="193"/>
      <c r="D86" s="193"/>
      <c r="E86" s="193"/>
      <c r="F86" s="193">
        <v>5</v>
      </c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>
        <f t="shared" si="4"/>
        <v>5</v>
      </c>
      <c r="AC86" s="193"/>
    </row>
    <row r="87" spans="28:28">
      <c r="AB87" s="20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92" t="s">
        <v>270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</row>
    <row r="2" spans="1:29">
      <c r="A2" s="193" t="s">
        <v>1</v>
      </c>
      <c r="B2" s="193" t="s">
        <v>2</v>
      </c>
      <c r="C2" s="193" t="s">
        <v>3</v>
      </c>
      <c r="D2" s="193" t="s">
        <v>4</v>
      </c>
      <c r="E2" s="193" t="s">
        <v>5</v>
      </c>
      <c r="F2" s="193" t="s">
        <v>6</v>
      </c>
      <c r="G2" s="193" t="s">
        <v>7</v>
      </c>
      <c r="H2" s="193" t="s">
        <v>8</v>
      </c>
      <c r="I2" s="193" t="s">
        <v>9</v>
      </c>
      <c r="J2" s="193" t="s">
        <v>10</v>
      </c>
      <c r="K2" s="193" t="s">
        <v>11</v>
      </c>
      <c r="L2" s="193" t="s">
        <v>12</v>
      </c>
      <c r="M2" s="193" t="s">
        <v>13</v>
      </c>
      <c r="N2" s="193" t="s">
        <v>14</v>
      </c>
      <c r="O2" s="193" t="s">
        <v>15</v>
      </c>
      <c r="P2" s="193" t="s">
        <v>16</v>
      </c>
      <c r="Q2" s="193" t="s">
        <v>17</v>
      </c>
      <c r="R2" s="193" t="s">
        <v>18</v>
      </c>
      <c r="S2" s="193" t="s">
        <v>19</v>
      </c>
      <c r="T2" s="193" t="s">
        <v>20</v>
      </c>
      <c r="U2" s="193" t="s">
        <v>21</v>
      </c>
      <c r="V2" s="193" t="s">
        <v>22</v>
      </c>
      <c r="W2" s="193" t="s">
        <v>23</v>
      </c>
      <c r="X2" s="193" t="s">
        <v>24</v>
      </c>
      <c r="Y2" s="193" t="s">
        <v>25</v>
      </c>
      <c r="Z2" s="193" t="s">
        <v>26</v>
      </c>
      <c r="AA2" s="193" t="s">
        <v>27</v>
      </c>
      <c r="AB2" s="193" t="s">
        <v>28</v>
      </c>
      <c r="AC2" s="193" t="s">
        <v>206</v>
      </c>
    </row>
    <row r="3" spans="1:29">
      <c r="A3" s="193" t="s">
        <v>29</v>
      </c>
      <c r="B3" s="193" t="s">
        <v>271</v>
      </c>
      <c r="C3" s="193">
        <v>900</v>
      </c>
      <c r="D3" s="193">
        <v>2200</v>
      </c>
      <c r="E3" s="193">
        <v>1</v>
      </c>
      <c r="F3" s="195">
        <v>1</v>
      </c>
      <c r="G3" s="193"/>
      <c r="H3" s="193">
        <v>1</v>
      </c>
      <c r="I3" s="193">
        <v>1</v>
      </c>
      <c r="J3" s="193">
        <v>1</v>
      </c>
      <c r="K3" s="193">
        <v>1</v>
      </c>
      <c r="L3" s="193">
        <v>1</v>
      </c>
      <c r="M3" s="193">
        <v>1</v>
      </c>
      <c r="N3" s="193">
        <v>1</v>
      </c>
      <c r="O3" s="193">
        <v>1</v>
      </c>
      <c r="P3" s="193">
        <v>1</v>
      </c>
      <c r="Q3" s="193">
        <v>1</v>
      </c>
      <c r="R3" s="193">
        <v>1</v>
      </c>
      <c r="S3" s="193">
        <v>1</v>
      </c>
      <c r="T3" s="193">
        <v>1</v>
      </c>
      <c r="U3" s="193">
        <v>1</v>
      </c>
      <c r="V3" s="193">
        <v>1</v>
      </c>
      <c r="W3" s="193">
        <v>1</v>
      </c>
      <c r="X3" s="193">
        <v>1</v>
      </c>
      <c r="Y3" s="193">
        <v>1</v>
      </c>
      <c r="Z3" s="193">
        <v>1</v>
      </c>
      <c r="AA3" s="193"/>
      <c r="AB3" s="193">
        <f>SUM(E3:AA3)</f>
        <v>21</v>
      </c>
      <c r="AC3" s="193"/>
    </row>
    <row r="4" spans="1:29">
      <c r="A4" s="193" t="s">
        <v>31</v>
      </c>
      <c r="B4" s="193" t="s">
        <v>40</v>
      </c>
      <c r="C4" s="193">
        <v>900</v>
      </c>
      <c r="D4" s="193">
        <v>1200</v>
      </c>
      <c r="E4" s="193">
        <v>2</v>
      </c>
      <c r="F4" s="195">
        <v>2</v>
      </c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>
        <f t="shared" ref="AB4:AB61" si="0">SUM(E4:AA4)</f>
        <v>4</v>
      </c>
      <c r="AC4" s="193"/>
    </row>
    <row r="5" spans="1:29">
      <c r="A5" s="193" t="s">
        <v>33</v>
      </c>
      <c r="B5" s="193" t="s">
        <v>272</v>
      </c>
      <c r="C5" s="193">
        <v>1600</v>
      </c>
      <c r="D5" s="193">
        <v>1500</v>
      </c>
      <c r="E5" s="193">
        <v>1</v>
      </c>
      <c r="F5" s="195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>
        <f t="shared" si="0"/>
        <v>1</v>
      </c>
      <c r="AC5" s="193"/>
    </row>
    <row r="6" spans="1:29">
      <c r="A6" s="193" t="s">
        <v>35</v>
      </c>
      <c r="B6" s="193" t="s">
        <v>273</v>
      </c>
      <c r="C6" s="193">
        <v>1700</v>
      </c>
      <c r="D6" s="193">
        <v>2000</v>
      </c>
      <c r="E6" s="193">
        <v>1</v>
      </c>
      <c r="F6" s="195">
        <v>1</v>
      </c>
      <c r="G6" s="193"/>
      <c r="H6" s="193">
        <v>1</v>
      </c>
      <c r="I6" s="193">
        <v>1</v>
      </c>
      <c r="J6" s="193">
        <v>1</v>
      </c>
      <c r="K6" s="193">
        <v>1</v>
      </c>
      <c r="L6" s="193">
        <v>1</v>
      </c>
      <c r="M6" s="193">
        <v>1</v>
      </c>
      <c r="N6" s="193">
        <v>1</v>
      </c>
      <c r="O6" s="193">
        <v>1</v>
      </c>
      <c r="P6" s="193">
        <v>1</v>
      </c>
      <c r="Q6" s="193">
        <v>1</v>
      </c>
      <c r="R6" s="193">
        <v>1</v>
      </c>
      <c r="S6" s="193">
        <v>1</v>
      </c>
      <c r="T6" s="193">
        <v>1</v>
      </c>
      <c r="U6" s="193">
        <v>1</v>
      </c>
      <c r="V6" s="193">
        <v>1</v>
      </c>
      <c r="W6" s="193">
        <v>1</v>
      </c>
      <c r="X6" s="193">
        <v>1</v>
      </c>
      <c r="Y6" s="193">
        <v>1</v>
      </c>
      <c r="Z6" s="193">
        <v>1</v>
      </c>
      <c r="AA6" s="193"/>
      <c r="AB6" s="193">
        <f t="shared" si="0"/>
        <v>21</v>
      </c>
      <c r="AC6" s="193"/>
    </row>
    <row r="7" spans="1:29">
      <c r="A7" s="193" t="s">
        <v>37</v>
      </c>
      <c r="B7" s="193" t="s">
        <v>274</v>
      </c>
      <c r="C7" s="193">
        <v>3100</v>
      </c>
      <c r="D7" s="193">
        <v>2100</v>
      </c>
      <c r="E7" s="193"/>
      <c r="F7" s="193">
        <v>3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>
        <f t="shared" si="0"/>
        <v>3</v>
      </c>
      <c r="AC7" s="193"/>
    </row>
    <row r="8" spans="1:29">
      <c r="A8" s="193" t="s">
        <v>39</v>
      </c>
      <c r="B8" s="196" t="s">
        <v>268</v>
      </c>
      <c r="C8" s="193">
        <v>1500</v>
      </c>
      <c r="D8" s="193">
        <v>2400</v>
      </c>
      <c r="E8" s="193"/>
      <c r="F8" s="193">
        <v>4</v>
      </c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>
        <f t="shared" si="0"/>
        <v>4</v>
      </c>
      <c r="AC8" s="193"/>
    </row>
    <row r="9" spans="1:29">
      <c r="A9" s="193" t="s">
        <v>41</v>
      </c>
      <c r="B9" s="193" t="s">
        <v>275</v>
      </c>
      <c r="C9" s="193"/>
      <c r="D9" s="193"/>
      <c r="E9" s="193"/>
      <c r="F9" s="193">
        <v>1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>
        <f t="shared" si="0"/>
        <v>1</v>
      </c>
      <c r="AC9" s="193"/>
    </row>
    <row r="10" spans="1:29">
      <c r="A10" s="193" t="s">
        <v>43</v>
      </c>
      <c r="B10" s="193" t="s">
        <v>276</v>
      </c>
      <c r="C10" s="193"/>
      <c r="D10" s="193"/>
      <c r="E10" s="193"/>
      <c r="F10" s="193">
        <v>1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>
        <f t="shared" si="0"/>
        <v>1</v>
      </c>
      <c r="AC10" s="193"/>
    </row>
    <row r="11" spans="1:29">
      <c r="A11" s="193" t="s">
        <v>45</v>
      </c>
      <c r="B11" s="193" t="s">
        <v>70</v>
      </c>
      <c r="C11" s="193"/>
      <c r="D11" s="193"/>
      <c r="E11" s="193"/>
      <c r="F11" s="193">
        <v>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>
        <f t="shared" si="0"/>
        <v>5</v>
      </c>
      <c r="AC11" s="193"/>
    </row>
    <row r="12" spans="1:29">
      <c r="A12" s="193" t="s">
        <v>47</v>
      </c>
      <c r="B12" s="193" t="s">
        <v>277</v>
      </c>
      <c r="C12" s="193"/>
      <c r="D12" s="193"/>
      <c r="E12" s="193"/>
      <c r="F12" s="193">
        <v>2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>
        <f t="shared" si="0"/>
        <v>2</v>
      </c>
      <c r="AC12" s="193"/>
    </row>
    <row r="13" spans="1:29">
      <c r="A13" s="193" t="s">
        <v>49</v>
      </c>
      <c r="B13" s="193" t="s">
        <v>278</v>
      </c>
      <c r="C13" s="193"/>
      <c r="D13" s="193"/>
      <c r="E13" s="193"/>
      <c r="F13" s="193">
        <v>1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>
        <f t="shared" si="0"/>
        <v>1</v>
      </c>
      <c r="AC13" s="193"/>
    </row>
    <row r="14" spans="1:29">
      <c r="A14" s="193" t="s">
        <v>51</v>
      </c>
      <c r="B14" s="193" t="s">
        <v>279</v>
      </c>
      <c r="C14" s="193"/>
      <c r="D14" s="193"/>
      <c r="E14" s="193"/>
      <c r="F14" s="193">
        <v>1</v>
      </c>
      <c r="G14" s="193"/>
      <c r="H14" s="193"/>
      <c r="I14" s="193"/>
      <c r="J14" s="193">
        <v>1</v>
      </c>
      <c r="K14" s="193">
        <v>1</v>
      </c>
      <c r="L14" s="193">
        <v>1</v>
      </c>
      <c r="M14" s="193">
        <v>1</v>
      </c>
      <c r="N14" s="193">
        <v>1</v>
      </c>
      <c r="O14" s="193">
        <v>1</v>
      </c>
      <c r="P14" s="193">
        <v>1</v>
      </c>
      <c r="Q14" s="193">
        <v>1</v>
      </c>
      <c r="R14" s="193">
        <v>1</v>
      </c>
      <c r="S14" s="193">
        <v>1</v>
      </c>
      <c r="T14" s="193">
        <v>1</v>
      </c>
      <c r="U14" s="193">
        <v>1</v>
      </c>
      <c r="V14" s="193">
        <v>1</v>
      </c>
      <c r="W14" s="193">
        <v>1</v>
      </c>
      <c r="X14" s="193">
        <v>1</v>
      </c>
      <c r="Y14" s="193">
        <v>1</v>
      </c>
      <c r="Z14" s="193">
        <v>1</v>
      </c>
      <c r="AA14" s="193"/>
      <c r="AB14" s="193">
        <f t="shared" si="0"/>
        <v>18</v>
      </c>
      <c r="AC14" s="193"/>
    </row>
    <row r="15" spans="1:29">
      <c r="A15" s="193" t="s">
        <v>53</v>
      </c>
      <c r="B15" s="193" t="s">
        <v>280</v>
      </c>
      <c r="C15" s="193"/>
      <c r="D15" s="193"/>
      <c r="E15" s="193"/>
      <c r="F15" s="193"/>
      <c r="G15" s="193">
        <v>3</v>
      </c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>
        <f t="shared" si="0"/>
        <v>3</v>
      </c>
      <c r="AC15" s="193"/>
    </row>
    <row r="16" spans="1:29">
      <c r="A16" s="193" t="s">
        <v>55</v>
      </c>
      <c r="B16" s="193" t="s">
        <v>281</v>
      </c>
      <c r="C16" s="193"/>
      <c r="D16" s="193"/>
      <c r="E16" s="193"/>
      <c r="F16" s="193"/>
      <c r="G16" s="193">
        <v>2</v>
      </c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>
        <f t="shared" si="0"/>
        <v>2</v>
      </c>
      <c r="AC16" s="193"/>
    </row>
    <row r="17" spans="1:29">
      <c r="A17" s="193" t="s">
        <v>57</v>
      </c>
      <c r="B17" s="193" t="s">
        <v>151</v>
      </c>
      <c r="C17" s="193"/>
      <c r="D17" s="193"/>
      <c r="E17" s="193"/>
      <c r="F17" s="193"/>
      <c r="G17" s="193">
        <v>3</v>
      </c>
      <c r="H17" s="193">
        <v>4</v>
      </c>
      <c r="I17" s="193">
        <v>4</v>
      </c>
      <c r="J17" s="193">
        <v>4</v>
      </c>
      <c r="K17" s="193">
        <v>4</v>
      </c>
      <c r="L17" s="193">
        <v>4</v>
      </c>
      <c r="M17" s="193">
        <v>4</v>
      </c>
      <c r="N17" s="193">
        <v>4</v>
      </c>
      <c r="O17" s="193">
        <v>4</v>
      </c>
      <c r="P17" s="193">
        <v>4</v>
      </c>
      <c r="Q17" s="193">
        <v>4</v>
      </c>
      <c r="R17" s="193">
        <v>4</v>
      </c>
      <c r="S17" s="193">
        <v>4</v>
      </c>
      <c r="T17" s="193">
        <v>4</v>
      </c>
      <c r="U17" s="193">
        <v>4</v>
      </c>
      <c r="V17" s="193">
        <v>4</v>
      </c>
      <c r="W17" s="193">
        <v>4</v>
      </c>
      <c r="X17" s="193">
        <v>4</v>
      </c>
      <c r="Y17" s="193">
        <v>4</v>
      </c>
      <c r="Z17" s="193">
        <v>4</v>
      </c>
      <c r="AA17" s="193"/>
      <c r="AB17" s="193">
        <f t="shared" si="0"/>
        <v>79</v>
      </c>
      <c r="AC17" s="193"/>
    </row>
    <row r="18" spans="1:29">
      <c r="A18" s="193" t="s">
        <v>59</v>
      </c>
      <c r="B18" s="193" t="s">
        <v>282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>
        <f t="shared" si="0"/>
        <v>0</v>
      </c>
      <c r="AC18" s="193"/>
    </row>
    <row r="19" spans="1:29">
      <c r="A19" s="193" t="s">
        <v>61</v>
      </c>
      <c r="B19" s="193" t="s">
        <v>235</v>
      </c>
      <c r="C19" s="193"/>
      <c r="D19" s="193"/>
      <c r="E19" s="193"/>
      <c r="F19" s="193"/>
      <c r="G19" s="193">
        <v>5</v>
      </c>
      <c r="H19" s="193">
        <v>6</v>
      </c>
      <c r="I19" s="193">
        <v>6</v>
      </c>
      <c r="J19" s="193">
        <v>6</v>
      </c>
      <c r="K19" s="193">
        <v>6</v>
      </c>
      <c r="L19" s="193">
        <v>6</v>
      </c>
      <c r="M19" s="193">
        <v>6</v>
      </c>
      <c r="N19" s="193">
        <v>6</v>
      </c>
      <c r="O19" s="193">
        <v>6</v>
      </c>
      <c r="P19" s="193">
        <v>6</v>
      </c>
      <c r="Q19" s="193">
        <v>6</v>
      </c>
      <c r="R19" s="193">
        <v>6</v>
      </c>
      <c r="S19" s="193">
        <v>6</v>
      </c>
      <c r="T19" s="193">
        <v>6</v>
      </c>
      <c r="U19" s="193">
        <v>6</v>
      </c>
      <c r="V19" s="193">
        <v>6</v>
      </c>
      <c r="W19" s="193">
        <v>6</v>
      </c>
      <c r="X19" s="193">
        <v>6</v>
      </c>
      <c r="Y19" s="193">
        <v>6</v>
      </c>
      <c r="Z19" s="193">
        <v>6</v>
      </c>
      <c r="AA19" s="193"/>
      <c r="AB19" s="193">
        <f t="shared" si="0"/>
        <v>119</v>
      </c>
      <c r="AC19" s="193"/>
    </row>
    <row r="20" spans="1:29">
      <c r="A20" s="193" t="s">
        <v>63</v>
      </c>
      <c r="B20" s="193" t="s">
        <v>283</v>
      </c>
      <c r="C20" s="193"/>
      <c r="D20" s="193"/>
      <c r="E20" s="193"/>
      <c r="F20" s="193"/>
      <c r="G20" s="193">
        <v>1</v>
      </c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>
        <f t="shared" si="0"/>
        <v>1</v>
      </c>
      <c r="AC20" s="193"/>
    </row>
    <row r="21" spans="1:29">
      <c r="A21" s="193" t="s">
        <v>65</v>
      </c>
      <c r="B21" s="193" t="s">
        <v>153</v>
      </c>
      <c r="C21" s="193"/>
      <c r="D21" s="193"/>
      <c r="E21" s="193"/>
      <c r="F21" s="193"/>
      <c r="G21" s="193">
        <v>2</v>
      </c>
      <c r="H21" s="193">
        <v>4</v>
      </c>
      <c r="I21" s="193">
        <v>4</v>
      </c>
      <c r="J21" s="193">
        <v>4</v>
      </c>
      <c r="K21" s="193">
        <v>4</v>
      </c>
      <c r="L21" s="193">
        <v>4</v>
      </c>
      <c r="M21" s="193">
        <v>4</v>
      </c>
      <c r="N21" s="193">
        <v>4</v>
      </c>
      <c r="O21" s="193">
        <v>4</v>
      </c>
      <c r="P21" s="193">
        <v>4</v>
      </c>
      <c r="Q21" s="193">
        <v>4</v>
      </c>
      <c r="R21" s="193">
        <v>4</v>
      </c>
      <c r="S21" s="193">
        <v>4</v>
      </c>
      <c r="T21" s="193">
        <v>4</v>
      </c>
      <c r="U21" s="193">
        <v>4</v>
      </c>
      <c r="V21" s="193">
        <v>4</v>
      </c>
      <c r="W21" s="193">
        <v>4</v>
      </c>
      <c r="X21" s="193">
        <v>4</v>
      </c>
      <c r="Y21" s="193">
        <v>4</v>
      </c>
      <c r="Z21" s="193">
        <v>4</v>
      </c>
      <c r="AA21" s="193"/>
      <c r="AB21" s="193">
        <f t="shared" si="0"/>
        <v>78</v>
      </c>
      <c r="AC21" s="193"/>
    </row>
    <row r="22" spans="1:29">
      <c r="A22" s="193" t="s">
        <v>67</v>
      </c>
      <c r="B22" s="193" t="s">
        <v>284</v>
      </c>
      <c r="C22" s="193"/>
      <c r="D22" s="193"/>
      <c r="E22" s="193"/>
      <c r="F22" s="193"/>
      <c r="G22" s="193">
        <v>1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>
        <f t="shared" si="0"/>
        <v>1</v>
      </c>
      <c r="AC22" s="193"/>
    </row>
    <row r="23" spans="1:29">
      <c r="A23" s="193" t="s">
        <v>69</v>
      </c>
      <c r="B23" s="193" t="s">
        <v>285</v>
      </c>
      <c r="C23" s="193"/>
      <c r="D23" s="193"/>
      <c r="E23" s="193"/>
      <c r="F23" s="193"/>
      <c r="G23" s="193">
        <v>1</v>
      </c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>
        <f t="shared" si="0"/>
        <v>1</v>
      </c>
      <c r="AC23" s="193"/>
    </row>
    <row r="24" spans="1:29">
      <c r="A24" s="193" t="s">
        <v>71</v>
      </c>
      <c r="B24" s="193" t="s">
        <v>286</v>
      </c>
      <c r="C24" s="193"/>
      <c r="D24" s="193"/>
      <c r="E24" s="193"/>
      <c r="F24" s="193"/>
      <c r="G24" s="193">
        <v>2</v>
      </c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>
        <f t="shared" si="0"/>
        <v>2</v>
      </c>
      <c r="AC24" s="193"/>
    </row>
    <row r="25" spans="1:29">
      <c r="A25" s="193" t="s">
        <v>223</v>
      </c>
      <c r="B25" s="193" t="s">
        <v>287</v>
      </c>
      <c r="C25" s="193"/>
      <c r="D25" s="193"/>
      <c r="E25" s="193"/>
      <c r="F25" s="193"/>
      <c r="G25" s="193">
        <v>2</v>
      </c>
      <c r="H25" s="193">
        <v>2</v>
      </c>
      <c r="I25" s="193">
        <v>2</v>
      </c>
      <c r="J25" s="193">
        <v>2</v>
      </c>
      <c r="K25" s="193">
        <v>2</v>
      </c>
      <c r="L25" s="193">
        <v>2</v>
      </c>
      <c r="M25" s="193">
        <v>2</v>
      </c>
      <c r="N25" s="193">
        <v>2</v>
      </c>
      <c r="O25" s="193">
        <v>2</v>
      </c>
      <c r="P25" s="193">
        <v>2</v>
      </c>
      <c r="Q25" s="193">
        <v>2</v>
      </c>
      <c r="R25" s="193">
        <v>2</v>
      </c>
      <c r="S25" s="193">
        <v>2</v>
      </c>
      <c r="T25" s="193">
        <v>2</v>
      </c>
      <c r="U25" s="193">
        <v>2</v>
      </c>
      <c r="V25" s="193">
        <v>2</v>
      </c>
      <c r="W25" s="193">
        <v>2</v>
      </c>
      <c r="X25" s="193">
        <v>2</v>
      </c>
      <c r="Y25" s="193"/>
      <c r="Z25" s="193">
        <v>2</v>
      </c>
      <c r="AA25" s="193"/>
      <c r="AB25" s="193">
        <f t="shared" si="0"/>
        <v>38</v>
      </c>
      <c r="AC25" s="193"/>
    </row>
    <row r="26" spans="1:29">
      <c r="A26" s="193" t="s">
        <v>73</v>
      </c>
      <c r="B26" s="193" t="s">
        <v>288</v>
      </c>
      <c r="C26" s="193"/>
      <c r="D26" s="193"/>
      <c r="E26" s="193"/>
      <c r="F26" s="193"/>
      <c r="G26" s="193">
        <v>2</v>
      </c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>
        <f t="shared" si="0"/>
        <v>2</v>
      </c>
      <c r="AC26" s="193"/>
    </row>
    <row r="27" spans="1:29">
      <c r="A27" s="193" t="s">
        <v>75</v>
      </c>
      <c r="B27" s="193" t="s">
        <v>289</v>
      </c>
      <c r="C27" s="193"/>
      <c r="D27" s="193"/>
      <c r="E27" s="193"/>
      <c r="F27" s="193"/>
      <c r="G27" s="193">
        <v>1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>
        <f t="shared" si="0"/>
        <v>1</v>
      </c>
      <c r="AC27" s="193"/>
    </row>
    <row r="28" spans="1:29">
      <c r="A28" s="193" t="s">
        <v>77</v>
      </c>
      <c r="B28" s="193" t="s">
        <v>290</v>
      </c>
      <c r="C28" s="193"/>
      <c r="D28" s="193"/>
      <c r="E28" s="193"/>
      <c r="F28" s="193"/>
      <c r="G28" s="193">
        <v>1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>
        <f t="shared" si="0"/>
        <v>1</v>
      </c>
      <c r="AC28" s="193"/>
    </row>
    <row r="29" spans="1:29">
      <c r="A29" s="193" t="s">
        <v>79</v>
      </c>
      <c r="B29" s="193" t="s">
        <v>252</v>
      </c>
      <c r="C29" s="193"/>
      <c r="D29" s="193"/>
      <c r="E29" s="193"/>
      <c r="F29" s="193"/>
      <c r="G29" s="193">
        <v>1</v>
      </c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>
        <f t="shared" si="0"/>
        <v>1</v>
      </c>
      <c r="AC29" s="193"/>
    </row>
    <row r="30" spans="1:29">
      <c r="A30" s="193" t="s">
        <v>81</v>
      </c>
      <c r="B30" s="193" t="s">
        <v>291</v>
      </c>
      <c r="C30" s="193"/>
      <c r="D30" s="193"/>
      <c r="E30" s="193"/>
      <c r="F30" s="193"/>
      <c r="G30" s="193">
        <v>2</v>
      </c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>
        <f t="shared" si="0"/>
        <v>2</v>
      </c>
      <c r="AC30" s="193"/>
    </row>
    <row r="31" spans="1:29">
      <c r="A31" s="193" t="s">
        <v>83</v>
      </c>
      <c r="B31" s="193" t="s">
        <v>292</v>
      </c>
      <c r="C31" s="193"/>
      <c r="D31" s="193"/>
      <c r="E31" s="193"/>
      <c r="F31" s="193"/>
      <c r="G31" s="193">
        <v>1</v>
      </c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>
        <f t="shared" si="0"/>
        <v>1</v>
      </c>
      <c r="AC31" s="193"/>
    </row>
    <row r="32" spans="1:29">
      <c r="A32" s="193" t="s">
        <v>85</v>
      </c>
      <c r="B32" s="193" t="s">
        <v>293</v>
      </c>
      <c r="C32" s="193"/>
      <c r="D32" s="193"/>
      <c r="E32" s="193"/>
      <c r="F32" s="193"/>
      <c r="G32" s="193">
        <v>1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>
        <f t="shared" si="0"/>
        <v>1</v>
      </c>
      <c r="AC32" s="193"/>
    </row>
    <row r="33" spans="1:29">
      <c r="A33" s="193" t="s">
        <v>87</v>
      </c>
      <c r="B33" s="193" t="s">
        <v>294</v>
      </c>
      <c r="C33" s="193"/>
      <c r="D33" s="193"/>
      <c r="E33" s="193"/>
      <c r="F33" s="193"/>
      <c r="G33" s="193">
        <v>2</v>
      </c>
      <c r="H33" s="193">
        <v>2</v>
      </c>
      <c r="I33" s="193">
        <v>2</v>
      </c>
      <c r="J33" s="193">
        <v>2</v>
      </c>
      <c r="K33" s="193">
        <v>2</v>
      </c>
      <c r="L33" s="193">
        <v>2</v>
      </c>
      <c r="M33" s="193">
        <v>2</v>
      </c>
      <c r="N33" s="193">
        <v>2</v>
      </c>
      <c r="O33" s="193">
        <v>2</v>
      </c>
      <c r="P33" s="193">
        <v>2</v>
      </c>
      <c r="Q33" s="193">
        <v>2</v>
      </c>
      <c r="R33" s="193">
        <v>2</v>
      </c>
      <c r="S33" s="193">
        <v>2</v>
      </c>
      <c r="T33" s="193">
        <v>2</v>
      </c>
      <c r="U33" s="193">
        <v>2</v>
      </c>
      <c r="V33" s="193">
        <v>2</v>
      </c>
      <c r="W33" s="193">
        <v>2</v>
      </c>
      <c r="X33" s="193">
        <v>2</v>
      </c>
      <c r="Y33" s="193"/>
      <c r="Z33" s="193">
        <v>2</v>
      </c>
      <c r="AA33" s="193"/>
      <c r="AB33" s="193">
        <f t="shared" si="0"/>
        <v>38</v>
      </c>
      <c r="AC33" s="193"/>
    </row>
    <row r="34" spans="1:29">
      <c r="A34" s="193" t="s">
        <v>89</v>
      </c>
      <c r="B34" s="193" t="s">
        <v>161</v>
      </c>
      <c r="C34" s="193"/>
      <c r="D34" s="193"/>
      <c r="E34" s="193"/>
      <c r="F34" s="193"/>
      <c r="G34" s="193">
        <v>2</v>
      </c>
      <c r="H34" s="193">
        <v>2</v>
      </c>
      <c r="I34" s="193">
        <v>2</v>
      </c>
      <c r="J34" s="193">
        <v>2</v>
      </c>
      <c r="K34" s="193">
        <v>2</v>
      </c>
      <c r="L34" s="193">
        <v>2</v>
      </c>
      <c r="M34" s="193">
        <v>2</v>
      </c>
      <c r="N34" s="193">
        <v>2</v>
      </c>
      <c r="O34" s="193">
        <v>2</v>
      </c>
      <c r="P34" s="193">
        <v>2</v>
      </c>
      <c r="Q34" s="193">
        <v>2</v>
      </c>
      <c r="R34" s="193">
        <v>2</v>
      </c>
      <c r="S34" s="193">
        <v>2</v>
      </c>
      <c r="T34" s="193">
        <v>2</v>
      </c>
      <c r="U34" s="193">
        <v>2</v>
      </c>
      <c r="V34" s="193">
        <v>2</v>
      </c>
      <c r="W34" s="193">
        <v>2</v>
      </c>
      <c r="X34" s="193">
        <v>2</v>
      </c>
      <c r="Y34" s="193"/>
      <c r="Z34" s="193">
        <v>2</v>
      </c>
      <c r="AA34" s="193"/>
      <c r="AB34" s="193">
        <f t="shared" si="0"/>
        <v>38</v>
      </c>
      <c r="AC34" s="193"/>
    </row>
    <row r="35" spans="1:29">
      <c r="A35" s="193" t="s">
        <v>91</v>
      </c>
      <c r="B35" s="193" t="s">
        <v>175</v>
      </c>
      <c r="C35" s="193"/>
      <c r="D35" s="193"/>
      <c r="E35" s="193"/>
      <c r="F35" s="193"/>
      <c r="G35" s="193"/>
      <c r="H35" s="193">
        <v>2</v>
      </c>
      <c r="I35" s="193">
        <v>2</v>
      </c>
      <c r="J35" s="193">
        <v>2</v>
      </c>
      <c r="K35" s="193">
        <v>2</v>
      </c>
      <c r="L35" s="193">
        <v>2</v>
      </c>
      <c r="M35" s="193">
        <v>2</v>
      </c>
      <c r="N35" s="193">
        <v>2</v>
      </c>
      <c r="O35" s="193">
        <v>2</v>
      </c>
      <c r="P35" s="193">
        <v>2</v>
      </c>
      <c r="Q35" s="193">
        <v>2</v>
      </c>
      <c r="R35" s="193">
        <v>2</v>
      </c>
      <c r="S35" s="193">
        <v>2</v>
      </c>
      <c r="T35" s="193">
        <v>2</v>
      </c>
      <c r="U35" s="193">
        <v>2</v>
      </c>
      <c r="V35" s="193">
        <v>2</v>
      </c>
      <c r="W35" s="193">
        <v>2</v>
      </c>
      <c r="X35" s="193">
        <v>2</v>
      </c>
      <c r="Y35" s="193">
        <v>2</v>
      </c>
      <c r="Z35" s="193">
        <v>2</v>
      </c>
      <c r="AA35" s="193"/>
      <c r="AB35" s="193">
        <f t="shared" si="0"/>
        <v>38</v>
      </c>
      <c r="AC35" s="193"/>
    </row>
    <row r="36" spans="1:29">
      <c r="A36" s="193" t="s">
        <v>93</v>
      </c>
      <c r="B36" s="193" t="s">
        <v>295</v>
      </c>
      <c r="C36" s="193"/>
      <c r="D36" s="193"/>
      <c r="E36" s="193"/>
      <c r="F36" s="193"/>
      <c r="G36" s="193">
        <v>1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>
        <f t="shared" si="0"/>
        <v>1</v>
      </c>
      <c r="AC36" s="193"/>
    </row>
    <row r="37" spans="1:29">
      <c r="A37" s="193" t="s">
        <v>95</v>
      </c>
      <c r="B37" s="193" t="s">
        <v>296</v>
      </c>
      <c r="C37" s="193"/>
      <c r="D37" s="193"/>
      <c r="E37" s="193"/>
      <c r="F37" s="193"/>
      <c r="G37" s="193">
        <v>1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>
        <f t="shared" si="0"/>
        <v>1</v>
      </c>
      <c r="AC37" s="193"/>
    </row>
    <row r="38" spans="1:29">
      <c r="A38" s="193" t="s">
        <v>97</v>
      </c>
      <c r="B38" s="193" t="s">
        <v>297</v>
      </c>
      <c r="C38" s="193"/>
      <c r="D38" s="193"/>
      <c r="E38" s="193"/>
      <c r="F38" s="193"/>
      <c r="G38" s="193">
        <v>1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>
        <f t="shared" si="0"/>
        <v>1</v>
      </c>
      <c r="AC38" s="193"/>
    </row>
    <row r="39" spans="1:29">
      <c r="A39" s="193" t="s">
        <v>99</v>
      </c>
      <c r="B39" s="193" t="s">
        <v>298</v>
      </c>
      <c r="C39" s="193"/>
      <c r="D39" s="193"/>
      <c r="E39" s="193"/>
      <c r="F39" s="193"/>
      <c r="G39" s="193">
        <v>1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>
        <f t="shared" si="0"/>
        <v>1</v>
      </c>
      <c r="AC39" s="193"/>
    </row>
    <row r="40" spans="1:29">
      <c r="A40" s="193" t="s">
        <v>101</v>
      </c>
      <c r="B40" s="193" t="s">
        <v>169</v>
      </c>
      <c r="C40" s="193"/>
      <c r="D40" s="193"/>
      <c r="E40" s="193"/>
      <c r="F40" s="193"/>
      <c r="G40" s="193">
        <v>1</v>
      </c>
      <c r="H40" s="193">
        <v>2</v>
      </c>
      <c r="I40" s="193">
        <v>2</v>
      </c>
      <c r="J40" s="193">
        <v>2</v>
      </c>
      <c r="K40" s="193">
        <v>2</v>
      </c>
      <c r="L40" s="193">
        <v>2</v>
      </c>
      <c r="M40" s="193">
        <v>2</v>
      </c>
      <c r="N40" s="193">
        <v>2</v>
      </c>
      <c r="O40" s="193">
        <v>2</v>
      </c>
      <c r="P40" s="193">
        <v>2</v>
      </c>
      <c r="Q40" s="193">
        <v>2</v>
      </c>
      <c r="R40" s="193">
        <v>2</v>
      </c>
      <c r="S40" s="193">
        <v>2</v>
      </c>
      <c r="T40" s="193">
        <v>2</v>
      </c>
      <c r="U40" s="193">
        <v>2</v>
      </c>
      <c r="V40" s="193">
        <v>2</v>
      </c>
      <c r="W40" s="193">
        <v>2</v>
      </c>
      <c r="X40" s="193">
        <v>2</v>
      </c>
      <c r="Y40" s="193">
        <v>2</v>
      </c>
      <c r="Z40" s="193">
        <v>2</v>
      </c>
      <c r="AA40" s="193"/>
      <c r="AB40" s="193">
        <f t="shared" si="0"/>
        <v>39</v>
      </c>
      <c r="AC40" s="193"/>
    </row>
    <row r="41" spans="1:29">
      <c r="A41" s="193" t="s">
        <v>103</v>
      </c>
      <c r="B41" s="193" t="s">
        <v>299</v>
      </c>
      <c r="C41" s="193"/>
      <c r="D41" s="193"/>
      <c r="E41" s="193"/>
      <c r="F41" s="193"/>
      <c r="G41" s="193">
        <v>1</v>
      </c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>
        <f t="shared" si="0"/>
        <v>1</v>
      </c>
      <c r="AC41" s="193"/>
    </row>
    <row r="42" spans="1:29">
      <c r="A42" s="193" t="s">
        <v>105</v>
      </c>
      <c r="B42" s="193" t="s">
        <v>141</v>
      </c>
      <c r="C42" s="193"/>
      <c r="D42" s="193"/>
      <c r="E42" s="193"/>
      <c r="F42" s="193"/>
      <c r="G42" s="193">
        <v>1</v>
      </c>
      <c r="H42" s="193">
        <v>2</v>
      </c>
      <c r="I42" s="193">
        <v>2</v>
      </c>
      <c r="J42" s="193">
        <v>2</v>
      </c>
      <c r="K42" s="193">
        <v>2</v>
      </c>
      <c r="L42" s="193">
        <v>2</v>
      </c>
      <c r="M42" s="193">
        <v>2</v>
      </c>
      <c r="N42" s="193">
        <v>2</v>
      </c>
      <c r="O42" s="193">
        <v>2</v>
      </c>
      <c r="P42" s="193">
        <v>2</v>
      </c>
      <c r="Q42" s="193">
        <v>2</v>
      </c>
      <c r="R42" s="193">
        <v>2</v>
      </c>
      <c r="S42" s="193">
        <v>2</v>
      </c>
      <c r="T42" s="193">
        <v>2</v>
      </c>
      <c r="U42" s="193">
        <v>2</v>
      </c>
      <c r="V42" s="193">
        <v>2</v>
      </c>
      <c r="W42" s="193">
        <v>2</v>
      </c>
      <c r="X42" s="193">
        <v>2</v>
      </c>
      <c r="Y42" s="193">
        <v>2</v>
      </c>
      <c r="Z42" s="193">
        <v>2</v>
      </c>
      <c r="AA42" s="193"/>
      <c r="AB42" s="193">
        <f t="shared" si="0"/>
        <v>39</v>
      </c>
      <c r="AC42" s="193"/>
    </row>
    <row r="43" spans="1:29">
      <c r="A43" s="193" t="s">
        <v>107</v>
      </c>
      <c r="B43" s="193" t="s">
        <v>143</v>
      </c>
      <c r="C43" s="193"/>
      <c r="D43" s="193"/>
      <c r="E43" s="193"/>
      <c r="F43" s="193"/>
      <c r="G43" s="193">
        <v>1</v>
      </c>
      <c r="H43" s="193">
        <v>2</v>
      </c>
      <c r="I43" s="193">
        <v>2</v>
      </c>
      <c r="J43" s="193">
        <v>2</v>
      </c>
      <c r="K43" s="193">
        <v>2</v>
      </c>
      <c r="L43" s="193">
        <v>2</v>
      </c>
      <c r="M43" s="193">
        <v>2</v>
      </c>
      <c r="N43" s="193">
        <v>2</v>
      </c>
      <c r="O43" s="193">
        <v>2</v>
      </c>
      <c r="P43" s="193">
        <v>2</v>
      </c>
      <c r="Q43" s="193">
        <v>2</v>
      </c>
      <c r="R43" s="193">
        <v>2</v>
      </c>
      <c r="S43" s="193">
        <v>2</v>
      </c>
      <c r="T43" s="193">
        <v>2</v>
      </c>
      <c r="U43" s="193">
        <v>2</v>
      </c>
      <c r="V43" s="193">
        <v>2</v>
      </c>
      <c r="W43" s="193">
        <v>2</v>
      </c>
      <c r="X43" s="193">
        <v>2</v>
      </c>
      <c r="Y43" s="193">
        <v>2</v>
      </c>
      <c r="Z43" s="193">
        <v>2</v>
      </c>
      <c r="AA43" s="193"/>
      <c r="AB43" s="193">
        <f t="shared" si="0"/>
        <v>39</v>
      </c>
      <c r="AC43" s="193"/>
    </row>
    <row r="44" spans="1:29">
      <c r="A44" s="193" t="s">
        <v>109</v>
      </c>
      <c r="B44" s="193" t="s">
        <v>147</v>
      </c>
      <c r="C44" s="193"/>
      <c r="D44" s="193"/>
      <c r="E44" s="193"/>
      <c r="F44" s="193"/>
      <c r="G44" s="193"/>
      <c r="H44" s="193">
        <v>3</v>
      </c>
      <c r="I44" s="193">
        <v>3</v>
      </c>
      <c r="J44" s="193">
        <v>3</v>
      </c>
      <c r="K44" s="193">
        <v>3</v>
      </c>
      <c r="L44" s="193">
        <v>3</v>
      </c>
      <c r="M44" s="193">
        <v>3</v>
      </c>
      <c r="N44" s="193">
        <v>3</v>
      </c>
      <c r="O44" s="193">
        <v>3</v>
      </c>
      <c r="P44" s="193">
        <v>3</v>
      </c>
      <c r="Q44" s="193">
        <v>3</v>
      </c>
      <c r="R44" s="193">
        <v>3</v>
      </c>
      <c r="S44" s="193">
        <v>3</v>
      </c>
      <c r="T44" s="193">
        <v>3</v>
      </c>
      <c r="U44" s="193">
        <v>3</v>
      </c>
      <c r="V44" s="193">
        <v>3</v>
      </c>
      <c r="W44" s="193">
        <v>3</v>
      </c>
      <c r="X44" s="193">
        <v>3</v>
      </c>
      <c r="Y44" s="193">
        <v>3</v>
      </c>
      <c r="Z44" s="193">
        <v>3</v>
      </c>
      <c r="AA44" s="193"/>
      <c r="AB44" s="193">
        <f t="shared" si="0"/>
        <v>57</v>
      </c>
      <c r="AC44" s="193"/>
    </row>
    <row r="45" spans="1:29">
      <c r="A45" s="193" t="s">
        <v>111</v>
      </c>
      <c r="B45" s="193" t="s">
        <v>157</v>
      </c>
      <c r="C45" s="193"/>
      <c r="D45" s="193"/>
      <c r="E45" s="193"/>
      <c r="F45" s="193"/>
      <c r="G45" s="193">
        <v>1</v>
      </c>
      <c r="H45" s="193">
        <v>2</v>
      </c>
      <c r="I45" s="193">
        <v>2</v>
      </c>
      <c r="J45" s="193">
        <v>2</v>
      </c>
      <c r="K45" s="193">
        <v>2</v>
      </c>
      <c r="L45" s="193">
        <v>2</v>
      </c>
      <c r="M45" s="193">
        <v>2</v>
      </c>
      <c r="N45" s="193">
        <v>2</v>
      </c>
      <c r="O45" s="193">
        <v>2</v>
      </c>
      <c r="P45" s="193">
        <v>2</v>
      </c>
      <c r="Q45" s="193">
        <v>2</v>
      </c>
      <c r="R45" s="193">
        <v>2</v>
      </c>
      <c r="S45" s="193">
        <v>2</v>
      </c>
      <c r="T45" s="193">
        <v>2</v>
      </c>
      <c r="U45" s="193">
        <v>2</v>
      </c>
      <c r="V45" s="193">
        <v>2</v>
      </c>
      <c r="W45" s="193">
        <v>2</v>
      </c>
      <c r="X45" s="193">
        <v>2</v>
      </c>
      <c r="Y45" s="193">
        <v>2</v>
      </c>
      <c r="Z45" s="193">
        <v>2</v>
      </c>
      <c r="AA45" s="193"/>
      <c r="AB45" s="193">
        <f t="shared" si="0"/>
        <v>39</v>
      </c>
      <c r="AC45" s="193"/>
    </row>
    <row r="46" spans="1:29">
      <c r="A46" s="193" t="s">
        <v>113</v>
      </c>
      <c r="B46" s="193" t="s">
        <v>159</v>
      </c>
      <c r="C46" s="193"/>
      <c r="D46" s="193"/>
      <c r="E46" s="193"/>
      <c r="F46" s="193"/>
      <c r="G46" s="193"/>
      <c r="H46" s="193">
        <v>1</v>
      </c>
      <c r="I46" s="193">
        <v>1</v>
      </c>
      <c r="J46" s="193">
        <v>1</v>
      </c>
      <c r="K46" s="193">
        <v>1</v>
      </c>
      <c r="L46" s="193">
        <v>1</v>
      </c>
      <c r="M46" s="193">
        <v>1</v>
      </c>
      <c r="N46" s="193">
        <v>1</v>
      </c>
      <c r="O46" s="193">
        <v>1</v>
      </c>
      <c r="P46" s="193">
        <v>1</v>
      </c>
      <c r="Q46" s="193">
        <v>1</v>
      </c>
      <c r="R46" s="193">
        <v>1</v>
      </c>
      <c r="S46" s="193">
        <v>1</v>
      </c>
      <c r="T46" s="193">
        <v>1</v>
      </c>
      <c r="U46" s="193">
        <v>1</v>
      </c>
      <c r="V46" s="193">
        <v>1</v>
      </c>
      <c r="W46" s="193">
        <v>1</v>
      </c>
      <c r="X46" s="193">
        <v>1</v>
      </c>
      <c r="Y46" s="193">
        <v>1</v>
      </c>
      <c r="Z46" s="193">
        <v>1</v>
      </c>
      <c r="AA46" s="193"/>
      <c r="AB46" s="193">
        <f t="shared" si="0"/>
        <v>19</v>
      </c>
      <c r="AC46" s="193"/>
    </row>
    <row r="47" spans="1:29">
      <c r="A47" s="193" t="s">
        <v>115</v>
      </c>
      <c r="B47" s="193" t="s">
        <v>300</v>
      </c>
      <c r="C47" s="193"/>
      <c r="D47" s="193"/>
      <c r="E47" s="193"/>
      <c r="F47" s="193"/>
      <c r="G47" s="193"/>
      <c r="H47" s="193">
        <v>2</v>
      </c>
      <c r="I47" s="193">
        <v>2</v>
      </c>
      <c r="J47" s="193">
        <v>2</v>
      </c>
      <c r="K47" s="193">
        <v>2</v>
      </c>
      <c r="L47" s="193">
        <v>2</v>
      </c>
      <c r="M47" s="193">
        <v>2</v>
      </c>
      <c r="N47" s="193">
        <v>2</v>
      </c>
      <c r="O47" s="193">
        <v>2</v>
      </c>
      <c r="P47" s="193">
        <v>2</v>
      </c>
      <c r="Q47" s="193">
        <v>2</v>
      </c>
      <c r="R47" s="193">
        <v>2</v>
      </c>
      <c r="S47" s="193">
        <v>2</v>
      </c>
      <c r="T47" s="193">
        <v>2</v>
      </c>
      <c r="U47" s="193">
        <v>2</v>
      </c>
      <c r="V47" s="193">
        <v>2</v>
      </c>
      <c r="W47" s="193">
        <v>2</v>
      </c>
      <c r="X47" s="193">
        <v>2</v>
      </c>
      <c r="Y47" s="193">
        <v>2</v>
      </c>
      <c r="Z47" s="193">
        <v>2</v>
      </c>
      <c r="AA47" s="193"/>
      <c r="AB47" s="193">
        <f t="shared" si="0"/>
        <v>38</v>
      </c>
      <c r="AC47" s="193"/>
    </row>
    <row r="48" spans="1:29">
      <c r="A48" s="193" t="s">
        <v>117</v>
      </c>
      <c r="B48" s="193" t="s">
        <v>163</v>
      </c>
      <c r="C48" s="193"/>
      <c r="D48" s="193"/>
      <c r="E48" s="193"/>
      <c r="F48" s="193"/>
      <c r="G48" s="193"/>
      <c r="H48" s="193">
        <v>2</v>
      </c>
      <c r="I48" s="193">
        <v>2</v>
      </c>
      <c r="J48" s="193">
        <v>2</v>
      </c>
      <c r="K48" s="193">
        <v>2</v>
      </c>
      <c r="L48" s="193">
        <v>2</v>
      </c>
      <c r="M48" s="193">
        <v>2</v>
      </c>
      <c r="N48" s="193">
        <v>2</v>
      </c>
      <c r="O48" s="193">
        <v>2</v>
      </c>
      <c r="P48" s="193">
        <v>2</v>
      </c>
      <c r="Q48" s="193">
        <v>2</v>
      </c>
      <c r="R48" s="193">
        <v>2</v>
      </c>
      <c r="S48" s="193">
        <v>2</v>
      </c>
      <c r="T48" s="193">
        <v>2</v>
      </c>
      <c r="U48" s="193">
        <v>2</v>
      </c>
      <c r="V48" s="193">
        <v>2</v>
      </c>
      <c r="W48" s="193">
        <v>2</v>
      </c>
      <c r="X48" s="193">
        <v>2</v>
      </c>
      <c r="Y48" s="193">
        <v>2</v>
      </c>
      <c r="Z48" s="193">
        <v>2</v>
      </c>
      <c r="AA48" s="193"/>
      <c r="AB48" s="193">
        <f t="shared" si="0"/>
        <v>38</v>
      </c>
      <c r="AC48" s="193"/>
    </row>
    <row r="49" spans="1:29">
      <c r="A49" s="193" t="s">
        <v>119</v>
      </c>
      <c r="B49" s="193" t="s">
        <v>179</v>
      </c>
      <c r="C49" s="193"/>
      <c r="D49" s="193"/>
      <c r="E49" s="193"/>
      <c r="F49" s="193"/>
      <c r="G49" s="193"/>
      <c r="H49" s="193">
        <v>2</v>
      </c>
      <c r="I49" s="193">
        <v>1</v>
      </c>
      <c r="J49" s="193">
        <v>2</v>
      </c>
      <c r="K49" s="193">
        <v>2</v>
      </c>
      <c r="L49" s="193">
        <v>2</v>
      </c>
      <c r="M49" s="193">
        <v>1</v>
      </c>
      <c r="N49" s="193">
        <v>2</v>
      </c>
      <c r="O49" s="193">
        <v>2</v>
      </c>
      <c r="P49" s="193">
        <v>2</v>
      </c>
      <c r="Q49" s="193">
        <v>2</v>
      </c>
      <c r="R49" s="193">
        <v>2</v>
      </c>
      <c r="S49" s="193">
        <v>2</v>
      </c>
      <c r="T49" s="193">
        <v>2</v>
      </c>
      <c r="U49" s="193">
        <v>2</v>
      </c>
      <c r="V49" s="193">
        <v>2</v>
      </c>
      <c r="W49" s="193">
        <v>2</v>
      </c>
      <c r="X49" s="193">
        <v>2</v>
      </c>
      <c r="Y49" s="193">
        <v>2</v>
      </c>
      <c r="Z49" s="193">
        <v>2</v>
      </c>
      <c r="AA49" s="193"/>
      <c r="AB49" s="193">
        <f t="shared" si="0"/>
        <v>36</v>
      </c>
      <c r="AC49" s="193"/>
    </row>
    <row r="50" spans="1:29">
      <c r="A50" s="193" t="s">
        <v>121</v>
      </c>
      <c r="B50" s="193" t="s">
        <v>301</v>
      </c>
      <c r="C50" s="193"/>
      <c r="D50" s="193"/>
      <c r="E50" s="193"/>
      <c r="F50" s="193"/>
      <c r="G50" s="193"/>
      <c r="H50" s="193">
        <v>1</v>
      </c>
      <c r="I50" s="193">
        <v>1</v>
      </c>
      <c r="J50" s="193">
        <v>1</v>
      </c>
      <c r="K50" s="193">
        <v>1</v>
      </c>
      <c r="L50" s="193">
        <v>1</v>
      </c>
      <c r="M50" s="193">
        <v>1</v>
      </c>
      <c r="N50" s="193">
        <v>1</v>
      </c>
      <c r="O50" s="193">
        <v>1</v>
      </c>
      <c r="P50" s="193">
        <v>1</v>
      </c>
      <c r="Q50" s="193">
        <v>1</v>
      </c>
      <c r="R50" s="193">
        <v>1</v>
      </c>
      <c r="S50" s="193">
        <v>1</v>
      </c>
      <c r="T50" s="193">
        <v>1</v>
      </c>
      <c r="U50" s="193">
        <v>1</v>
      </c>
      <c r="V50" s="193">
        <v>1</v>
      </c>
      <c r="W50" s="193">
        <v>1</v>
      </c>
      <c r="X50" s="193">
        <v>1</v>
      </c>
      <c r="Y50" s="193">
        <v>1</v>
      </c>
      <c r="Z50" s="193">
        <v>1</v>
      </c>
      <c r="AA50" s="193">
        <v>2</v>
      </c>
      <c r="AB50" s="193">
        <f t="shared" si="0"/>
        <v>21</v>
      </c>
      <c r="AC50" s="193"/>
    </row>
    <row r="51" spans="1:29">
      <c r="A51" s="193" t="s">
        <v>123</v>
      </c>
      <c r="B51" s="193" t="s">
        <v>145</v>
      </c>
      <c r="C51" s="193"/>
      <c r="D51" s="193"/>
      <c r="E51" s="193"/>
      <c r="F51" s="193"/>
      <c r="G51" s="193"/>
      <c r="H51" s="193">
        <v>4</v>
      </c>
      <c r="I51" s="193">
        <v>4</v>
      </c>
      <c r="J51" s="193">
        <v>4</v>
      </c>
      <c r="K51" s="193">
        <v>4</v>
      </c>
      <c r="L51" s="193">
        <v>4</v>
      </c>
      <c r="M51" s="193">
        <v>4</v>
      </c>
      <c r="N51" s="193">
        <v>4</v>
      </c>
      <c r="O51" s="193">
        <v>4</v>
      </c>
      <c r="P51" s="193">
        <v>4</v>
      </c>
      <c r="Q51" s="193">
        <v>4</v>
      </c>
      <c r="R51" s="193">
        <v>4</v>
      </c>
      <c r="S51" s="193">
        <v>4</v>
      </c>
      <c r="T51" s="193">
        <v>4</v>
      </c>
      <c r="U51" s="193">
        <v>4</v>
      </c>
      <c r="V51" s="193">
        <v>4</v>
      </c>
      <c r="W51" s="193">
        <v>4</v>
      </c>
      <c r="X51" s="193">
        <v>4</v>
      </c>
      <c r="Y51" s="193">
        <v>4</v>
      </c>
      <c r="Z51" s="193">
        <v>4</v>
      </c>
      <c r="AA51" s="193"/>
      <c r="AB51" s="193">
        <f t="shared" si="0"/>
        <v>76</v>
      </c>
      <c r="AC51" s="193"/>
    </row>
    <row r="52" spans="1:29">
      <c r="A52" s="193" t="s">
        <v>125</v>
      </c>
      <c r="B52" s="193" t="s">
        <v>302</v>
      </c>
      <c r="C52" s="193"/>
      <c r="D52" s="193"/>
      <c r="E52" s="193"/>
      <c r="F52" s="193"/>
      <c r="G52" s="193"/>
      <c r="H52" s="193"/>
      <c r="I52" s="193">
        <v>1</v>
      </c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>
        <v>1</v>
      </c>
      <c r="Z52" s="193"/>
      <c r="AA52" s="193"/>
      <c r="AB52" s="193">
        <f t="shared" si="0"/>
        <v>2</v>
      </c>
      <c r="AC52" s="193"/>
    </row>
    <row r="53" spans="1:29">
      <c r="A53" s="193" t="s">
        <v>127</v>
      </c>
      <c r="B53" s="193" t="s">
        <v>303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>
        <v>2</v>
      </c>
      <c r="Z53" s="193"/>
      <c r="AA53" s="193"/>
      <c r="AB53" s="193">
        <f t="shared" si="0"/>
        <v>2</v>
      </c>
      <c r="AC53" s="193"/>
    </row>
    <row r="54" spans="1:29">
      <c r="A54" s="193" t="s">
        <v>129</v>
      </c>
      <c r="B54" s="193" t="s">
        <v>304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>
        <v>2</v>
      </c>
      <c r="Z54" s="193"/>
      <c r="AA54" s="193"/>
      <c r="AB54" s="193">
        <f t="shared" si="0"/>
        <v>2</v>
      </c>
      <c r="AC54" s="193"/>
    </row>
    <row r="55" spans="1:29">
      <c r="A55" s="193" t="s">
        <v>131</v>
      </c>
      <c r="B55" s="193" t="s">
        <v>305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>
        <v>2</v>
      </c>
      <c r="Z55" s="193"/>
      <c r="AA55" s="193"/>
      <c r="AB55" s="193">
        <f t="shared" si="0"/>
        <v>2</v>
      </c>
      <c r="AC55" s="193"/>
    </row>
    <row r="56" spans="1:29">
      <c r="A56" s="193" t="s">
        <v>133</v>
      </c>
      <c r="B56" s="193" t="s">
        <v>191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>
        <v>3</v>
      </c>
      <c r="AB56" s="193">
        <f t="shared" si="0"/>
        <v>3</v>
      </c>
      <c r="AC56" s="193"/>
    </row>
    <row r="57" spans="1:28">
      <c r="A57" s="193" t="s">
        <v>135</v>
      </c>
      <c r="B57" s="193" t="s">
        <v>306</v>
      </c>
      <c r="F57">
        <v>1</v>
      </c>
      <c r="AB57" s="193">
        <f t="shared" si="0"/>
        <v>1</v>
      </c>
    </row>
    <row r="58" spans="1:28">
      <c r="A58" s="193" t="s">
        <v>137</v>
      </c>
      <c r="B58" s="193" t="s">
        <v>307</v>
      </c>
      <c r="G58">
        <v>2</v>
      </c>
      <c r="AB58" s="193">
        <f t="shared" si="0"/>
        <v>2</v>
      </c>
    </row>
    <row r="59" spans="28:28">
      <c r="AB59" s="193">
        <f t="shared" si="0"/>
        <v>0</v>
      </c>
    </row>
    <row r="60" spans="28:28">
      <c r="AB60" s="193">
        <f t="shared" si="0"/>
        <v>0</v>
      </c>
    </row>
    <row r="61" spans="28:28">
      <c r="AB61" s="19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9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92" t="s">
        <v>308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</row>
    <row r="2" spans="1:29">
      <c r="A2" s="193" t="s">
        <v>1</v>
      </c>
      <c r="B2" s="193" t="s">
        <v>2</v>
      </c>
      <c r="C2" s="193" t="s">
        <v>3</v>
      </c>
      <c r="D2" s="193" t="s">
        <v>4</v>
      </c>
      <c r="E2" s="193" t="s">
        <v>5</v>
      </c>
      <c r="F2" s="193" t="s">
        <v>6</v>
      </c>
      <c r="G2" s="193" t="s">
        <v>7</v>
      </c>
      <c r="H2" s="193" t="s">
        <v>8</v>
      </c>
      <c r="I2" s="193" t="s">
        <v>9</v>
      </c>
      <c r="J2" s="193" t="s">
        <v>10</v>
      </c>
      <c r="K2" s="193" t="s">
        <v>11</v>
      </c>
      <c r="L2" s="193" t="s">
        <v>12</v>
      </c>
      <c r="M2" s="193" t="s">
        <v>13</v>
      </c>
      <c r="N2" s="193" t="s">
        <v>14</v>
      </c>
      <c r="O2" s="193" t="s">
        <v>15</v>
      </c>
      <c r="P2" s="193" t="s">
        <v>16</v>
      </c>
      <c r="Q2" s="193" t="s">
        <v>17</v>
      </c>
      <c r="R2" s="193" t="s">
        <v>18</v>
      </c>
      <c r="S2" s="193" t="s">
        <v>19</v>
      </c>
      <c r="T2" s="193" t="s">
        <v>20</v>
      </c>
      <c r="U2" s="193" t="s">
        <v>21</v>
      </c>
      <c r="V2" s="193" t="s">
        <v>22</v>
      </c>
      <c r="W2" s="193" t="s">
        <v>23</v>
      </c>
      <c r="X2" s="193" t="s">
        <v>24</v>
      </c>
      <c r="Y2" s="193" t="s">
        <v>25</v>
      </c>
      <c r="Z2" s="193" t="s">
        <v>26</v>
      </c>
      <c r="AA2" s="193" t="s">
        <v>27</v>
      </c>
      <c r="AB2" s="193" t="s">
        <v>28</v>
      </c>
      <c r="AC2" s="193" t="s">
        <v>206</v>
      </c>
    </row>
    <row r="3" spans="1:29">
      <c r="A3" s="193" t="s">
        <v>29</v>
      </c>
      <c r="B3" s="193" t="s">
        <v>309</v>
      </c>
      <c r="C3" s="193"/>
      <c r="D3" s="193"/>
      <c r="E3" s="193">
        <v>2</v>
      </c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>
        <f t="shared" ref="AB3:AB30" si="0">SUM(E3:AA3)</f>
        <v>2</v>
      </c>
      <c r="AC3" s="193">
        <f>C3*D3*AB3/1000000</f>
        <v>0</v>
      </c>
    </row>
    <row r="4" spans="1:29">
      <c r="A4" s="193" t="s">
        <v>31</v>
      </c>
      <c r="B4" s="193" t="s">
        <v>310</v>
      </c>
      <c r="C4" s="193"/>
      <c r="D4" s="193"/>
      <c r="E4" s="193"/>
      <c r="F4" s="193">
        <v>1</v>
      </c>
      <c r="G4" s="193">
        <v>1</v>
      </c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>
        <f t="shared" si="0"/>
        <v>2</v>
      </c>
      <c r="AC4" s="193">
        <f t="shared" ref="AC4:AC52" si="1">C4*D4*AB4/1000000</f>
        <v>0</v>
      </c>
    </row>
    <row r="5" spans="1:29">
      <c r="A5" s="193" t="s">
        <v>33</v>
      </c>
      <c r="B5" s="193" t="s">
        <v>311</v>
      </c>
      <c r="C5" s="193"/>
      <c r="D5" s="193"/>
      <c r="E5" s="193"/>
      <c r="F5" s="193">
        <v>1</v>
      </c>
      <c r="G5" s="193">
        <v>1</v>
      </c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>
        <f t="shared" si="0"/>
        <v>2</v>
      </c>
      <c r="AC5" s="193">
        <f t="shared" si="1"/>
        <v>0</v>
      </c>
    </row>
    <row r="6" spans="1:29">
      <c r="A6" s="193" t="s">
        <v>35</v>
      </c>
      <c r="B6" s="193" t="s">
        <v>312</v>
      </c>
      <c r="C6" s="193"/>
      <c r="D6" s="193"/>
      <c r="E6" s="193"/>
      <c r="F6" s="193">
        <v>1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>
        <f t="shared" si="0"/>
        <v>1</v>
      </c>
      <c r="AC6" s="193">
        <f t="shared" si="1"/>
        <v>0</v>
      </c>
    </row>
    <row r="7" spans="1:29">
      <c r="A7" s="193" t="s">
        <v>37</v>
      </c>
      <c r="B7" s="193" t="s">
        <v>313</v>
      </c>
      <c r="C7" s="193"/>
      <c r="D7" s="193"/>
      <c r="E7" s="193"/>
      <c r="F7" s="193">
        <v>2</v>
      </c>
      <c r="G7" s="193">
        <v>2</v>
      </c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>
        <f t="shared" si="0"/>
        <v>4</v>
      </c>
      <c r="AC7" s="193">
        <f t="shared" si="1"/>
        <v>0</v>
      </c>
    </row>
    <row r="8" spans="1:29">
      <c r="A8" s="193" t="s">
        <v>39</v>
      </c>
      <c r="B8" s="193" t="s">
        <v>314</v>
      </c>
      <c r="C8" s="193"/>
      <c r="D8" s="193"/>
      <c r="E8" s="193"/>
      <c r="F8" s="193">
        <v>1</v>
      </c>
      <c r="G8" s="193">
        <v>1</v>
      </c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>
        <f t="shared" si="0"/>
        <v>2</v>
      </c>
      <c r="AC8" s="193">
        <f t="shared" si="1"/>
        <v>0</v>
      </c>
    </row>
    <row r="9" spans="1:29">
      <c r="A9" s="193" t="s">
        <v>41</v>
      </c>
      <c r="B9" s="193" t="s">
        <v>315</v>
      </c>
      <c r="C9" s="193"/>
      <c r="D9" s="193"/>
      <c r="E9" s="193"/>
      <c r="F9" s="193">
        <v>1</v>
      </c>
      <c r="G9" s="193">
        <v>1</v>
      </c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>
        <f t="shared" si="0"/>
        <v>2</v>
      </c>
      <c r="AC9" s="193">
        <f t="shared" si="1"/>
        <v>0</v>
      </c>
    </row>
    <row r="10" spans="1:29">
      <c r="A10" s="193" t="s">
        <v>43</v>
      </c>
      <c r="B10" s="193" t="s">
        <v>316</v>
      </c>
      <c r="C10" s="193"/>
      <c r="D10" s="193"/>
      <c r="E10" s="193"/>
      <c r="F10" s="193">
        <v>1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>
        <f t="shared" si="0"/>
        <v>1</v>
      </c>
      <c r="AC10" s="193">
        <f t="shared" si="1"/>
        <v>0</v>
      </c>
    </row>
    <row r="11" spans="1:29">
      <c r="A11" s="193" t="s">
        <v>45</v>
      </c>
      <c r="B11" s="193" t="s">
        <v>40</v>
      </c>
      <c r="C11" s="193"/>
      <c r="D11" s="193"/>
      <c r="E11" s="193"/>
      <c r="F11" s="193">
        <v>2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>
        <f t="shared" si="0"/>
        <v>2</v>
      </c>
      <c r="AC11" s="193">
        <f t="shared" si="1"/>
        <v>0</v>
      </c>
    </row>
    <row r="12" spans="1:29">
      <c r="A12" s="193" t="s">
        <v>47</v>
      </c>
      <c r="B12" s="193" t="s">
        <v>317</v>
      </c>
      <c r="C12" s="193"/>
      <c r="D12" s="193"/>
      <c r="E12" s="193"/>
      <c r="F12" s="193">
        <v>1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>
        <f t="shared" si="0"/>
        <v>1</v>
      </c>
      <c r="AC12" s="193">
        <f t="shared" si="1"/>
        <v>0</v>
      </c>
    </row>
    <row r="13" spans="1:29">
      <c r="A13" s="193" t="s">
        <v>49</v>
      </c>
      <c r="B13" s="193" t="s">
        <v>70</v>
      </c>
      <c r="C13" s="193"/>
      <c r="D13" s="193"/>
      <c r="E13" s="193"/>
      <c r="F13" s="193">
        <v>6</v>
      </c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>
        <f t="shared" si="0"/>
        <v>6</v>
      </c>
      <c r="AC13" s="193">
        <f t="shared" si="1"/>
        <v>0</v>
      </c>
    </row>
    <row r="14" spans="1:29">
      <c r="A14" s="193" t="s">
        <v>51</v>
      </c>
      <c r="B14" s="193" t="s">
        <v>318</v>
      </c>
      <c r="C14" s="193"/>
      <c r="D14" s="193"/>
      <c r="E14" s="193"/>
      <c r="F14" s="193">
        <v>4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>
        <f t="shared" si="0"/>
        <v>4</v>
      </c>
      <c r="AC14" s="193">
        <f t="shared" si="1"/>
        <v>0</v>
      </c>
    </row>
    <row r="15" spans="1:29">
      <c r="A15" s="193" t="s">
        <v>53</v>
      </c>
      <c r="B15" s="193" t="s">
        <v>319</v>
      </c>
      <c r="C15" s="193"/>
      <c r="D15" s="193"/>
      <c r="E15" s="193"/>
      <c r="F15" s="193">
        <v>5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>
        <f t="shared" si="0"/>
        <v>5</v>
      </c>
      <c r="AC15" s="193">
        <f t="shared" si="1"/>
        <v>0</v>
      </c>
    </row>
    <row r="16" spans="1:29">
      <c r="A16" s="193" t="s">
        <v>55</v>
      </c>
      <c r="B16" s="193" t="s">
        <v>320</v>
      </c>
      <c r="C16" s="193"/>
      <c r="D16" s="193"/>
      <c r="E16" s="193"/>
      <c r="F16" s="193">
        <v>5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>
        <f t="shared" si="0"/>
        <v>5</v>
      </c>
      <c r="AC16" s="193">
        <f t="shared" si="1"/>
        <v>0</v>
      </c>
    </row>
    <row r="17" spans="1:29">
      <c r="A17" s="193" t="s">
        <v>57</v>
      </c>
      <c r="B17" s="193" t="s">
        <v>321</v>
      </c>
      <c r="C17" s="193"/>
      <c r="D17" s="193"/>
      <c r="E17" s="193"/>
      <c r="F17" s="193">
        <v>1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>
        <f t="shared" si="0"/>
        <v>1</v>
      </c>
      <c r="AC17" s="193">
        <f t="shared" si="1"/>
        <v>0</v>
      </c>
    </row>
    <row r="18" spans="1:29">
      <c r="A18" s="193" t="s">
        <v>59</v>
      </c>
      <c r="B18" s="193" t="s">
        <v>322</v>
      </c>
      <c r="C18" s="193"/>
      <c r="D18" s="193"/>
      <c r="E18" s="193"/>
      <c r="F18" s="193">
        <v>2</v>
      </c>
      <c r="G18" s="193">
        <v>2</v>
      </c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>
        <f t="shared" si="0"/>
        <v>4</v>
      </c>
      <c r="AC18" s="193">
        <f t="shared" si="1"/>
        <v>0</v>
      </c>
    </row>
    <row r="19" spans="1:29">
      <c r="A19" s="193" t="s">
        <v>61</v>
      </c>
      <c r="B19" s="193" t="s">
        <v>323</v>
      </c>
      <c r="C19" s="193"/>
      <c r="D19" s="193"/>
      <c r="E19" s="193"/>
      <c r="F19" s="193">
        <v>6</v>
      </c>
      <c r="G19" s="193">
        <v>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>
        <f t="shared" si="0"/>
        <v>12</v>
      </c>
      <c r="AC19" s="193">
        <f t="shared" si="1"/>
        <v>0</v>
      </c>
    </row>
    <row r="20" spans="1:29">
      <c r="A20" s="193" t="s">
        <v>63</v>
      </c>
      <c r="B20" s="193" t="s">
        <v>324</v>
      </c>
      <c r="C20" s="193"/>
      <c r="D20" s="193"/>
      <c r="E20" s="193"/>
      <c r="F20" s="193">
        <v>1</v>
      </c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>
        <f t="shared" si="0"/>
        <v>1</v>
      </c>
      <c r="AC20" s="193">
        <f t="shared" si="1"/>
        <v>0</v>
      </c>
    </row>
    <row r="21" spans="1:29">
      <c r="A21" s="193" t="s">
        <v>65</v>
      </c>
      <c r="B21" s="193" t="s">
        <v>325</v>
      </c>
      <c r="C21" s="193"/>
      <c r="D21" s="193"/>
      <c r="E21" s="193"/>
      <c r="F21" s="193">
        <v>8</v>
      </c>
      <c r="G21" s="193">
        <v>9</v>
      </c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>
        <f t="shared" si="0"/>
        <v>17</v>
      </c>
      <c r="AC21" s="193">
        <f t="shared" si="1"/>
        <v>0</v>
      </c>
    </row>
    <row r="22" spans="1:29">
      <c r="A22" s="193" t="s">
        <v>67</v>
      </c>
      <c r="B22" s="193" t="s">
        <v>326</v>
      </c>
      <c r="C22" s="193"/>
      <c r="D22" s="193"/>
      <c r="E22" s="193"/>
      <c r="F22" s="193">
        <v>1</v>
      </c>
      <c r="G22" s="193">
        <v>2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>
        <f t="shared" si="0"/>
        <v>3</v>
      </c>
      <c r="AC22" s="193">
        <f t="shared" si="1"/>
        <v>0</v>
      </c>
    </row>
    <row r="23" spans="1:29">
      <c r="A23" s="193" t="s">
        <v>69</v>
      </c>
      <c r="B23" s="193" t="s">
        <v>327</v>
      </c>
      <c r="C23" s="193"/>
      <c r="D23" s="193"/>
      <c r="E23" s="193"/>
      <c r="F23" s="193">
        <v>3</v>
      </c>
      <c r="G23" s="193">
        <v>4</v>
      </c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>
        <f t="shared" si="0"/>
        <v>7</v>
      </c>
      <c r="AC23" s="193">
        <f t="shared" si="1"/>
        <v>0</v>
      </c>
    </row>
    <row r="24" spans="1:29">
      <c r="A24" s="193" t="s">
        <v>71</v>
      </c>
      <c r="B24" s="193" t="s">
        <v>328</v>
      </c>
      <c r="C24" s="193"/>
      <c r="D24" s="193"/>
      <c r="E24" s="193"/>
      <c r="F24" s="193">
        <v>3</v>
      </c>
      <c r="G24" s="193">
        <v>3</v>
      </c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>
        <f t="shared" si="0"/>
        <v>6</v>
      </c>
      <c r="AC24" s="193">
        <f t="shared" si="1"/>
        <v>0</v>
      </c>
    </row>
    <row r="25" spans="1:29">
      <c r="A25" s="193" t="s">
        <v>223</v>
      </c>
      <c r="B25" s="193" t="s">
        <v>329</v>
      </c>
      <c r="C25" s="193"/>
      <c r="D25" s="193"/>
      <c r="E25" s="193"/>
      <c r="F25" s="193">
        <v>1</v>
      </c>
      <c r="G25" s="193">
        <v>1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>
        <f t="shared" si="0"/>
        <v>2</v>
      </c>
      <c r="AC25" s="193">
        <f t="shared" si="1"/>
        <v>0</v>
      </c>
    </row>
    <row r="26" spans="1:29">
      <c r="A26" s="193" t="s">
        <v>73</v>
      </c>
      <c r="B26" s="193" t="s">
        <v>330</v>
      </c>
      <c r="C26" s="193"/>
      <c r="D26" s="193"/>
      <c r="E26" s="193"/>
      <c r="F26" s="193">
        <v>1</v>
      </c>
      <c r="G26" s="193">
        <v>1</v>
      </c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>
        <f t="shared" si="0"/>
        <v>2</v>
      </c>
      <c r="AC26" s="193">
        <f t="shared" si="1"/>
        <v>0</v>
      </c>
    </row>
    <row r="27" spans="1:29">
      <c r="A27" s="193" t="s">
        <v>75</v>
      </c>
      <c r="B27" s="193" t="s">
        <v>331</v>
      </c>
      <c r="C27" s="193"/>
      <c r="D27" s="193"/>
      <c r="E27" s="193"/>
      <c r="F27" s="193">
        <v>1</v>
      </c>
      <c r="G27" s="193">
        <v>1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>
        <f t="shared" si="0"/>
        <v>2</v>
      </c>
      <c r="AC27" s="193">
        <f t="shared" si="1"/>
        <v>0</v>
      </c>
    </row>
    <row r="28" spans="1:29">
      <c r="A28" s="193" t="s">
        <v>77</v>
      </c>
      <c r="B28" s="193" t="s">
        <v>332</v>
      </c>
      <c r="C28" s="193"/>
      <c r="D28" s="193"/>
      <c r="E28" s="193"/>
      <c r="F28" s="193"/>
      <c r="G28" s="193">
        <v>1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>
        <f t="shared" si="0"/>
        <v>1</v>
      </c>
      <c r="AC28" s="193">
        <f t="shared" si="1"/>
        <v>0</v>
      </c>
    </row>
    <row r="29" spans="1:29">
      <c r="A29" s="193" t="s">
        <v>79</v>
      </c>
      <c r="B29" s="193" t="s">
        <v>157</v>
      </c>
      <c r="C29" s="193"/>
      <c r="D29" s="193"/>
      <c r="E29" s="193"/>
      <c r="F29" s="193"/>
      <c r="G29" s="193">
        <v>1</v>
      </c>
      <c r="H29" s="193">
        <v>2</v>
      </c>
      <c r="I29" s="193">
        <v>2</v>
      </c>
      <c r="J29" s="193">
        <v>2</v>
      </c>
      <c r="K29" s="193">
        <v>2</v>
      </c>
      <c r="L29" s="193">
        <v>2</v>
      </c>
      <c r="M29" s="193">
        <v>2</v>
      </c>
      <c r="N29" s="193">
        <v>2</v>
      </c>
      <c r="O29" s="193">
        <v>2</v>
      </c>
      <c r="P29" s="193">
        <v>2</v>
      </c>
      <c r="Q29" s="193">
        <v>2</v>
      </c>
      <c r="R29" s="193">
        <v>2</v>
      </c>
      <c r="S29" s="193">
        <v>2</v>
      </c>
      <c r="T29" s="193">
        <v>2</v>
      </c>
      <c r="U29" s="193">
        <v>2</v>
      </c>
      <c r="V29" s="193">
        <v>2</v>
      </c>
      <c r="W29" s="193">
        <v>2</v>
      </c>
      <c r="X29" s="193"/>
      <c r="Y29" s="193">
        <v>2</v>
      </c>
      <c r="Z29" s="193">
        <v>2</v>
      </c>
      <c r="AA29" s="193"/>
      <c r="AB29" s="193">
        <f t="shared" si="0"/>
        <v>37</v>
      </c>
      <c r="AC29" s="193">
        <f t="shared" si="1"/>
        <v>0</v>
      </c>
    </row>
    <row r="30" spans="1:29">
      <c r="A30" s="193" t="s">
        <v>81</v>
      </c>
      <c r="B30" s="193" t="s">
        <v>291</v>
      </c>
      <c r="C30" s="193"/>
      <c r="D30" s="193"/>
      <c r="E30" s="193"/>
      <c r="F30" s="193"/>
      <c r="G30" s="193">
        <v>2</v>
      </c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>
        <f t="shared" si="0"/>
        <v>2</v>
      </c>
      <c r="AC30" s="193">
        <f t="shared" si="1"/>
        <v>0</v>
      </c>
    </row>
    <row r="31" spans="1:29">
      <c r="A31" s="193" t="s">
        <v>83</v>
      </c>
      <c r="B31" s="193" t="s">
        <v>280</v>
      </c>
      <c r="C31" s="193"/>
      <c r="D31" s="193"/>
      <c r="E31" s="193"/>
      <c r="F31" s="193"/>
      <c r="G31" s="193">
        <v>2</v>
      </c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>
        <f t="shared" ref="AB31:AB52" si="2">SUM(E31:AA31)</f>
        <v>2</v>
      </c>
      <c r="AC31" s="193">
        <f t="shared" si="1"/>
        <v>0</v>
      </c>
    </row>
    <row r="32" spans="1:29">
      <c r="A32" s="193" t="s">
        <v>85</v>
      </c>
      <c r="B32" s="193" t="s">
        <v>333</v>
      </c>
      <c r="C32" s="193"/>
      <c r="D32" s="193"/>
      <c r="E32" s="193"/>
      <c r="F32" s="193"/>
      <c r="G32" s="193">
        <v>1</v>
      </c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>
        <f t="shared" si="2"/>
        <v>1</v>
      </c>
      <c r="AC32" s="193">
        <f t="shared" si="1"/>
        <v>0</v>
      </c>
    </row>
    <row r="33" spans="1:29">
      <c r="A33" s="193" t="s">
        <v>87</v>
      </c>
      <c r="B33" s="193" t="s">
        <v>235</v>
      </c>
      <c r="C33" s="193"/>
      <c r="D33" s="193"/>
      <c r="E33" s="193"/>
      <c r="F33" s="193"/>
      <c r="G33" s="193">
        <v>3</v>
      </c>
      <c r="H33" s="193">
        <v>6</v>
      </c>
      <c r="I33" s="193">
        <v>6</v>
      </c>
      <c r="J33" s="193">
        <v>6</v>
      </c>
      <c r="K33" s="193">
        <v>6</v>
      </c>
      <c r="L33" s="193">
        <v>6</v>
      </c>
      <c r="M33" s="193">
        <v>6</v>
      </c>
      <c r="N33" s="193">
        <v>6</v>
      </c>
      <c r="O33" s="193">
        <v>6</v>
      </c>
      <c r="P33" s="193">
        <v>6</v>
      </c>
      <c r="Q33" s="193">
        <v>6</v>
      </c>
      <c r="R33" s="193">
        <v>6</v>
      </c>
      <c r="S33" s="193">
        <v>6</v>
      </c>
      <c r="T33" s="193">
        <v>6</v>
      </c>
      <c r="U33" s="193">
        <v>6</v>
      </c>
      <c r="V33" s="193">
        <v>6</v>
      </c>
      <c r="W33" s="193">
        <v>6</v>
      </c>
      <c r="X33" s="193">
        <v>6</v>
      </c>
      <c r="Y33" s="193">
        <v>6</v>
      </c>
      <c r="Z33" s="193">
        <v>6</v>
      </c>
      <c r="AA33" s="193"/>
      <c r="AB33" s="193">
        <f t="shared" si="2"/>
        <v>117</v>
      </c>
      <c r="AC33" s="193">
        <f t="shared" si="1"/>
        <v>0</v>
      </c>
    </row>
    <row r="34" spans="1:29">
      <c r="A34" s="193" t="s">
        <v>89</v>
      </c>
      <c r="B34" s="193" t="s">
        <v>151</v>
      </c>
      <c r="C34" s="193"/>
      <c r="D34" s="193"/>
      <c r="E34" s="193"/>
      <c r="F34" s="193"/>
      <c r="G34" s="193">
        <v>2</v>
      </c>
      <c r="H34" s="193">
        <v>4</v>
      </c>
      <c r="I34" s="193">
        <v>4</v>
      </c>
      <c r="J34" s="193">
        <v>4</v>
      </c>
      <c r="K34" s="193">
        <v>4</v>
      </c>
      <c r="L34" s="193">
        <v>4</v>
      </c>
      <c r="M34" s="193">
        <v>4</v>
      </c>
      <c r="N34" s="193">
        <v>4</v>
      </c>
      <c r="O34" s="193">
        <v>4</v>
      </c>
      <c r="P34" s="193">
        <v>4</v>
      </c>
      <c r="Q34" s="193">
        <v>4</v>
      </c>
      <c r="R34" s="193">
        <v>4</v>
      </c>
      <c r="S34" s="193">
        <v>4</v>
      </c>
      <c r="T34" s="193">
        <v>4</v>
      </c>
      <c r="U34" s="193">
        <v>4</v>
      </c>
      <c r="V34" s="193">
        <v>4</v>
      </c>
      <c r="W34" s="193">
        <v>4</v>
      </c>
      <c r="X34" s="193">
        <v>4</v>
      </c>
      <c r="Y34" s="193">
        <v>4</v>
      </c>
      <c r="Z34" s="193">
        <v>4</v>
      </c>
      <c r="AA34" s="193"/>
      <c r="AB34" s="193">
        <f t="shared" si="2"/>
        <v>78</v>
      </c>
      <c r="AC34" s="193">
        <f t="shared" si="1"/>
        <v>0</v>
      </c>
    </row>
    <row r="35" spans="1:29">
      <c r="A35" s="193" t="s">
        <v>91</v>
      </c>
      <c r="B35" s="193" t="s">
        <v>334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>
        <f t="shared" si="2"/>
        <v>0</v>
      </c>
      <c r="AC35" s="193">
        <f t="shared" si="1"/>
        <v>0</v>
      </c>
    </row>
    <row r="36" spans="1:29">
      <c r="A36" s="193" t="s">
        <v>93</v>
      </c>
      <c r="B36" s="193" t="s">
        <v>283</v>
      </c>
      <c r="C36" s="193"/>
      <c r="D36" s="193"/>
      <c r="E36" s="193"/>
      <c r="F36" s="193"/>
      <c r="G36" s="193">
        <v>1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>
        <f t="shared" si="2"/>
        <v>1</v>
      </c>
      <c r="AC36" s="193">
        <f t="shared" si="1"/>
        <v>0</v>
      </c>
    </row>
    <row r="37" spans="1:29">
      <c r="A37" s="193" t="s">
        <v>95</v>
      </c>
      <c r="B37" s="193" t="s">
        <v>284</v>
      </c>
      <c r="C37" s="193"/>
      <c r="D37" s="193"/>
      <c r="E37" s="193"/>
      <c r="F37" s="193"/>
      <c r="G37" s="193">
        <v>1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>
        <f t="shared" si="2"/>
        <v>1</v>
      </c>
      <c r="AC37" s="193">
        <f t="shared" si="1"/>
        <v>0</v>
      </c>
    </row>
    <row r="38" spans="1:29">
      <c r="A38" s="193" t="s">
        <v>97</v>
      </c>
      <c r="B38" s="193" t="s">
        <v>285</v>
      </c>
      <c r="C38" s="193"/>
      <c r="D38" s="193"/>
      <c r="E38" s="193"/>
      <c r="F38" s="193"/>
      <c r="G38" s="193">
        <v>1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>
        <f t="shared" si="2"/>
        <v>1</v>
      </c>
      <c r="AC38" s="193">
        <f t="shared" si="1"/>
        <v>0</v>
      </c>
    </row>
    <row r="39" spans="1:29">
      <c r="A39" s="193" t="s">
        <v>99</v>
      </c>
      <c r="B39" s="193" t="s">
        <v>286</v>
      </c>
      <c r="C39" s="193"/>
      <c r="D39" s="193"/>
      <c r="E39" s="193"/>
      <c r="F39" s="193"/>
      <c r="G39" s="193">
        <v>1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>
        <f t="shared" si="2"/>
        <v>1</v>
      </c>
      <c r="AC39" s="193">
        <f t="shared" si="1"/>
        <v>0</v>
      </c>
    </row>
    <row r="40" spans="1:29">
      <c r="A40" s="193" t="s">
        <v>101</v>
      </c>
      <c r="B40" s="193" t="s">
        <v>181</v>
      </c>
      <c r="C40" s="193"/>
      <c r="D40" s="193"/>
      <c r="E40" s="193"/>
      <c r="F40" s="193"/>
      <c r="G40" s="193">
        <v>1</v>
      </c>
      <c r="H40" s="193">
        <v>1</v>
      </c>
      <c r="I40" s="193">
        <v>2</v>
      </c>
      <c r="J40" s="193">
        <v>2</v>
      </c>
      <c r="K40" s="193">
        <v>2</v>
      </c>
      <c r="L40" s="193">
        <v>2</v>
      </c>
      <c r="M40" s="193">
        <v>2</v>
      </c>
      <c r="N40" s="193">
        <v>2</v>
      </c>
      <c r="O40" s="193">
        <v>2</v>
      </c>
      <c r="P40" s="193">
        <v>2</v>
      </c>
      <c r="Q40" s="193">
        <v>2</v>
      </c>
      <c r="R40" s="193">
        <v>2</v>
      </c>
      <c r="S40" s="193">
        <v>2</v>
      </c>
      <c r="T40" s="193">
        <v>2</v>
      </c>
      <c r="U40" s="193">
        <v>2</v>
      </c>
      <c r="V40" s="193">
        <v>2</v>
      </c>
      <c r="W40" s="193">
        <v>2</v>
      </c>
      <c r="X40" s="193">
        <v>2</v>
      </c>
      <c r="Y40" s="193">
        <v>2</v>
      </c>
      <c r="Z40" s="193">
        <v>0</v>
      </c>
      <c r="AA40" s="193"/>
      <c r="AB40" s="193">
        <f t="shared" si="2"/>
        <v>36</v>
      </c>
      <c r="AC40" s="193">
        <f t="shared" si="1"/>
        <v>0</v>
      </c>
    </row>
    <row r="41" spans="1:29">
      <c r="A41" s="193" t="s">
        <v>103</v>
      </c>
      <c r="B41" s="193" t="s">
        <v>163</v>
      </c>
      <c r="C41" s="193"/>
      <c r="D41" s="193"/>
      <c r="E41" s="193"/>
      <c r="F41" s="193"/>
      <c r="G41" s="193">
        <v>1</v>
      </c>
      <c r="H41" s="193">
        <v>2</v>
      </c>
      <c r="I41" s="193">
        <v>2</v>
      </c>
      <c r="J41" s="193">
        <v>2</v>
      </c>
      <c r="K41" s="193">
        <v>2</v>
      </c>
      <c r="L41" s="193">
        <v>2</v>
      </c>
      <c r="M41" s="193">
        <v>2</v>
      </c>
      <c r="N41" s="193">
        <v>2</v>
      </c>
      <c r="O41" s="193">
        <v>2</v>
      </c>
      <c r="P41" s="193">
        <v>2</v>
      </c>
      <c r="Q41" s="193">
        <v>2</v>
      </c>
      <c r="R41" s="193">
        <v>2</v>
      </c>
      <c r="S41" s="193">
        <v>2</v>
      </c>
      <c r="T41" s="193">
        <v>2</v>
      </c>
      <c r="U41" s="193">
        <v>2</v>
      </c>
      <c r="V41" s="193">
        <v>2</v>
      </c>
      <c r="W41" s="193">
        <v>2</v>
      </c>
      <c r="X41" s="193">
        <v>2</v>
      </c>
      <c r="Y41" s="193">
        <v>2</v>
      </c>
      <c r="Z41" s="193">
        <v>2</v>
      </c>
      <c r="AA41" s="193"/>
      <c r="AB41" s="193">
        <f t="shared" si="2"/>
        <v>39</v>
      </c>
      <c r="AC41" s="193">
        <f t="shared" si="1"/>
        <v>0</v>
      </c>
    </row>
    <row r="42" spans="1:29">
      <c r="A42" s="193" t="s">
        <v>105</v>
      </c>
      <c r="B42" s="193" t="s">
        <v>289</v>
      </c>
      <c r="C42" s="193"/>
      <c r="D42" s="193"/>
      <c r="E42" s="193"/>
      <c r="F42" s="193"/>
      <c r="G42" s="193">
        <v>1</v>
      </c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>
        <f t="shared" si="2"/>
        <v>1</v>
      </c>
      <c r="AC42" s="193">
        <f t="shared" si="1"/>
        <v>0</v>
      </c>
    </row>
    <row r="43" spans="1:29">
      <c r="A43" s="193" t="s">
        <v>107</v>
      </c>
      <c r="B43" s="193" t="s">
        <v>290</v>
      </c>
      <c r="C43" s="193"/>
      <c r="D43" s="193"/>
      <c r="E43" s="193"/>
      <c r="F43" s="193"/>
      <c r="G43" s="193">
        <v>1</v>
      </c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>
        <f t="shared" si="2"/>
        <v>1</v>
      </c>
      <c r="AC43" s="193">
        <f t="shared" si="1"/>
        <v>0</v>
      </c>
    </row>
    <row r="44" spans="1:29">
      <c r="A44" s="193" t="s">
        <v>109</v>
      </c>
      <c r="B44" s="193" t="s">
        <v>252</v>
      </c>
      <c r="C44" s="193"/>
      <c r="D44" s="193"/>
      <c r="E44" s="193"/>
      <c r="F44" s="193"/>
      <c r="G44" s="193">
        <v>1</v>
      </c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>
        <f t="shared" si="2"/>
        <v>1</v>
      </c>
      <c r="AC44" s="193">
        <f t="shared" si="1"/>
        <v>0</v>
      </c>
    </row>
    <row r="45" spans="1:29">
      <c r="A45" s="193" t="s">
        <v>111</v>
      </c>
      <c r="B45" s="193" t="s">
        <v>292</v>
      </c>
      <c r="C45" s="193"/>
      <c r="D45" s="193"/>
      <c r="E45" s="193"/>
      <c r="F45" s="193"/>
      <c r="G45" s="193">
        <v>1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>
        <f t="shared" si="2"/>
        <v>1</v>
      </c>
      <c r="AC45" s="193">
        <f t="shared" si="1"/>
        <v>0</v>
      </c>
    </row>
    <row r="46" spans="1:29">
      <c r="A46" s="193" t="s">
        <v>113</v>
      </c>
      <c r="B46" s="193" t="s">
        <v>293</v>
      </c>
      <c r="C46" s="193"/>
      <c r="D46" s="193"/>
      <c r="E46" s="193"/>
      <c r="F46" s="193"/>
      <c r="G46" s="193">
        <v>1</v>
      </c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>
        <f t="shared" si="2"/>
        <v>1</v>
      </c>
      <c r="AC46" s="193">
        <f t="shared" si="1"/>
        <v>0</v>
      </c>
    </row>
    <row r="47" spans="1:29">
      <c r="A47" s="193" t="s">
        <v>115</v>
      </c>
      <c r="B47" s="193" t="s">
        <v>177</v>
      </c>
      <c r="C47" s="193"/>
      <c r="D47" s="193"/>
      <c r="E47" s="193"/>
      <c r="F47" s="193"/>
      <c r="G47" s="193">
        <v>1</v>
      </c>
      <c r="H47" s="193">
        <v>1</v>
      </c>
      <c r="I47" s="193">
        <v>2</v>
      </c>
      <c r="J47" s="193">
        <v>2</v>
      </c>
      <c r="K47" s="193">
        <v>2</v>
      </c>
      <c r="L47" s="193">
        <v>2</v>
      </c>
      <c r="M47" s="193">
        <v>2</v>
      </c>
      <c r="N47" s="193">
        <v>2</v>
      </c>
      <c r="O47" s="193">
        <v>2</v>
      </c>
      <c r="P47" s="193">
        <v>2</v>
      </c>
      <c r="Q47" s="193">
        <v>2</v>
      </c>
      <c r="R47" s="193">
        <v>2</v>
      </c>
      <c r="S47" s="193">
        <v>2</v>
      </c>
      <c r="T47" s="193">
        <v>2</v>
      </c>
      <c r="U47" s="193">
        <v>2</v>
      </c>
      <c r="V47" s="193">
        <v>2</v>
      </c>
      <c r="W47" s="193">
        <v>2</v>
      </c>
      <c r="X47" s="193">
        <v>2</v>
      </c>
      <c r="Y47" s="193">
        <v>2</v>
      </c>
      <c r="Z47" s="193"/>
      <c r="AA47" s="193"/>
      <c r="AB47" s="193">
        <f t="shared" si="2"/>
        <v>36</v>
      </c>
      <c r="AC47" s="193">
        <f t="shared" si="1"/>
        <v>0</v>
      </c>
    </row>
    <row r="48" spans="1:29">
      <c r="A48" s="193" t="s">
        <v>117</v>
      </c>
      <c r="B48" s="193" t="s">
        <v>335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>
        <f t="shared" si="2"/>
        <v>0</v>
      </c>
      <c r="AC48" s="193">
        <f t="shared" si="1"/>
        <v>0</v>
      </c>
    </row>
    <row r="49" spans="1:29">
      <c r="A49" s="193" t="s">
        <v>119</v>
      </c>
      <c r="B49" s="193" t="s">
        <v>295</v>
      </c>
      <c r="C49" s="193"/>
      <c r="D49" s="193"/>
      <c r="E49" s="193"/>
      <c r="F49" s="193"/>
      <c r="G49" s="193">
        <v>1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>
        <f t="shared" si="2"/>
        <v>1</v>
      </c>
      <c r="AC49" s="193">
        <f t="shared" si="1"/>
        <v>0</v>
      </c>
    </row>
    <row r="50" spans="1:29">
      <c r="A50" s="193" t="s">
        <v>121</v>
      </c>
      <c r="B50" s="193" t="s">
        <v>271</v>
      </c>
      <c r="C50" s="193"/>
      <c r="D50" s="193"/>
      <c r="E50" s="193"/>
      <c r="F50" s="193"/>
      <c r="G50" s="193">
        <v>1</v>
      </c>
      <c r="H50" s="193">
        <v>1</v>
      </c>
      <c r="I50" s="193">
        <v>1</v>
      </c>
      <c r="J50" s="193">
        <v>1</v>
      </c>
      <c r="K50" s="193">
        <v>1</v>
      </c>
      <c r="L50" s="193">
        <v>1</v>
      </c>
      <c r="M50" s="193">
        <v>1</v>
      </c>
      <c r="N50" s="193">
        <v>1</v>
      </c>
      <c r="O50" s="193">
        <v>1</v>
      </c>
      <c r="P50" s="193">
        <v>1</v>
      </c>
      <c r="Q50" s="193">
        <v>1</v>
      </c>
      <c r="R50" s="193">
        <v>1</v>
      </c>
      <c r="S50" s="193">
        <v>1</v>
      </c>
      <c r="T50" s="193">
        <v>1</v>
      </c>
      <c r="U50" s="193">
        <v>1</v>
      </c>
      <c r="V50" s="193">
        <v>1</v>
      </c>
      <c r="W50" s="193">
        <v>1</v>
      </c>
      <c r="X50" s="193">
        <v>1</v>
      </c>
      <c r="Y50" s="193">
        <v>1</v>
      </c>
      <c r="Z50" s="193">
        <v>1</v>
      </c>
      <c r="AA50" s="193"/>
      <c r="AB50" s="193">
        <f t="shared" si="2"/>
        <v>20</v>
      </c>
      <c r="AC50" s="193">
        <f t="shared" si="1"/>
        <v>0</v>
      </c>
    </row>
    <row r="51" spans="1:29">
      <c r="A51" s="193" t="s">
        <v>123</v>
      </c>
      <c r="B51" s="194" t="s">
        <v>336</v>
      </c>
      <c r="C51" s="194"/>
      <c r="D51" s="194"/>
      <c r="E51" s="194"/>
      <c r="F51" s="194"/>
      <c r="G51" s="194">
        <v>1</v>
      </c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>
        <f t="shared" si="2"/>
        <v>1</v>
      </c>
      <c r="AC51" s="194">
        <f t="shared" si="1"/>
        <v>0</v>
      </c>
    </row>
    <row r="52" spans="1:30">
      <c r="A52" s="193" t="s">
        <v>125</v>
      </c>
      <c r="B52" s="193" t="s">
        <v>337</v>
      </c>
      <c r="C52" s="193"/>
      <c r="D52" s="193"/>
      <c r="E52" s="193"/>
      <c r="F52" s="193"/>
      <c r="G52" s="193">
        <v>1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>
        <f t="shared" si="2"/>
        <v>1</v>
      </c>
      <c r="AC52" s="193">
        <f t="shared" si="1"/>
        <v>0</v>
      </c>
      <c r="AD52" s="193"/>
    </row>
    <row r="53" spans="1:30">
      <c r="A53" s="193" t="s">
        <v>127</v>
      </c>
      <c r="B53" s="193" t="s">
        <v>145</v>
      </c>
      <c r="C53" s="193"/>
      <c r="D53" s="193"/>
      <c r="E53" s="193"/>
      <c r="F53" s="193"/>
      <c r="G53" s="193"/>
      <c r="H53" s="193">
        <v>4</v>
      </c>
      <c r="I53" s="193">
        <v>4</v>
      </c>
      <c r="J53" s="193">
        <v>4</v>
      </c>
      <c r="K53" s="193">
        <v>4</v>
      </c>
      <c r="L53" s="193">
        <v>4</v>
      </c>
      <c r="M53" s="193">
        <v>4</v>
      </c>
      <c r="N53" s="193">
        <v>4</v>
      </c>
      <c r="O53" s="193">
        <v>4</v>
      </c>
      <c r="P53" s="193">
        <v>4</v>
      </c>
      <c r="Q53" s="193">
        <v>4</v>
      </c>
      <c r="R53" s="193">
        <v>4</v>
      </c>
      <c r="S53" s="193">
        <v>4</v>
      </c>
      <c r="T53" s="193">
        <v>4</v>
      </c>
      <c r="U53" s="193">
        <v>4</v>
      </c>
      <c r="V53" s="193">
        <v>4</v>
      </c>
      <c r="W53" s="193">
        <v>4</v>
      </c>
      <c r="X53" s="193">
        <v>4</v>
      </c>
      <c r="Y53" s="193">
        <v>4</v>
      </c>
      <c r="Z53" s="193">
        <v>4</v>
      </c>
      <c r="AA53" s="193"/>
      <c r="AB53" s="193">
        <f t="shared" ref="AB53:AB72" si="3">SUM(E53:AA53)</f>
        <v>76</v>
      </c>
      <c r="AC53" s="193">
        <f t="shared" ref="AC53:AC73" si="4">C53*D53*AB53/1000000</f>
        <v>0</v>
      </c>
      <c r="AD53" s="193"/>
    </row>
    <row r="54" spans="1:30">
      <c r="A54" s="193" t="s">
        <v>129</v>
      </c>
      <c r="B54" s="193" t="s">
        <v>147</v>
      </c>
      <c r="C54" s="193"/>
      <c r="D54" s="193"/>
      <c r="E54" s="193"/>
      <c r="F54" s="193"/>
      <c r="G54" s="193"/>
      <c r="H54" s="193">
        <v>3</v>
      </c>
      <c r="I54" s="193">
        <v>3</v>
      </c>
      <c r="J54" s="193">
        <v>3</v>
      </c>
      <c r="K54" s="193">
        <v>3</v>
      </c>
      <c r="L54" s="193">
        <v>3</v>
      </c>
      <c r="M54" s="193">
        <v>3</v>
      </c>
      <c r="N54" s="193">
        <v>3</v>
      </c>
      <c r="O54" s="193">
        <v>3</v>
      </c>
      <c r="P54" s="193">
        <v>3</v>
      </c>
      <c r="Q54" s="193">
        <v>3</v>
      </c>
      <c r="R54" s="193">
        <v>3</v>
      </c>
      <c r="S54" s="193">
        <v>3</v>
      </c>
      <c r="T54" s="193">
        <v>3</v>
      </c>
      <c r="U54" s="193">
        <v>3</v>
      </c>
      <c r="V54" s="193">
        <v>3</v>
      </c>
      <c r="W54" s="193">
        <v>3</v>
      </c>
      <c r="X54" s="193">
        <v>3</v>
      </c>
      <c r="Y54" s="193">
        <v>3</v>
      </c>
      <c r="Z54" s="193">
        <v>3</v>
      </c>
      <c r="AA54" s="193"/>
      <c r="AB54" s="193">
        <f t="shared" si="3"/>
        <v>57</v>
      </c>
      <c r="AC54" s="193">
        <f t="shared" si="4"/>
        <v>0</v>
      </c>
      <c r="AD54" s="193"/>
    </row>
    <row r="55" spans="1:30">
      <c r="A55" s="193" t="s">
        <v>131</v>
      </c>
      <c r="B55" s="193" t="s">
        <v>153</v>
      </c>
      <c r="C55" s="193"/>
      <c r="D55" s="193"/>
      <c r="E55" s="193"/>
      <c r="F55" s="193"/>
      <c r="G55" s="193">
        <v>1</v>
      </c>
      <c r="H55" s="193">
        <v>4</v>
      </c>
      <c r="I55" s="193">
        <v>4</v>
      </c>
      <c r="J55" s="193">
        <v>4</v>
      </c>
      <c r="K55" s="193">
        <v>4</v>
      </c>
      <c r="L55" s="193">
        <v>4</v>
      </c>
      <c r="M55" s="193">
        <v>4</v>
      </c>
      <c r="N55" s="193">
        <v>4</v>
      </c>
      <c r="O55" s="193">
        <v>4</v>
      </c>
      <c r="P55" s="193">
        <v>4</v>
      </c>
      <c r="Q55" s="193">
        <v>4</v>
      </c>
      <c r="R55" s="193">
        <v>4</v>
      </c>
      <c r="S55" s="193">
        <v>4</v>
      </c>
      <c r="T55" s="193">
        <v>4</v>
      </c>
      <c r="U55" s="193">
        <v>4</v>
      </c>
      <c r="V55" s="193">
        <v>4</v>
      </c>
      <c r="W55" s="193">
        <v>4</v>
      </c>
      <c r="X55" s="193">
        <v>4</v>
      </c>
      <c r="Y55" s="193">
        <v>4</v>
      </c>
      <c r="Z55" s="193">
        <v>4</v>
      </c>
      <c r="AA55" s="193"/>
      <c r="AB55" s="193">
        <f t="shared" si="3"/>
        <v>77</v>
      </c>
      <c r="AC55" s="193">
        <f t="shared" si="4"/>
        <v>0</v>
      </c>
      <c r="AD55" s="193"/>
    </row>
    <row r="56" spans="1:30">
      <c r="A56" s="193" t="s">
        <v>133</v>
      </c>
      <c r="B56" s="193" t="s">
        <v>159</v>
      </c>
      <c r="C56" s="193"/>
      <c r="D56" s="193"/>
      <c r="E56" s="193"/>
      <c r="F56" s="193"/>
      <c r="G56" s="193"/>
      <c r="H56" s="193">
        <v>1</v>
      </c>
      <c r="I56" s="193">
        <v>1</v>
      </c>
      <c r="J56" s="193">
        <v>1</v>
      </c>
      <c r="K56" s="193">
        <v>1</v>
      </c>
      <c r="L56" s="193">
        <v>1</v>
      </c>
      <c r="M56" s="193">
        <v>1</v>
      </c>
      <c r="N56" s="193">
        <v>1</v>
      </c>
      <c r="O56" s="193">
        <v>1</v>
      </c>
      <c r="P56" s="193">
        <v>1</v>
      </c>
      <c r="Q56" s="193">
        <v>1</v>
      </c>
      <c r="R56" s="193">
        <v>1</v>
      </c>
      <c r="S56" s="193">
        <v>1</v>
      </c>
      <c r="T56" s="193">
        <v>1</v>
      </c>
      <c r="U56" s="193">
        <v>1</v>
      </c>
      <c r="V56" s="193">
        <v>1</v>
      </c>
      <c r="W56" s="193">
        <v>1</v>
      </c>
      <c r="X56" s="193">
        <v>1</v>
      </c>
      <c r="Y56" s="193">
        <v>1</v>
      </c>
      <c r="Z56" s="193">
        <v>1</v>
      </c>
      <c r="AA56" s="193"/>
      <c r="AB56" s="193">
        <f t="shared" si="3"/>
        <v>19</v>
      </c>
      <c r="AC56" s="193">
        <f t="shared" si="4"/>
        <v>0</v>
      </c>
      <c r="AD56" s="193"/>
    </row>
    <row r="57" spans="1:30">
      <c r="A57" s="193" t="s">
        <v>135</v>
      </c>
      <c r="B57" s="193" t="s">
        <v>300</v>
      </c>
      <c r="C57" s="193"/>
      <c r="D57" s="193"/>
      <c r="E57" s="193"/>
      <c r="F57" s="193"/>
      <c r="G57" s="193"/>
      <c r="H57" s="193">
        <v>2</v>
      </c>
      <c r="I57" s="193">
        <v>2</v>
      </c>
      <c r="J57" s="193">
        <v>2</v>
      </c>
      <c r="K57" s="193">
        <v>2</v>
      </c>
      <c r="L57" s="193">
        <v>2</v>
      </c>
      <c r="M57" s="193">
        <v>2</v>
      </c>
      <c r="N57" s="193">
        <v>2</v>
      </c>
      <c r="O57" s="193">
        <v>2</v>
      </c>
      <c r="P57" s="193">
        <v>2</v>
      </c>
      <c r="Q57" s="193">
        <v>2</v>
      </c>
      <c r="R57" s="193">
        <v>2</v>
      </c>
      <c r="S57" s="193">
        <v>2</v>
      </c>
      <c r="T57" s="193">
        <v>2</v>
      </c>
      <c r="U57" s="193">
        <v>2</v>
      </c>
      <c r="V57" s="193">
        <v>2</v>
      </c>
      <c r="W57" s="193">
        <v>2</v>
      </c>
      <c r="X57" s="193">
        <v>2</v>
      </c>
      <c r="Y57" s="193">
        <v>2</v>
      </c>
      <c r="Z57" s="193">
        <v>2</v>
      </c>
      <c r="AA57" s="193"/>
      <c r="AB57" s="193">
        <f t="shared" si="3"/>
        <v>38</v>
      </c>
      <c r="AC57" s="193">
        <f t="shared" si="4"/>
        <v>0</v>
      </c>
      <c r="AD57" s="193"/>
    </row>
    <row r="58" spans="1:30">
      <c r="A58" s="193" t="s">
        <v>137</v>
      </c>
      <c r="B58" s="193" t="s">
        <v>302</v>
      </c>
      <c r="C58" s="193"/>
      <c r="D58" s="193"/>
      <c r="E58" s="193"/>
      <c r="F58" s="193"/>
      <c r="G58" s="193"/>
      <c r="H58" s="193"/>
      <c r="I58" s="193">
        <v>1</v>
      </c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>
        <v>2</v>
      </c>
      <c r="Z58" s="193"/>
      <c r="AA58" s="193"/>
      <c r="AB58" s="193">
        <f t="shared" si="3"/>
        <v>3</v>
      </c>
      <c r="AC58" s="193">
        <f t="shared" si="4"/>
        <v>0</v>
      </c>
      <c r="AD58" s="193"/>
    </row>
    <row r="59" spans="1:30">
      <c r="A59" s="193" t="s">
        <v>138</v>
      </c>
      <c r="B59" s="193" t="s">
        <v>143</v>
      </c>
      <c r="C59" s="193"/>
      <c r="D59" s="193"/>
      <c r="E59" s="193"/>
      <c r="F59" s="193"/>
      <c r="G59" s="193"/>
      <c r="H59" s="193">
        <v>2</v>
      </c>
      <c r="I59" s="193">
        <v>2</v>
      </c>
      <c r="J59" s="193">
        <v>2</v>
      </c>
      <c r="K59" s="193">
        <v>2</v>
      </c>
      <c r="L59" s="193">
        <v>2</v>
      </c>
      <c r="M59" s="193">
        <v>2</v>
      </c>
      <c r="N59" s="193">
        <v>2</v>
      </c>
      <c r="O59" s="193">
        <v>2</v>
      </c>
      <c r="P59" s="193">
        <v>2</v>
      </c>
      <c r="Q59" s="193">
        <v>2</v>
      </c>
      <c r="R59" s="193">
        <v>2</v>
      </c>
      <c r="S59" s="193">
        <v>2</v>
      </c>
      <c r="T59" s="193">
        <v>2</v>
      </c>
      <c r="U59" s="193">
        <v>2</v>
      </c>
      <c r="V59" s="193">
        <v>2</v>
      </c>
      <c r="W59" s="193">
        <v>2</v>
      </c>
      <c r="X59" s="193">
        <v>2</v>
      </c>
      <c r="Y59" s="193">
        <v>2</v>
      </c>
      <c r="Z59" s="193">
        <v>2</v>
      </c>
      <c r="AA59" s="193"/>
      <c r="AB59" s="193">
        <f t="shared" si="3"/>
        <v>38</v>
      </c>
      <c r="AC59" s="193">
        <f t="shared" si="4"/>
        <v>0</v>
      </c>
      <c r="AD59" s="193"/>
    </row>
    <row r="60" spans="1:30">
      <c r="A60" s="193" t="s">
        <v>140</v>
      </c>
      <c r="B60" s="193" t="s">
        <v>141</v>
      </c>
      <c r="C60" s="193"/>
      <c r="D60" s="193"/>
      <c r="E60" s="193"/>
      <c r="F60" s="193"/>
      <c r="G60" s="193"/>
      <c r="H60" s="193">
        <v>2</v>
      </c>
      <c r="I60" s="193">
        <v>2</v>
      </c>
      <c r="J60" s="193">
        <v>2</v>
      </c>
      <c r="K60" s="193">
        <v>2</v>
      </c>
      <c r="L60" s="193">
        <v>2</v>
      </c>
      <c r="M60" s="193">
        <v>2</v>
      </c>
      <c r="N60" s="193">
        <v>2</v>
      </c>
      <c r="O60" s="193">
        <v>2</v>
      </c>
      <c r="P60" s="193">
        <v>2</v>
      </c>
      <c r="Q60" s="193">
        <v>2</v>
      </c>
      <c r="R60" s="193">
        <v>2</v>
      </c>
      <c r="S60" s="193">
        <v>2</v>
      </c>
      <c r="T60" s="193">
        <v>2</v>
      </c>
      <c r="U60" s="193">
        <v>2</v>
      </c>
      <c r="V60" s="193">
        <v>2</v>
      </c>
      <c r="W60" s="193">
        <v>2</v>
      </c>
      <c r="X60" s="193">
        <v>2</v>
      </c>
      <c r="Y60" s="193">
        <v>2</v>
      </c>
      <c r="Z60" s="193">
        <v>2</v>
      </c>
      <c r="AA60" s="193"/>
      <c r="AB60" s="193">
        <f t="shared" si="3"/>
        <v>38</v>
      </c>
      <c r="AC60" s="193">
        <f t="shared" si="4"/>
        <v>0</v>
      </c>
      <c r="AD60" s="193"/>
    </row>
    <row r="61" spans="1:30">
      <c r="A61" s="193" t="s">
        <v>142</v>
      </c>
      <c r="B61" s="193" t="s">
        <v>179</v>
      </c>
      <c r="C61" s="193"/>
      <c r="D61" s="193"/>
      <c r="E61" s="193"/>
      <c r="F61" s="193"/>
      <c r="G61" s="193"/>
      <c r="H61" s="193">
        <v>1</v>
      </c>
      <c r="I61" s="193">
        <v>1</v>
      </c>
      <c r="J61" s="193">
        <v>2</v>
      </c>
      <c r="K61" s="193">
        <v>2</v>
      </c>
      <c r="L61" s="193">
        <v>2</v>
      </c>
      <c r="M61" s="193">
        <v>2</v>
      </c>
      <c r="N61" s="193">
        <v>2</v>
      </c>
      <c r="O61" s="193">
        <v>2</v>
      </c>
      <c r="P61" s="193">
        <v>2</v>
      </c>
      <c r="Q61" s="193">
        <v>2</v>
      </c>
      <c r="R61" s="193">
        <v>2</v>
      </c>
      <c r="S61" s="193">
        <v>2</v>
      </c>
      <c r="T61" s="193">
        <v>2</v>
      </c>
      <c r="U61" s="193">
        <v>2</v>
      </c>
      <c r="V61" s="193">
        <v>2</v>
      </c>
      <c r="W61" s="193">
        <v>2</v>
      </c>
      <c r="X61" s="193">
        <v>2</v>
      </c>
      <c r="Y61" s="193">
        <v>2</v>
      </c>
      <c r="Z61" s="193"/>
      <c r="AA61" s="193"/>
      <c r="AB61" s="193">
        <f t="shared" si="3"/>
        <v>34</v>
      </c>
      <c r="AC61" s="193">
        <f t="shared" si="4"/>
        <v>0</v>
      </c>
      <c r="AD61" s="193"/>
    </row>
    <row r="62" spans="1:30">
      <c r="A62" s="193" t="s">
        <v>144</v>
      </c>
      <c r="B62" s="193" t="s">
        <v>169</v>
      </c>
      <c r="C62" s="193"/>
      <c r="D62" s="193"/>
      <c r="E62" s="193"/>
      <c r="F62" s="193"/>
      <c r="G62" s="193"/>
      <c r="H62" s="193">
        <v>2</v>
      </c>
      <c r="I62" s="193">
        <v>2</v>
      </c>
      <c r="J62" s="193">
        <v>2</v>
      </c>
      <c r="K62" s="193">
        <v>2</v>
      </c>
      <c r="L62" s="193">
        <v>2</v>
      </c>
      <c r="M62" s="193">
        <v>2</v>
      </c>
      <c r="N62" s="193">
        <v>2</v>
      </c>
      <c r="O62" s="193">
        <v>2</v>
      </c>
      <c r="P62" s="193">
        <v>2</v>
      </c>
      <c r="Q62" s="193">
        <v>2</v>
      </c>
      <c r="R62" s="193">
        <v>2</v>
      </c>
      <c r="S62" s="193">
        <v>2</v>
      </c>
      <c r="T62" s="193">
        <v>2</v>
      </c>
      <c r="U62" s="193">
        <v>2</v>
      </c>
      <c r="V62" s="193">
        <v>2</v>
      </c>
      <c r="W62" s="193">
        <v>2</v>
      </c>
      <c r="X62" s="193">
        <v>2</v>
      </c>
      <c r="Y62" s="193">
        <v>2</v>
      </c>
      <c r="Z62" s="193">
        <v>2</v>
      </c>
      <c r="AA62" s="193"/>
      <c r="AB62" s="193">
        <f t="shared" si="3"/>
        <v>38</v>
      </c>
      <c r="AC62" s="193">
        <f t="shared" si="4"/>
        <v>0</v>
      </c>
      <c r="AD62" s="193"/>
    </row>
    <row r="63" spans="1:30">
      <c r="A63" s="193" t="s">
        <v>146</v>
      </c>
      <c r="B63" s="193" t="s">
        <v>161</v>
      </c>
      <c r="C63" s="193"/>
      <c r="D63" s="193"/>
      <c r="E63" s="193"/>
      <c r="F63" s="193"/>
      <c r="G63" s="193"/>
      <c r="H63" s="193">
        <v>2</v>
      </c>
      <c r="I63" s="193">
        <v>2</v>
      </c>
      <c r="J63" s="193">
        <v>2</v>
      </c>
      <c r="K63" s="193">
        <v>2</v>
      </c>
      <c r="L63" s="193">
        <v>2</v>
      </c>
      <c r="M63" s="193">
        <v>2</v>
      </c>
      <c r="N63" s="193">
        <v>2</v>
      </c>
      <c r="O63" s="193">
        <v>2</v>
      </c>
      <c r="P63" s="193">
        <v>2</v>
      </c>
      <c r="Q63" s="193">
        <v>2</v>
      </c>
      <c r="R63" s="193">
        <v>2</v>
      </c>
      <c r="S63" s="193">
        <v>2</v>
      </c>
      <c r="T63" s="193">
        <v>2</v>
      </c>
      <c r="U63" s="193">
        <v>2</v>
      </c>
      <c r="V63" s="193">
        <v>2</v>
      </c>
      <c r="W63" s="193">
        <v>2</v>
      </c>
      <c r="X63" s="193">
        <v>2</v>
      </c>
      <c r="Y63" s="193">
        <v>2</v>
      </c>
      <c r="Z63" s="193"/>
      <c r="AA63" s="193"/>
      <c r="AB63" s="193">
        <f t="shared" si="3"/>
        <v>36</v>
      </c>
      <c r="AC63" s="193">
        <f t="shared" si="4"/>
        <v>0</v>
      </c>
      <c r="AD63" s="193"/>
    </row>
    <row r="64" spans="1:30">
      <c r="A64" s="193" t="s">
        <v>148</v>
      </c>
      <c r="B64" s="193" t="s">
        <v>338</v>
      </c>
      <c r="C64" s="193"/>
      <c r="D64" s="193"/>
      <c r="E64" s="193"/>
      <c r="F64" s="193"/>
      <c r="G64" s="193"/>
      <c r="H64" s="193">
        <v>1</v>
      </c>
      <c r="I64" s="193">
        <v>1</v>
      </c>
      <c r="J64" s="193">
        <v>1</v>
      </c>
      <c r="K64" s="193">
        <v>1</v>
      </c>
      <c r="L64" s="193">
        <v>1</v>
      </c>
      <c r="M64" s="193">
        <v>1</v>
      </c>
      <c r="N64" s="193">
        <v>1</v>
      </c>
      <c r="O64" s="193">
        <v>1</v>
      </c>
      <c r="P64" s="193">
        <v>1</v>
      </c>
      <c r="Q64" s="193">
        <v>1</v>
      </c>
      <c r="R64" s="193">
        <v>1</v>
      </c>
      <c r="S64" s="193">
        <v>1</v>
      </c>
      <c r="T64" s="193">
        <v>1</v>
      </c>
      <c r="U64" s="193">
        <v>1</v>
      </c>
      <c r="V64" s="193">
        <v>1</v>
      </c>
      <c r="W64" s="193">
        <v>1</v>
      </c>
      <c r="X64" s="193">
        <v>1</v>
      </c>
      <c r="Y64" s="193">
        <v>1</v>
      </c>
      <c r="Z64" s="193">
        <v>1</v>
      </c>
      <c r="AA64" s="193">
        <v>1</v>
      </c>
      <c r="AB64" s="193">
        <f t="shared" si="3"/>
        <v>20</v>
      </c>
      <c r="AC64" s="193">
        <f t="shared" si="4"/>
        <v>0</v>
      </c>
      <c r="AD64" s="193"/>
    </row>
    <row r="65" spans="1:30">
      <c r="A65" s="193" t="s">
        <v>150</v>
      </c>
      <c r="B65" s="193" t="s">
        <v>301</v>
      </c>
      <c r="C65" s="193"/>
      <c r="D65" s="193"/>
      <c r="E65" s="193"/>
      <c r="F65" s="193"/>
      <c r="G65" s="193"/>
      <c r="H65" s="193">
        <v>1</v>
      </c>
      <c r="I65" s="193">
        <v>1</v>
      </c>
      <c r="J65" s="193">
        <v>1</v>
      </c>
      <c r="K65" s="193">
        <v>1</v>
      </c>
      <c r="L65" s="193">
        <v>1</v>
      </c>
      <c r="M65" s="193">
        <v>1</v>
      </c>
      <c r="N65" s="193">
        <v>1</v>
      </c>
      <c r="O65" s="193">
        <v>1</v>
      </c>
      <c r="P65" s="193">
        <v>1</v>
      </c>
      <c r="Q65" s="193">
        <v>1</v>
      </c>
      <c r="R65" s="193">
        <v>1</v>
      </c>
      <c r="S65" s="193">
        <v>1</v>
      </c>
      <c r="T65" s="193">
        <v>1</v>
      </c>
      <c r="U65" s="193">
        <v>1</v>
      </c>
      <c r="V65" s="193">
        <v>1</v>
      </c>
      <c r="W65" s="193">
        <v>1</v>
      </c>
      <c r="X65" s="193">
        <v>1</v>
      </c>
      <c r="Y65" s="193">
        <v>1</v>
      </c>
      <c r="Z65" s="193">
        <v>1</v>
      </c>
      <c r="AA65" s="193">
        <v>1</v>
      </c>
      <c r="AB65" s="193">
        <f t="shared" si="3"/>
        <v>20</v>
      </c>
      <c r="AC65" s="193">
        <f t="shared" si="4"/>
        <v>0</v>
      </c>
      <c r="AD65" s="193"/>
    </row>
    <row r="66" spans="1:30">
      <c r="A66" s="193" t="s">
        <v>152</v>
      </c>
      <c r="B66" s="193" t="s">
        <v>339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>
        <v>2</v>
      </c>
      <c r="Y66" s="193"/>
      <c r="Z66" s="193"/>
      <c r="AA66" s="193"/>
      <c r="AB66" s="193">
        <f t="shared" si="3"/>
        <v>2</v>
      </c>
      <c r="AC66" s="193">
        <f t="shared" si="4"/>
        <v>0</v>
      </c>
      <c r="AD66" s="193"/>
    </row>
    <row r="67" spans="1:30">
      <c r="A67" s="193" t="s">
        <v>154</v>
      </c>
      <c r="B67" s="193" t="s">
        <v>175</v>
      </c>
      <c r="C67" s="193"/>
      <c r="D67" s="193"/>
      <c r="E67" s="193"/>
      <c r="F67" s="193"/>
      <c r="G67" s="193"/>
      <c r="H67" s="193">
        <v>1</v>
      </c>
      <c r="I67" s="193">
        <v>1</v>
      </c>
      <c r="J67" s="193">
        <v>1</v>
      </c>
      <c r="K67" s="193">
        <v>1</v>
      </c>
      <c r="L67" s="193">
        <v>1</v>
      </c>
      <c r="M67" s="193">
        <v>1</v>
      </c>
      <c r="N67" s="193">
        <v>1</v>
      </c>
      <c r="O67" s="193">
        <v>1</v>
      </c>
      <c r="P67" s="193">
        <v>1</v>
      </c>
      <c r="Q67" s="193">
        <v>1</v>
      </c>
      <c r="R67" s="193">
        <v>1</v>
      </c>
      <c r="S67" s="193">
        <v>1</v>
      </c>
      <c r="T67" s="193">
        <v>1</v>
      </c>
      <c r="U67" s="193">
        <v>1</v>
      </c>
      <c r="V67" s="193">
        <v>1</v>
      </c>
      <c r="W67" s="193">
        <v>1</v>
      </c>
      <c r="X67" s="193">
        <v>1</v>
      </c>
      <c r="Y67" s="193">
        <v>1</v>
      </c>
      <c r="Z67" s="193">
        <v>1</v>
      </c>
      <c r="AA67" s="193"/>
      <c r="AB67" s="193">
        <f t="shared" si="3"/>
        <v>19</v>
      </c>
      <c r="AC67" s="193">
        <f t="shared" si="4"/>
        <v>0</v>
      </c>
      <c r="AD67" s="193"/>
    </row>
    <row r="68" spans="1:30">
      <c r="A68" s="193" t="s">
        <v>156</v>
      </c>
      <c r="B68" s="193" t="s">
        <v>340</v>
      </c>
      <c r="C68" s="193"/>
      <c r="D68" s="193"/>
      <c r="E68" s="193"/>
      <c r="F68" s="193"/>
      <c r="G68" s="193"/>
      <c r="H68" s="193">
        <v>1</v>
      </c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>
        <v>2</v>
      </c>
      <c r="AA68" s="193"/>
      <c r="AB68" s="193">
        <f t="shared" si="3"/>
        <v>3</v>
      </c>
      <c r="AC68" s="193">
        <f t="shared" si="4"/>
        <v>0</v>
      </c>
      <c r="AD68" s="193"/>
    </row>
    <row r="69" spans="1:30">
      <c r="A69" s="193" t="s">
        <v>158</v>
      </c>
      <c r="B69" s="193" t="s">
        <v>299</v>
      </c>
      <c r="C69" s="193"/>
      <c r="D69" s="193"/>
      <c r="E69" s="193"/>
      <c r="F69" s="193"/>
      <c r="G69" s="193"/>
      <c r="H69" s="193">
        <v>1</v>
      </c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>
        <f t="shared" si="3"/>
        <v>1</v>
      </c>
      <c r="AC69" s="193">
        <f t="shared" si="4"/>
        <v>0</v>
      </c>
      <c r="AD69" s="193"/>
    </row>
    <row r="70" spans="1:30">
      <c r="A70" s="193" t="s">
        <v>160</v>
      </c>
      <c r="B70" s="193" t="s">
        <v>341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>
        <v>2</v>
      </c>
      <c r="Z70" s="193"/>
      <c r="AA70" s="193"/>
      <c r="AB70" s="193">
        <f t="shared" si="3"/>
        <v>2</v>
      </c>
      <c r="AC70" s="193">
        <f t="shared" si="4"/>
        <v>0</v>
      </c>
      <c r="AD70" s="193"/>
    </row>
    <row r="71" spans="1:30">
      <c r="A71" s="193" t="s">
        <v>162</v>
      </c>
      <c r="B71" s="193" t="s">
        <v>305</v>
      </c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>
        <v>2</v>
      </c>
      <c r="Z71" s="193"/>
      <c r="AA71" s="193"/>
      <c r="AB71" s="193">
        <f t="shared" si="3"/>
        <v>2</v>
      </c>
      <c r="AC71" s="193">
        <f t="shared" si="4"/>
        <v>0</v>
      </c>
      <c r="AD71" s="193"/>
    </row>
    <row r="72" spans="1:30">
      <c r="A72" s="193" t="s">
        <v>164</v>
      </c>
      <c r="B72" s="193" t="s">
        <v>191</v>
      </c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>
        <v>3</v>
      </c>
      <c r="AB72" s="193">
        <f t="shared" si="3"/>
        <v>3</v>
      </c>
      <c r="AC72" s="193">
        <f t="shared" si="4"/>
        <v>0</v>
      </c>
      <c r="AD72" s="193"/>
    </row>
    <row r="73" spans="1:29">
      <c r="A73" s="193"/>
      <c r="AB73" s="193"/>
      <c r="AC73" s="193">
        <f t="shared" si="4"/>
        <v>0</v>
      </c>
    </row>
    <row r="74" spans="1:1">
      <c r="A74" s="193"/>
    </row>
    <row r="75" spans="1:28">
      <c r="A75" s="193"/>
      <c r="AB75">
        <f>SUM(AB3:AB74)</f>
        <v>1003</v>
      </c>
    </row>
    <row r="76" spans="1:1">
      <c r="A76" s="19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6" sqref="B6:D6"/>
    </sheetView>
  </sheetViews>
  <sheetFormatPr defaultColWidth="9" defaultRowHeight="14.25" outlineLevelCol="4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24.375" style="2" customWidth="1"/>
    <col min="6" max="6" width="9" style="2"/>
    <col min="7" max="7" width="10.375" style="2"/>
    <col min="8" max="16384" width="9" style="2"/>
  </cols>
  <sheetData>
    <row r="1" ht="67" customHeight="1" spans="1:4">
      <c r="A1" s="173" t="s">
        <v>342</v>
      </c>
      <c r="B1" s="174"/>
      <c r="C1" s="174"/>
      <c r="D1" s="174"/>
    </row>
    <row r="2" ht="45" customHeight="1" spans="1:4">
      <c r="A2" s="175" t="s">
        <v>343</v>
      </c>
      <c r="B2" s="176" t="s">
        <v>344</v>
      </c>
      <c r="C2" s="177" t="s">
        <v>345</v>
      </c>
      <c r="D2" s="178" t="s">
        <v>346</v>
      </c>
    </row>
    <row r="3" ht="43" customHeight="1" spans="1:4">
      <c r="A3" s="179" t="s">
        <v>347</v>
      </c>
      <c r="B3" s="141" t="s">
        <v>348</v>
      </c>
      <c r="C3" s="140" t="s">
        <v>349</v>
      </c>
      <c r="D3" s="180" t="s">
        <v>350</v>
      </c>
    </row>
    <row r="4" ht="43" customHeight="1" spans="1:4">
      <c r="A4" s="179" t="s">
        <v>351</v>
      </c>
      <c r="B4" s="181" t="s">
        <v>352</v>
      </c>
      <c r="C4" s="181"/>
      <c r="D4" s="182"/>
    </row>
    <row r="5" ht="36" customHeight="1" spans="1:5">
      <c r="A5" s="179" t="s">
        <v>353</v>
      </c>
      <c r="B5" s="183" t="s">
        <v>354</v>
      </c>
      <c r="C5" s="141" t="s">
        <v>355</v>
      </c>
      <c r="D5" s="184">
        <f>'3工程结算汇总表'!E14</f>
        <v>3532000</v>
      </c>
      <c r="E5"/>
    </row>
    <row r="6" ht="33" customHeight="1" spans="1:4">
      <c r="A6" s="179" t="s">
        <v>356</v>
      </c>
      <c r="B6" s="185" t="s">
        <v>357</v>
      </c>
      <c r="C6" s="185"/>
      <c r="D6" s="186"/>
    </row>
    <row r="7" ht="37" customHeight="1" spans="1:4">
      <c r="A7" s="179" t="s">
        <v>358</v>
      </c>
      <c r="B7" s="185" t="s">
        <v>359</v>
      </c>
      <c r="C7" s="185"/>
      <c r="D7" s="186"/>
    </row>
    <row r="8" ht="37" customHeight="1" spans="1:4">
      <c r="A8" s="179" t="s">
        <v>360</v>
      </c>
      <c r="B8" s="187" t="s">
        <v>361</v>
      </c>
      <c r="C8" s="185"/>
      <c r="D8" s="186"/>
    </row>
    <row r="9" ht="37" customHeight="1" spans="1:4">
      <c r="A9" s="179" t="s">
        <v>362</v>
      </c>
      <c r="B9" s="185" t="s">
        <v>357</v>
      </c>
      <c r="C9" s="185"/>
      <c r="D9" s="186"/>
    </row>
    <row r="10" ht="37" customHeight="1" spans="1:4">
      <c r="A10" s="179" t="s">
        <v>363</v>
      </c>
      <c r="B10" s="185" t="s">
        <v>357</v>
      </c>
      <c r="C10" s="185"/>
      <c r="D10" s="186"/>
    </row>
    <row r="11" ht="37" customHeight="1" spans="1:4">
      <c r="A11" s="179" t="s">
        <v>364</v>
      </c>
      <c r="B11" s="185" t="s">
        <v>357</v>
      </c>
      <c r="C11" s="185"/>
      <c r="D11" s="186"/>
    </row>
    <row r="12" ht="37" customHeight="1" spans="1:4">
      <c r="A12" s="179" t="s">
        <v>365</v>
      </c>
      <c r="B12" s="185" t="s">
        <v>357</v>
      </c>
      <c r="C12" s="185"/>
      <c r="D12" s="186"/>
    </row>
    <row r="13" ht="37" customHeight="1" spans="1:4">
      <c r="A13" s="179" t="s">
        <v>366</v>
      </c>
      <c r="B13" s="185" t="s">
        <v>357</v>
      </c>
      <c r="C13" s="185"/>
      <c r="D13" s="186"/>
    </row>
    <row r="14" ht="37" customHeight="1" spans="1:4">
      <c r="A14" s="188" t="s">
        <v>367</v>
      </c>
      <c r="B14" s="189" t="s">
        <v>357</v>
      </c>
      <c r="C14" s="189"/>
      <c r="D14" s="190"/>
    </row>
    <row r="15" ht="30" customHeight="1" spans="1:1">
      <c r="A15" s="19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17" sqref="H17"/>
    </sheetView>
  </sheetViews>
  <sheetFormatPr defaultColWidth="9" defaultRowHeight="14.25"/>
  <cols>
    <col min="1" max="1" width="6.5" style="153" customWidth="1"/>
    <col min="2" max="2" width="42" style="154" customWidth="1"/>
    <col min="3" max="3" width="9" style="153" customWidth="1"/>
    <col min="4" max="4" width="10.625" style="153" customWidth="1"/>
    <col min="5" max="5" width="12.875" style="153" customWidth="1"/>
    <col min="6" max="6" width="8.625" style="155" customWidth="1"/>
    <col min="7" max="7" width="9" style="154" customWidth="1"/>
    <col min="8" max="8" width="9.125" style="154" customWidth="1"/>
    <col min="9" max="11" width="9" style="154" customWidth="1"/>
    <col min="12" max="16384" width="9" style="2"/>
  </cols>
  <sheetData>
    <row r="1" ht="45" customHeight="1" spans="1:9">
      <c r="A1" s="156" t="s">
        <v>369</v>
      </c>
      <c r="B1" s="156"/>
      <c r="C1" s="156"/>
      <c r="D1" s="156"/>
      <c r="E1" s="156"/>
      <c r="F1" s="156"/>
      <c r="G1" s="157"/>
      <c r="H1" s="157"/>
      <c r="I1" s="157"/>
    </row>
    <row r="2" ht="27" customHeight="1" spans="1:6">
      <c r="A2" s="158" t="s">
        <v>1</v>
      </c>
      <c r="B2" s="159" t="s">
        <v>370</v>
      </c>
      <c r="C2" s="159" t="s">
        <v>371</v>
      </c>
      <c r="D2" s="159" t="s">
        <v>372</v>
      </c>
      <c r="E2" s="159" t="s">
        <v>373</v>
      </c>
      <c r="F2" s="160" t="s">
        <v>374</v>
      </c>
    </row>
    <row r="3" s="151" customFormat="1" ht="27" customHeight="1" spans="1:11">
      <c r="A3" s="161">
        <v>1</v>
      </c>
      <c r="B3" s="162" t="s">
        <v>375</v>
      </c>
      <c r="C3" s="163" t="s">
        <v>376</v>
      </c>
      <c r="D3" s="163" t="s">
        <v>377</v>
      </c>
      <c r="E3" s="163" t="s">
        <v>378</v>
      </c>
      <c r="F3" s="164"/>
      <c r="G3" s="165"/>
      <c r="H3" s="165" t="s">
        <v>379</v>
      </c>
      <c r="I3" s="165"/>
      <c r="J3" s="165"/>
      <c r="K3" s="165"/>
    </row>
    <row r="4" s="151" customFormat="1" ht="27" customHeight="1" spans="1:11">
      <c r="A4" s="161">
        <v>2</v>
      </c>
      <c r="B4" s="162" t="s">
        <v>380</v>
      </c>
      <c r="C4" s="163" t="s">
        <v>376</v>
      </c>
      <c r="D4" s="163" t="s">
        <v>381</v>
      </c>
      <c r="E4" s="163" t="s">
        <v>378</v>
      </c>
      <c r="F4" s="164"/>
      <c r="G4" s="165"/>
      <c r="H4" s="165"/>
      <c r="I4" s="165"/>
      <c r="J4" s="165"/>
      <c r="K4" s="165"/>
    </row>
    <row r="5" s="151" customFormat="1" ht="27" customHeight="1" spans="1:11">
      <c r="A5" s="161">
        <v>3</v>
      </c>
      <c r="B5" s="162" t="s">
        <v>382</v>
      </c>
      <c r="C5" s="163" t="s">
        <v>376</v>
      </c>
      <c r="D5" s="163" t="s">
        <v>383</v>
      </c>
      <c r="E5" s="163" t="s">
        <v>378</v>
      </c>
      <c r="F5" s="164"/>
      <c r="G5" s="165"/>
      <c r="H5" s="165" t="s">
        <v>384</v>
      </c>
      <c r="I5" s="165"/>
      <c r="J5" s="165"/>
      <c r="K5" s="165"/>
    </row>
    <row r="6" ht="27" customHeight="1" spans="1:6">
      <c r="A6" s="161">
        <v>4</v>
      </c>
      <c r="B6" s="162" t="s">
        <v>385</v>
      </c>
      <c r="C6" s="163" t="s">
        <v>376</v>
      </c>
      <c r="D6" s="163" t="s">
        <v>386</v>
      </c>
      <c r="E6" s="163" t="s">
        <v>378</v>
      </c>
      <c r="F6" s="164"/>
    </row>
    <row r="7" ht="27" customHeight="1" spans="1:6">
      <c r="A7" s="161">
        <v>5</v>
      </c>
      <c r="B7" s="162" t="s">
        <v>387</v>
      </c>
      <c r="C7" s="163" t="s">
        <v>376</v>
      </c>
      <c r="D7" s="163" t="s">
        <v>388</v>
      </c>
      <c r="E7" s="163" t="s">
        <v>378</v>
      </c>
      <c r="F7" s="164"/>
    </row>
    <row r="8" ht="27" customHeight="1" spans="1:8">
      <c r="A8" s="161">
        <v>6</v>
      </c>
      <c r="B8" s="162" t="s">
        <v>389</v>
      </c>
      <c r="C8" s="163" t="s">
        <v>390</v>
      </c>
      <c r="D8" s="163" t="s">
        <v>391</v>
      </c>
      <c r="E8" s="163" t="s">
        <v>378</v>
      </c>
      <c r="F8" s="164"/>
      <c r="H8" s="154">
        <f>20-6+1</f>
        <v>15</v>
      </c>
    </row>
    <row r="9" ht="27" customHeight="1" spans="1:6">
      <c r="A9" s="161">
        <v>7</v>
      </c>
      <c r="B9" s="162" t="s">
        <v>392</v>
      </c>
      <c r="C9" s="163" t="s">
        <v>376</v>
      </c>
      <c r="D9" s="163" t="s">
        <v>393</v>
      </c>
      <c r="E9" s="163" t="s">
        <v>378</v>
      </c>
      <c r="F9" s="164"/>
    </row>
    <row r="10" ht="27" customHeight="1" spans="1:6">
      <c r="A10" s="161">
        <v>8</v>
      </c>
      <c r="B10" s="162" t="s">
        <v>394</v>
      </c>
      <c r="C10" s="163" t="s">
        <v>376</v>
      </c>
      <c r="D10" s="163" t="s">
        <v>395</v>
      </c>
      <c r="E10" s="163" t="s">
        <v>378</v>
      </c>
      <c r="F10" s="164"/>
    </row>
    <row r="11" ht="27" customHeight="1" spans="1:6">
      <c r="A11" s="161">
        <v>9</v>
      </c>
      <c r="B11" s="166" t="s">
        <v>396</v>
      </c>
      <c r="C11" s="163" t="s">
        <v>376</v>
      </c>
      <c r="D11" s="163" t="s">
        <v>397</v>
      </c>
      <c r="E11" s="163" t="s">
        <v>398</v>
      </c>
      <c r="F11" s="164"/>
    </row>
    <row r="12" ht="27" customHeight="1" spans="1:6">
      <c r="A12" s="161">
        <v>10</v>
      </c>
      <c r="B12" s="162" t="s">
        <v>399</v>
      </c>
      <c r="C12" s="163" t="s">
        <v>400</v>
      </c>
      <c r="D12" s="163" t="s">
        <v>401</v>
      </c>
      <c r="E12" s="163" t="s">
        <v>378</v>
      </c>
      <c r="F12" s="164"/>
    </row>
    <row r="13" ht="27" customHeight="1" spans="1:6">
      <c r="A13" s="161">
        <v>11</v>
      </c>
      <c r="B13" s="162" t="s">
        <v>402</v>
      </c>
      <c r="C13" s="163" t="s">
        <v>376</v>
      </c>
      <c r="D13" s="163" t="s">
        <v>403</v>
      </c>
      <c r="E13" s="163" t="s">
        <v>378</v>
      </c>
      <c r="F13" s="164"/>
    </row>
    <row r="14" ht="27" customHeight="1" spans="1:6">
      <c r="A14" s="161">
        <v>12</v>
      </c>
      <c r="B14" s="162" t="s">
        <v>404</v>
      </c>
      <c r="C14" s="163" t="s">
        <v>376</v>
      </c>
      <c r="D14" s="163" t="s">
        <v>405</v>
      </c>
      <c r="E14" s="163" t="s">
        <v>378</v>
      </c>
      <c r="F14" s="164"/>
    </row>
    <row r="15" ht="27" customHeight="1" spans="1:8">
      <c r="A15" s="161">
        <v>13</v>
      </c>
      <c r="B15" s="162" t="s">
        <v>406</v>
      </c>
      <c r="C15" s="163" t="s">
        <v>407</v>
      </c>
      <c r="D15" s="163" t="s">
        <v>408</v>
      </c>
      <c r="E15" s="163" t="s">
        <v>398</v>
      </c>
      <c r="F15" s="164"/>
      <c r="H15" s="154">
        <f>62-27+1</f>
        <v>36</v>
      </c>
    </row>
    <row r="16" s="152" customFormat="1" ht="27" customHeight="1" spans="1:11">
      <c r="A16" s="161">
        <v>14</v>
      </c>
      <c r="B16" s="162" t="s">
        <v>409</v>
      </c>
      <c r="C16" s="163" t="s">
        <v>376</v>
      </c>
      <c r="D16" s="163" t="s">
        <v>410</v>
      </c>
      <c r="E16" s="163" t="s">
        <v>378</v>
      </c>
      <c r="F16" s="164"/>
      <c r="G16" s="116"/>
      <c r="H16" s="116"/>
      <c r="I16" s="116"/>
      <c r="J16" s="116"/>
      <c r="K16" s="116"/>
    </row>
    <row r="17" s="152" customFormat="1" ht="27" customHeight="1" spans="1:11">
      <c r="A17" s="161">
        <v>15</v>
      </c>
      <c r="B17" s="162" t="s">
        <v>411</v>
      </c>
      <c r="C17" s="163" t="s">
        <v>390</v>
      </c>
      <c r="D17" s="163" t="s">
        <v>412</v>
      </c>
      <c r="E17" s="163" t="s">
        <v>378</v>
      </c>
      <c r="F17" s="164"/>
      <c r="G17" s="116"/>
      <c r="H17" s="116">
        <f>78-64+1</f>
        <v>15</v>
      </c>
      <c r="I17" s="116"/>
      <c r="J17" s="116"/>
      <c r="K17" s="116"/>
    </row>
    <row r="18" spans="1:6">
      <c r="A18" s="167" t="s">
        <v>413</v>
      </c>
      <c r="B18" s="168"/>
      <c r="C18" s="168" t="s">
        <v>414</v>
      </c>
      <c r="D18" s="168"/>
      <c r="E18" s="168"/>
      <c r="F18" s="169"/>
    </row>
    <row r="19" spans="1:6">
      <c r="A19" s="167"/>
      <c r="B19" s="168"/>
      <c r="C19" s="168"/>
      <c r="D19" s="168"/>
      <c r="E19" s="168"/>
      <c r="F19" s="169"/>
    </row>
    <row r="20" spans="1:6">
      <c r="A20" s="167"/>
      <c r="B20" s="168"/>
      <c r="C20" s="168"/>
      <c r="D20" s="168"/>
      <c r="E20" s="168"/>
      <c r="F20" s="169"/>
    </row>
    <row r="21" spans="1:6">
      <c r="A21" s="167"/>
      <c r="B21" s="168"/>
      <c r="C21" s="168"/>
      <c r="D21" s="168"/>
      <c r="E21" s="168"/>
      <c r="F21" s="169"/>
    </row>
    <row r="22" ht="6" customHeight="1" spans="1:6">
      <c r="A22" s="167"/>
      <c r="B22" s="168"/>
      <c r="C22" s="168"/>
      <c r="D22" s="168"/>
      <c r="E22" s="168"/>
      <c r="F22" s="169"/>
    </row>
    <row r="23" ht="15" spans="1:6">
      <c r="A23" s="170"/>
      <c r="B23" s="171"/>
      <c r="C23" s="171"/>
      <c r="D23" s="171"/>
      <c r="E23" s="171"/>
      <c r="F23" s="172"/>
    </row>
  </sheetData>
  <mergeCells count="3">
    <mergeCell ref="A1:F1"/>
    <mergeCell ref="A18:B23"/>
    <mergeCell ref="C18:F23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E11" sqref="E11:F11"/>
    </sheetView>
  </sheetViews>
  <sheetFormatPr defaultColWidth="9" defaultRowHeight="14.25"/>
  <cols>
    <col min="1" max="4" width="9" style="2"/>
    <col min="5" max="5" width="10.625" style="2" customWidth="1"/>
    <col min="6" max="6" width="12.125" style="2" customWidth="1"/>
    <col min="7" max="7" width="14" style="2" customWidth="1"/>
    <col min="8" max="8" width="12.625" style="2"/>
    <col min="9" max="10" width="9" style="2"/>
    <col min="11" max="11" width="9.375" style="2"/>
    <col min="12" max="12" width="9" style="2"/>
    <col min="13" max="13" width="20.375" style="2"/>
    <col min="14" max="16384" width="9" style="2"/>
  </cols>
  <sheetData>
    <row r="1" ht="23" customHeight="1" spans="1:7">
      <c r="A1" s="137" t="s">
        <v>415</v>
      </c>
      <c r="B1" s="137"/>
      <c r="C1" s="137"/>
      <c r="D1" s="137"/>
      <c r="E1" s="137"/>
      <c r="F1" s="137"/>
      <c r="G1" s="137"/>
    </row>
    <row r="2" s="14" customFormat="1" ht="25.5" customHeight="1" spans="1:7">
      <c r="A2" s="138" t="s">
        <v>416</v>
      </c>
      <c r="B2" s="138"/>
      <c r="C2" s="138"/>
      <c r="D2" s="138"/>
      <c r="E2" s="138"/>
      <c r="F2" s="138"/>
      <c r="G2" s="138"/>
    </row>
    <row r="3" s="14" customFormat="1" ht="25" customHeight="1" spans="1:7">
      <c r="A3" s="134" t="s">
        <v>417</v>
      </c>
      <c r="B3" s="139"/>
      <c r="C3" s="139"/>
      <c r="D3" s="139"/>
      <c r="E3" s="139"/>
      <c r="F3" s="139"/>
      <c r="G3" s="139"/>
    </row>
    <row r="4" s="14" customFormat="1" ht="24" customHeight="1" spans="1:7">
      <c r="A4" s="139" t="s">
        <v>418</v>
      </c>
      <c r="B4" s="139"/>
      <c r="C4" s="139"/>
      <c r="D4" s="139"/>
      <c r="E4" s="139"/>
      <c r="F4" s="139"/>
      <c r="G4" s="139"/>
    </row>
    <row r="5" s="14" customFormat="1" ht="21" customHeight="1" spans="1:7">
      <c r="A5" s="139" t="s">
        <v>419</v>
      </c>
      <c r="B5" s="139"/>
      <c r="C5" s="139"/>
      <c r="D5" s="139"/>
      <c r="E5" s="139"/>
      <c r="F5" s="139"/>
      <c r="G5" s="139"/>
    </row>
    <row r="6" s="14" customFormat="1" ht="30" customHeight="1" spans="1:7">
      <c r="A6" s="140" t="s">
        <v>1</v>
      </c>
      <c r="B6" s="141" t="s">
        <v>343</v>
      </c>
      <c r="C6" s="141"/>
      <c r="D6" s="141"/>
      <c r="E6" s="140" t="s">
        <v>420</v>
      </c>
      <c r="F6" s="140" t="s">
        <v>421</v>
      </c>
      <c r="G6" s="140" t="s">
        <v>422</v>
      </c>
    </row>
    <row r="7" s="14" customFormat="1" ht="21" customHeight="1" spans="1:7">
      <c r="A7" s="140" t="s">
        <v>423</v>
      </c>
      <c r="B7" s="141" t="s">
        <v>424</v>
      </c>
      <c r="C7" s="141"/>
      <c r="D7" s="141"/>
      <c r="E7" s="141"/>
      <c r="F7" s="141"/>
      <c r="G7" s="142">
        <f>SUM(G8:G10)</f>
        <v>3532984.76</v>
      </c>
    </row>
    <row r="8" s="14" customFormat="1" ht="21" customHeight="1" spans="1:7">
      <c r="A8" s="140">
        <v>1.1</v>
      </c>
      <c r="B8" s="141" t="s">
        <v>425</v>
      </c>
      <c r="C8" s="141"/>
      <c r="D8" s="141"/>
      <c r="E8" s="141"/>
      <c r="F8" s="141"/>
      <c r="G8" s="142">
        <f>'4结算明细汇总表'!D9</f>
        <v>3532984.76</v>
      </c>
    </row>
    <row r="9" s="14" customFormat="1" ht="21" customHeight="1" spans="1:7">
      <c r="A9" s="140">
        <v>1.2</v>
      </c>
      <c r="B9" s="141" t="s">
        <v>426</v>
      </c>
      <c r="C9" s="141"/>
      <c r="D9" s="141"/>
      <c r="E9" s="141"/>
      <c r="F9" s="141"/>
      <c r="G9" s="142">
        <v>0</v>
      </c>
    </row>
    <row r="10" s="14" customFormat="1" ht="21" customHeight="1" spans="1:7">
      <c r="A10" s="140">
        <v>1.3</v>
      </c>
      <c r="B10" s="141" t="s">
        <v>427</v>
      </c>
      <c r="C10" s="141"/>
      <c r="D10" s="141"/>
      <c r="E10" s="141"/>
      <c r="F10" s="141"/>
      <c r="G10" s="142">
        <v>0</v>
      </c>
    </row>
    <row r="11" s="14" customFormat="1" ht="21" customHeight="1" spans="1:7">
      <c r="A11" s="140" t="s">
        <v>428</v>
      </c>
      <c r="B11" s="141" t="s">
        <v>429</v>
      </c>
      <c r="C11" s="141"/>
      <c r="D11" s="141"/>
      <c r="E11" s="141"/>
      <c r="F11" s="141"/>
      <c r="G11" s="142">
        <f>SUM(G12:G13)</f>
        <v>-984.76</v>
      </c>
    </row>
    <row r="12" s="14" customFormat="1" ht="39" customHeight="1" spans="1:7">
      <c r="A12" s="140">
        <v>2.1</v>
      </c>
      <c r="B12" s="141" t="s">
        <v>430</v>
      </c>
      <c r="C12" s="141"/>
      <c r="D12" s="141"/>
      <c r="E12" s="141"/>
      <c r="F12" s="141"/>
      <c r="G12" s="142">
        <v>0</v>
      </c>
    </row>
    <row r="13" s="14" customFormat="1" ht="21" customHeight="1" spans="1:7">
      <c r="A13" s="140">
        <v>2.2</v>
      </c>
      <c r="B13" s="141" t="s">
        <v>431</v>
      </c>
      <c r="C13" s="141"/>
      <c r="D13" s="141"/>
      <c r="E13" s="141"/>
      <c r="F13" s="141"/>
      <c r="G13" s="142">
        <f>'4结算明细汇总表'!G10</f>
        <v>-984.76</v>
      </c>
    </row>
    <row r="14" s="14" customFormat="1" ht="33" customHeight="1" spans="1:7">
      <c r="A14" s="140" t="s">
        <v>432</v>
      </c>
      <c r="B14" s="141" t="s">
        <v>433</v>
      </c>
      <c r="C14" s="141"/>
      <c r="D14" s="141" t="s">
        <v>434</v>
      </c>
      <c r="E14" s="143">
        <f>G7+G11</f>
        <v>3532000</v>
      </c>
      <c r="F14" s="143"/>
      <c r="G14" s="143"/>
    </row>
    <row r="15" s="14" customFormat="1" ht="19" customHeight="1" spans="1:7">
      <c r="A15" s="140"/>
      <c r="B15" s="141"/>
      <c r="C15" s="141"/>
      <c r="D15" s="141" t="s">
        <v>435</v>
      </c>
      <c r="E15" s="144">
        <f>E14</f>
        <v>3532000</v>
      </c>
      <c r="F15" s="144"/>
      <c r="G15" s="144"/>
    </row>
    <row r="16" s="14" customFormat="1" ht="20" customHeight="1" spans="1:7">
      <c r="A16" s="140" t="s">
        <v>436</v>
      </c>
      <c r="B16" s="141" t="s">
        <v>437</v>
      </c>
      <c r="C16" s="141"/>
      <c r="D16" s="141"/>
      <c r="E16" s="145">
        <v>0</v>
      </c>
      <c r="F16" s="145"/>
      <c r="G16" s="145"/>
    </row>
    <row r="17" s="14" customFormat="1" ht="20" customHeight="1" spans="1:7">
      <c r="A17" s="140">
        <v>4.1</v>
      </c>
      <c r="B17" s="141" t="s">
        <v>438</v>
      </c>
      <c r="C17" s="141"/>
      <c r="D17" s="141"/>
      <c r="E17" s="145">
        <v>0</v>
      </c>
      <c r="F17" s="145"/>
      <c r="G17" s="145"/>
    </row>
    <row r="18" s="14" customFormat="1" ht="20" customHeight="1" spans="1:7">
      <c r="A18" s="140">
        <v>4.2</v>
      </c>
      <c r="B18" s="141" t="s">
        <v>439</v>
      </c>
      <c r="C18" s="141"/>
      <c r="D18" s="141"/>
      <c r="E18" s="145">
        <v>0</v>
      </c>
      <c r="F18" s="145"/>
      <c r="G18" s="145"/>
    </row>
    <row r="19" s="14" customFormat="1" ht="17" customHeight="1" spans="1:7">
      <c r="A19" s="140" t="s">
        <v>440</v>
      </c>
      <c r="B19" s="141" t="s">
        <v>441</v>
      </c>
      <c r="C19" s="141"/>
      <c r="D19" s="141"/>
      <c r="E19" s="145"/>
      <c r="F19" s="145"/>
      <c r="G19" s="145"/>
    </row>
    <row r="20" s="14" customFormat="1" ht="20" customHeight="1" spans="1:7">
      <c r="A20" s="140" t="s">
        <v>442</v>
      </c>
      <c r="B20" s="141" t="s">
        <v>443</v>
      </c>
      <c r="C20" s="141"/>
      <c r="D20" s="141"/>
      <c r="E20" s="145">
        <v>0</v>
      </c>
      <c r="F20" s="145"/>
      <c r="G20" s="145"/>
    </row>
    <row r="21" s="14" customFormat="1" ht="20" customHeight="1" spans="1:7">
      <c r="A21" s="140">
        <v>5.1</v>
      </c>
      <c r="B21" s="141" t="s">
        <v>444</v>
      </c>
      <c r="C21" s="141"/>
      <c r="D21" s="141"/>
      <c r="E21" s="145">
        <v>0</v>
      </c>
      <c r="F21" s="145"/>
      <c r="G21" s="145"/>
    </row>
    <row r="22" s="14" customFormat="1" ht="20" customHeight="1" spans="1:7">
      <c r="A22" s="140">
        <v>5.2</v>
      </c>
      <c r="B22" s="141" t="s">
        <v>445</v>
      </c>
      <c r="C22" s="141"/>
      <c r="D22" s="141"/>
      <c r="E22" s="145">
        <v>0</v>
      </c>
      <c r="F22" s="145"/>
      <c r="G22" s="145"/>
    </row>
    <row r="23" s="14" customFormat="1" ht="18" customHeight="1" spans="1:7">
      <c r="A23" s="140" t="s">
        <v>446</v>
      </c>
      <c r="B23" s="141" t="s">
        <v>447</v>
      </c>
      <c r="C23" s="141" t="s">
        <v>434</v>
      </c>
      <c r="D23" s="141"/>
      <c r="E23" s="143">
        <f>E14</f>
        <v>3532000</v>
      </c>
      <c r="F23" s="143"/>
      <c r="G23" s="143"/>
    </row>
    <row r="24" s="14" customFormat="1" ht="18" customHeight="1" spans="1:13">
      <c r="A24" s="140"/>
      <c r="B24" s="141"/>
      <c r="C24" s="141" t="s">
        <v>435</v>
      </c>
      <c r="D24" s="141"/>
      <c r="E24" s="144">
        <f>E15</f>
        <v>3532000</v>
      </c>
      <c r="F24" s="144"/>
      <c r="G24" s="144"/>
      <c r="M24" s="150"/>
    </row>
    <row r="25" s="14" customFormat="1" ht="18" customHeight="1" spans="1:7">
      <c r="A25" s="140" t="s">
        <v>448</v>
      </c>
      <c r="B25" s="141" t="s">
        <v>449</v>
      </c>
      <c r="C25" s="141" t="s">
        <v>434</v>
      </c>
      <c r="D25" s="141"/>
      <c r="E25" s="143">
        <f>E14</f>
        <v>3532000</v>
      </c>
      <c r="F25" s="143"/>
      <c r="G25" s="143"/>
    </row>
    <row r="26" s="14" customFormat="1" ht="18" customHeight="1" spans="1:7">
      <c r="A26" s="140"/>
      <c r="B26" s="141"/>
      <c r="C26" s="141" t="s">
        <v>435</v>
      </c>
      <c r="D26" s="141"/>
      <c r="E26" s="144">
        <f>E15</f>
        <v>3532000</v>
      </c>
      <c r="F26" s="144"/>
      <c r="G26" s="144"/>
    </row>
    <row r="27" spans="1:7">
      <c r="A27" s="146"/>
      <c r="B27" s="146"/>
      <c r="C27" s="146"/>
      <c r="D27" s="146"/>
      <c r="E27" s="146"/>
      <c r="F27" s="146"/>
      <c r="G27" s="146"/>
    </row>
    <row r="28" spans="1:7">
      <c r="A28" s="147" t="s">
        <v>450</v>
      </c>
      <c r="B28" s="147"/>
      <c r="C28" s="147"/>
      <c r="D28" s="147"/>
      <c r="E28" s="147"/>
      <c r="F28" s="147"/>
      <c r="G28" s="147"/>
    </row>
    <row r="29" hidden="1" spans="1:1">
      <c r="A29" s="148"/>
    </row>
    <row r="30" spans="1:1">
      <c r="A30" s="148"/>
    </row>
    <row r="31" spans="1:7">
      <c r="A31" s="147" t="s">
        <v>451</v>
      </c>
      <c r="B31" s="147"/>
      <c r="C31" s="147"/>
      <c r="D31" s="147"/>
      <c r="E31" s="147"/>
      <c r="F31" s="147"/>
      <c r="G31" s="147"/>
    </row>
    <row r="32" spans="1:1">
      <c r="A32" s="148"/>
    </row>
    <row r="33" ht="27" customHeight="1" spans="1:7">
      <c r="A33" s="149" t="s">
        <v>452</v>
      </c>
      <c r="B33" s="149"/>
      <c r="C33" s="149"/>
      <c r="D33" s="149"/>
      <c r="E33" s="149"/>
      <c r="F33" s="149"/>
      <c r="G33" s="149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D9" sqref="D9"/>
    </sheetView>
  </sheetViews>
  <sheetFormatPr defaultColWidth="9" defaultRowHeight="13.5"/>
  <cols>
    <col min="1" max="1" width="6.375" style="117" customWidth="1"/>
    <col min="2" max="2" width="19" style="117" customWidth="1"/>
    <col min="3" max="3" width="13.125" style="117" customWidth="1"/>
    <col min="4" max="4" width="24.125" style="117" customWidth="1"/>
    <col min="5" max="5" width="17.75" style="117" customWidth="1"/>
    <col min="6" max="6" width="9.375" style="117"/>
    <col min="7" max="7" width="9.25" style="117"/>
    <col min="8" max="8" width="12.875" style="117"/>
    <col min="9" max="10" width="14.125" style="117"/>
    <col min="11" max="12" width="15.375" style="117"/>
    <col min="13" max="16384" width="9" style="117"/>
  </cols>
  <sheetData>
    <row r="1" s="115" customFormat="1" ht="36.75" customHeight="1" spans="1:5">
      <c r="A1" s="118" t="s">
        <v>453</v>
      </c>
      <c r="B1" s="118"/>
      <c r="C1" s="118"/>
      <c r="D1" s="118"/>
      <c r="E1" s="118"/>
    </row>
    <row r="2" s="115" customFormat="1" ht="42" customHeight="1" spans="1:5">
      <c r="A2" s="119" t="s">
        <v>1</v>
      </c>
      <c r="B2" s="120" t="s">
        <v>343</v>
      </c>
      <c r="C2" s="120" t="s">
        <v>454</v>
      </c>
      <c r="D2" s="120" t="s">
        <v>455</v>
      </c>
      <c r="E2" s="121" t="s">
        <v>374</v>
      </c>
    </row>
    <row r="3" s="115" customFormat="1" ht="42" customHeight="1" spans="1:6">
      <c r="A3" s="122">
        <v>1</v>
      </c>
      <c r="B3" s="123" t="s">
        <v>456</v>
      </c>
      <c r="C3" s="123"/>
      <c r="D3" s="124"/>
      <c r="E3" s="125"/>
      <c r="F3" s="126"/>
    </row>
    <row r="4" ht="56" customHeight="1" spans="1:8">
      <c r="A4" s="127">
        <v>1.1</v>
      </c>
      <c r="B4" s="128" t="s">
        <v>457</v>
      </c>
      <c r="C4" s="128" t="s">
        <v>458</v>
      </c>
      <c r="D4" s="129">
        <f>内装!H77</f>
        <v>1253793.62</v>
      </c>
      <c r="E4" s="130"/>
      <c r="F4" s="131"/>
      <c r="G4" s="117" t="s">
        <v>459</v>
      </c>
      <c r="H4" s="117">
        <f>3532984/'[1]4结算明细汇总表'!$D$10</f>
        <v>1.39106648959789</v>
      </c>
    </row>
    <row r="5" ht="56" customHeight="1" spans="1:8">
      <c r="A5" s="127">
        <v>1.2</v>
      </c>
      <c r="B5" s="128" t="s">
        <v>460</v>
      </c>
      <c r="C5" s="128" t="s">
        <v>458</v>
      </c>
      <c r="D5" s="129">
        <f>幕墙!H14</f>
        <v>1413523.12</v>
      </c>
      <c r="E5" s="132"/>
      <c r="F5" s="131"/>
      <c r="G5" s="117" t="s">
        <v>461</v>
      </c>
      <c r="H5" s="117">
        <f>3282563.42/2275836.85</f>
        <v>1.44235445524138</v>
      </c>
    </row>
    <row r="6" ht="56" customHeight="1" spans="1:6">
      <c r="A6" s="127">
        <v>1.3</v>
      </c>
      <c r="B6" s="128" t="s">
        <v>462</v>
      </c>
      <c r="C6" s="128" t="s">
        <v>458</v>
      </c>
      <c r="D6" s="129">
        <f>SUM(D7:D8)</f>
        <v>865668.02</v>
      </c>
      <c r="E6" s="132"/>
      <c r="F6" s="131"/>
    </row>
    <row r="7" customFormat="1" ht="56" customHeight="1" spans="1:6">
      <c r="A7" s="127" t="s">
        <v>463</v>
      </c>
      <c r="B7" s="128" t="s">
        <v>464</v>
      </c>
      <c r="C7" s="128" t="s">
        <v>458</v>
      </c>
      <c r="D7" s="129">
        <f>安装!I207</f>
        <v>835668.02</v>
      </c>
      <c r="E7" s="132"/>
      <c r="F7" s="131"/>
    </row>
    <row r="8" customFormat="1" ht="56" customHeight="1" spans="1:6">
      <c r="A8" s="127" t="s">
        <v>465</v>
      </c>
      <c r="B8" s="128" t="s">
        <v>466</v>
      </c>
      <c r="C8" s="128" t="s">
        <v>458</v>
      </c>
      <c r="D8" s="129">
        <f>合同外增加室外监控系统!G20</f>
        <v>30000</v>
      </c>
      <c r="E8" s="132"/>
      <c r="F8" s="131"/>
    </row>
    <row r="9" s="115" customFormat="1" ht="56" customHeight="1" spans="1:10">
      <c r="A9" s="122">
        <v>2</v>
      </c>
      <c r="B9" s="123" t="s">
        <v>467</v>
      </c>
      <c r="C9" s="123" t="s">
        <v>458</v>
      </c>
      <c r="D9" s="124">
        <f>D4+D5+D6</f>
        <v>3532984.76</v>
      </c>
      <c r="E9" s="133"/>
      <c r="H9" s="115">
        <v>3641753.63</v>
      </c>
      <c r="I9" s="115">
        <f>H9-D9</f>
        <v>108768.87</v>
      </c>
      <c r="J9" s="115">
        <f>I9/D9</f>
        <v>0.0307866796459094</v>
      </c>
    </row>
    <row r="10" s="115" customFormat="1" ht="56" customHeight="1" spans="1:7">
      <c r="A10" s="122">
        <v>3</v>
      </c>
      <c r="B10" s="123" t="s">
        <v>468</v>
      </c>
      <c r="C10" s="123" t="s">
        <v>458</v>
      </c>
      <c r="D10" s="124">
        <v>3532000</v>
      </c>
      <c r="E10" s="133" t="s">
        <v>469</v>
      </c>
      <c r="G10" s="115">
        <f>D10-D9</f>
        <v>-984.759999999777</v>
      </c>
    </row>
    <row r="11" s="116" customFormat="1" ht="56" customHeight="1" spans="1:5">
      <c r="A11" s="134" t="s">
        <v>470</v>
      </c>
      <c r="B11" s="134"/>
      <c r="C11" s="134"/>
      <c r="D11" s="134"/>
      <c r="E11" s="134"/>
    </row>
    <row r="12" s="116" customFormat="1" ht="56" customHeight="1" spans="1:5">
      <c r="A12" s="134" t="s">
        <v>471</v>
      </c>
      <c r="B12" s="134"/>
      <c r="C12" s="134"/>
      <c r="D12" s="134"/>
      <c r="E12" s="134"/>
    </row>
    <row r="13" s="116" customFormat="1" ht="14.25" spans="1:1">
      <c r="A13" s="135"/>
    </row>
    <row r="14" ht="14.25" spans="1:5">
      <c r="A14" s="136"/>
      <c r="B14" s="136"/>
      <c r="C14" s="136"/>
      <c r="D14" s="136"/>
      <c r="E14" s="136"/>
    </row>
  </sheetData>
  <mergeCells count="3">
    <mergeCell ref="A1:E1"/>
    <mergeCell ref="A11:E11"/>
    <mergeCell ref="A12:E12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7"/>
  <sheetViews>
    <sheetView workbookViewId="0">
      <pane xSplit="9" ySplit="3" topLeftCell="J11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4.5" style="87" customWidth="1"/>
    <col min="2" max="2" width="8.875" style="88" customWidth="1"/>
    <col min="3" max="3" width="22.375" style="89" customWidth="1"/>
    <col min="4" max="4" width="4.625" style="87" customWidth="1"/>
    <col min="5" max="5" width="8" style="90" customWidth="1"/>
    <col min="6" max="6" width="8.125" style="90" customWidth="1"/>
    <col min="7" max="7" width="7.375" style="90" customWidth="1"/>
    <col min="8" max="8" width="10" style="90" customWidth="1"/>
    <col min="9" max="9" width="8.875" style="84" customWidth="1"/>
    <col min="10" max="10" width="7" style="88" customWidth="1"/>
    <col min="11" max="11" width="9" style="84"/>
    <col min="12" max="12" width="10.375" style="84"/>
    <col min="13" max="13" width="9" style="84"/>
    <col min="14" max="14" width="10.375" style="84"/>
    <col min="15" max="15" width="11.5" style="84"/>
    <col min="16" max="16384" width="9" style="84"/>
  </cols>
  <sheetData>
    <row r="1" ht="21" spans="1:10">
      <c r="A1" s="62" t="s">
        <v>472</v>
      </c>
      <c r="B1" s="91"/>
      <c r="C1" s="91"/>
      <c r="D1" s="62"/>
      <c r="E1" s="62"/>
      <c r="F1" s="62"/>
      <c r="G1" s="62"/>
      <c r="H1" s="62"/>
      <c r="I1" s="62"/>
      <c r="J1" s="62"/>
    </row>
    <row r="2" spans="1:10">
      <c r="A2" s="92" t="s">
        <v>1</v>
      </c>
      <c r="B2" s="64" t="s">
        <v>343</v>
      </c>
      <c r="C2" s="64" t="s">
        <v>473</v>
      </c>
      <c r="D2" s="65" t="s">
        <v>454</v>
      </c>
      <c r="E2" s="93" t="s">
        <v>474</v>
      </c>
      <c r="F2" s="93" t="s">
        <v>475</v>
      </c>
      <c r="G2" s="93"/>
      <c r="H2" s="93" t="s">
        <v>476</v>
      </c>
      <c r="I2" s="64" t="s">
        <v>477</v>
      </c>
      <c r="J2" s="105" t="s">
        <v>374</v>
      </c>
    </row>
    <row r="3" ht="24" spans="1:10">
      <c r="A3" s="94"/>
      <c r="B3" s="68"/>
      <c r="C3" s="68"/>
      <c r="D3" s="69"/>
      <c r="E3" s="95"/>
      <c r="F3" s="95"/>
      <c r="G3" s="96" t="s">
        <v>478</v>
      </c>
      <c r="H3" s="95"/>
      <c r="I3" s="68"/>
      <c r="J3" s="106"/>
    </row>
    <row r="4" spans="1:10">
      <c r="A4" s="97">
        <v>1</v>
      </c>
      <c r="B4" s="98" t="s">
        <v>479</v>
      </c>
      <c r="C4" s="98"/>
      <c r="D4" s="99"/>
      <c r="E4" s="99"/>
      <c r="F4" s="99"/>
      <c r="G4" s="99"/>
      <c r="H4" s="100"/>
      <c r="I4" s="99"/>
      <c r="J4" s="107"/>
    </row>
    <row r="5" ht="48" outlineLevel="1" spans="1:10">
      <c r="A5" s="97">
        <v>2</v>
      </c>
      <c r="B5" s="98" t="s">
        <v>480</v>
      </c>
      <c r="C5" s="101" t="s">
        <v>481</v>
      </c>
      <c r="D5" s="99" t="s">
        <v>482</v>
      </c>
      <c r="E5" s="99">
        <f>68.75+91.06+22.72+47.52</f>
        <v>230.05</v>
      </c>
      <c r="F5" s="102">
        <v>240.7</v>
      </c>
      <c r="G5" s="102">
        <v>264.77</v>
      </c>
      <c r="H5" s="100">
        <f>F5*E5</f>
        <v>55373.04</v>
      </c>
      <c r="I5" s="98" t="s">
        <v>483</v>
      </c>
      <c r="J5" s="107"/>
    </row>
    <row r="6" ht="48" outlineLevel="1" spans="1:10">
      <c r="A6" s="97">
        <v>3</v>
      </c>
      <c r="B6" s="98" t="s">
        <v>484</v>
      </c>
      <c r="C6" s="101" t="s">
        <v>485</v>
      </c>
      <c r="D6" s="99" t="s">
        <v>482</v>
      </c>
      <c r="E6" s="99">
        <f>6.22+2.86+0.99+0.99+64.71</f>
        <v>75.77</v>
      </c>
      <c r="F6" s="102">
        <v>600.3</v>
      </c>
      <c r="G6" s="102">
        <v>660.33</v>
      </c>
      <c r="H6" s="100">
        <f t="shared" ref="H6:H37" si="0">F6*E6</f>
        <v>45484.73</v>
      </c>
      <c r="I6" s="98" t="s">
        <v>486</v>
      </c>
      <c r="J6" s="107"/>
    </row>
    <row r="7" ht="24" outlineLevel="1" spans="1:10">
      <c r="A7" s="97"/>
      <c r="B7" s="98" t="s">
        <v>487</v>
      </c>
      <c r="C7" s="101" t="s">
        <v>488</v>
      </c>
      <c r="D7" s="99" t="s">
        <v>482</v>
      </c>
      <c r="E7" s="100">
        <f>(1.13+2.88+2.22+1.57)*2.56</f>
        <v>19.97</v>
      </c>
      <c r="F7" s="100">
        <v>50</v>
      </c>
      <c r="G7" s="100"/>
      <c r="H7" s="100">
        <f t="shared" si="0"/>
        <v>998.5</v>
      </c>
      <c r="I7" s="98"/>
      <c r="J7" s="107"/>
    </row>
    <row r="8" outlineLevel="1" spans="1:10">
      <c r="A8" s="97"/>
      <c r="B8" s="98" t="s">
        <v>489</v>
      </c>
      <c r="C8" s="101" t="s">
        <v>490</v>
      </c>
      <c r="D8" s="99" t="s">
        <v>482</v>
      </c>
      <c r="E8" s="99">
        <f>30.49</f>
        <v>30.49</v>
      </c>
      <c r="F8" s="100">
        <v>190</v>
      </c>
      <c r="G8" s="100"/>
      <c r="H8" s="100">
        <f t="shared" si="0"/>
        <v>5793.1</v>
      </c>
      <c r="I8" s="98"/>
      <c r="J8" s="107"/>
    </row>
    <row r="9" spans="1:10">
      <c r="A9" s="97">
        <v>4</v>
      </c>
      <c r="B9" s="98" t="s">
        <v>491</v>
      </c>
      <c r="C9" s="98"/>
      <c r="D9" s="99"/>
      <c r="E9" s="99"/>
      <c r="F9" s="100"/>
      <c r="G9" s="100"/>
      <c r="H9" s="100">
        <f t="shared" si="0"/>
        <v>0</v>
      </c>
      <c r="I9" s="99"/>
      <c r="J9" s="107"/>
    </row>
    <row r="10" s="84" customFormat="1" ht="36" outlineLevel="1" spans="1:10">
      <c r="A10" s="97">
        <v>5</v>
      </c>
      <c r="B10" s="98" t="s">
        <v>492</v>
      </c>
      <c r="C10" s="101" t="s">
        <v>493</v>
      </c>
      <c r="D10" s="99" t="s">
        <v>482</v>
      </c>
      <c r="E10" s="99">
        <v>3</v>
      </c>
      <c r="F10" s="102">
        <v>165.3</v>
      </c>
      <c r="G10" s="102">
        <v>55</v>
      </c>
      <c r="H10" s="100">
        <f t="shared" si="0"/>
        <v>495.9</v>
      </c>
      <c r="I10" s="99"/>
      <c r="J10" s="107"/>
    </row>
    <row r="11" ht="132" outlineLevel="1" spans="1:10">
      <c r="A11" s="97">
        <v>6</v>
      </c>
      <c r="B11" s="98" t="s">
        <v>494</v>
      </c>
      <c r="C11" s="101" t="s">
        <v>495</v>
      </c>
      <c r="D11" s="99" t="s">
        <v>482</v>
      </c>
      <c r="E11" s="99">
        <f>11.02+0.79</f>
        <v>11.81</v>
      </c>
      <c r="F11" s="102">
        <v>841</v>
      </c>
      <c r="G11" s="102">
        <v>429</v>
      </c>
      <c r="H11" s="100">
        <f t="shared" si="0"/>
        <v>9932.21</v>
      </c>
      <c r="I11" s="99" t="s">
        <v>496</v>
      </c>
      <c r="J11" s="107" t="s">
        <v>497</v>
      </c>
    </row>
    <row r="12" ht="132" outlineLevel="1" spans="1:10">
      <c r="A12" s="97">
        <v>7</v>
      </c>
      <c r="B12" s="98" t="s">
        <v>498</v>
      </c>
      <c r="C12" s="101" t="s">
        <v>499</v>
      </c>
      <c r="D12" s="99" t="s">
        <v>482</v>
      </c>
      <c r="E12" s="99">
        <f>9</f>
        <v>9</v>
      </c>
      <c r="F12" s="102">
        <v>1421</v>
      </c>
      <c r="G12" s="102">
        <v>748</v>
      </c>
      <c r="H12" s="100">
        <f t="shared" si="0"/>
        <v>12789</v>
      </c>
      <c r="I12" s="99" t="s">
        <v>500</v>
      </c>
      <c r="J12" s="107"/>
    </row>
    <row r="13" ht="108" outlineLevel="1" spans="1:10">
      <c r="A13" s="97">
        <v>8</v>
      </c>
      <c r="B13" s="98" t="s">
        <v>501</v>
      </c>
      <c r="C13" s="101" t="s">
        <v>502</v>
      </c>
      <c r="D13" s="99" t="s">
        <v>482</v>
      </c>
      <c r="E13" s="99">
        <f>42.58+6.33+294.21</f>
        <v>343.12</v>
      </c>
      <c r="F13" s="102">
        <v>342.2</v>
      </c>
      <c r="G13" s="102">
        <v>154</v>
      </c>
      <c r="H13" s="100">
        <f t="shared" si="0"/>
        <v>117415.66</v>
      </c>
      <c r="I13" s="98" t="s">
        <v>503</v>
      </c>
      <c r="J13" s="107"/>
    </row>
    <row r="14" ht="168" outlineLevel="1" spans="1:10">
      <c r="A14" s="97">
        <v>9</v>
      </c>
      <c r="B14" s="98" t="s">
        <v>501</v>
      </c>
      <c r="C14" s="101" t="s">
        <v>504</v>
      </c>
      <c r="D14" s="99" t="s">
        <v>482</v>
      </c>
      <c r="E14" s="99">
        <f>7.43+6.94</f>
        <v>14.37</v>
      </c>
      <c r="F14" s="102">
        <v>391.21</v>
      </c>
      <c r="G14" s="102">
        <v>154</v>
      </c>
      <c r="H14" s="100">
        <f t="shared" si="0"/>
        <v>5621.69</v>
      </c>
      <c r="I14" s="98" t="s">
        <v>503</v>
      </c>
      <c r="J14" s="107"/>
    </row>
    <row r="15" s="85" customFormat="1" ht="156" outlineLevel="1" spans="1:10">
      <c r="A15" s="97"/>
      <c r="B15" s="98" t="s">
        <v>501</v>
      </c>
      <c r="C15" s="101" t="s">
        <v>505</v>
      </c>
      <c r="D15" s="99" t="s">
        <v>482</v>
      </c>
      <c r="E15" s="99">
        <v>4.12</v>
      </c>
      <c r="F15" s="103">
        <v>246.46</v>
      </c>
      <c r="G15" s="100"/>
      <c r="H15" s="100">
        <f t="shared" si="0"/>
        <v>1015.42</v>
      </c>
      <c r="I15" s="98"/>
      <c r="J15" s="107" t="s">
        <v>506</v>
      </c>
    </row>
    <row r="16" s="84" customFormat="1" ht="96" outlineLevel="1" spans="1:10">
      <c r="A16" s="97">
        <v>10</v>
      </c>
      <c r="B16" s="98" t="s">
        <v>501</v>
      </c>
      <c r="C16" s="101" t="s">
        <v>507</v>
      </c>
      <c r="D16" s="99" t="s">
        <v>482</v>
      </c>
      <c r="E16" s="99">
        <f>13.56+1.93+4.93</f>
        <v>20.42</v>
      </c>
      <c r="F16" s="102">
        <v>269.7</v>
      </c>
      <c r="G16" s="102">
        <v>154</v>
      </c>
      <c r="H16" s="100">
        <f t="shared" si="0"/>
        <v>5507.27</v>
      </c>
      <c r="I16" s="98" t="s">
        <v>508</v>
      </c>
      <c r="J16" s="107"/>
    </row>
    <row r="17" s="86" customFormat="1" ht="132" outlineLevel="1" spans="1:10">
      <c r="A17" s="97"/>
      <c r="B17" s="98" t="s">
        <v>501</v>
      </c>
      <c r="C17" s="101" t="s">
        <v>509</v>
      </c>
      <c r="D17" s="99" t="s">
        <v>482</v>
      </c>
      <c r="E17" s="99">
        <f>10.54+15.54+13.13+25.36+6.03+27.08+59.35+4.06+2.61+1.54+7.08</f>
        <v>172.32</v>
      </c>
      <c r="F17" s="103">
        <v>162.66</v>
      </c>
      <c r="G17" s="100"/>
      <c r="H17" s="100">
        <f t="shared" si="0"/>
        <v>28029.57</v>
      </c>
      <c r="I17" s="98"/>
      <c r="J17" s="107" t="s">
        <v>506</v>
      </c>
    </row>
    <row r="18" ht="168" outlineLevel="1" spans="1:10">
      <c r="A18" s="97">
        <v>11</v>
      </c>
      <c r="B18" s="98" t="s">
        <v>501</v>
      </c>
      <c r="C18" s="101" t="s">
        <v>510</v>
      </c>
      <c r="D18" s="99" t="s">
        <v>482</v>
      </c>
      <c r="E18" s="99">
        <f>1.3</f>
        <v>1.3</v>
      </c>
      <c r="F18" s="102">
        <v>269.7</v>
      </c>
      <c r="G18" s="102">
        <v>154</v>
      </c>
      <c r="H18" s="100">
        <f t="shared" si="0"/>
        <v>350.61</v>
      </c>
      <c r="I18" s="98" t="s">
        <v>511</v>
      </c>
      <c r="J18" s="107"/>
    </row>
    <row r="19" ht="96" outlineLevel="1" spans="1:10">
      <c r="A19" s="97">
        <v>12</v>
      </c>
      <c r="B19" s="98" t="s">
        <v>512</v>
      </c>
      <c r="C19" s="101" t="s">
        <v>513</v>
      </c>
      <c r="D19" s="99" t="s">
        <v>482</v>
      </c>
      <c r="E19" s="99">
        <v>111.38</v>
      </c>
      <c r="F19" s="102">
        <v>269.7</v>
      </c>
      <c r="G19" s="102">
        <v>121</v>
      </c>
      <c r="H19" s="100">
        <f t="shared" si="0"/>
        <v>30039.19</v>
      </c>
      <c r="I19" s="99" t="s">
        <v>514</v>
      </c>
      <c r="J19" s="107"/>
    </row>
    <row r="20" ht="132" outlineLevel="1" spans="1:10">
      <c r="A20" s="97">
        <v>13</v>
      </c>
      <c r="B20" s="98" t="s">
        <v>515</v>
      </c>
      <c r="C20" s="101" t="s">
        <v>516</v>
      </c>
      <c r="D20" s="99" t="s">
        <v>517</v>
      </c>
      <c r="E20" s="99">
        <f>4.46+0.91+0.76+0.76+0.76+0.76+8.04+0.98+0.76+0.65+1.34</f>
        <v>20.18</v>
      </c>
      <c r="F20" s="102">
        <v>224.75</v>
      </c>
      <c r="G20" s="102">
        <v>121</v>
      </c>
      <c r="H20" s="100">
        <f t="shared" si="0"/>
        <v>4535.46</v>
      </c>
      <c r="I20" s="99" t="s">
        <v>496</v>
      </c>
      <c r="J20" s="107"/>
    </row>
    <row r="21" ht="132" outlineLevel="1" spans="1:10">
      <c r="A21" s="97"/>
      <c r="B21" s="98" t="s">
        <v>515</v>
      </c>
      <c r="C21" s="101" t="s">
        <v>518</v>
      </c>
      <c r="D21" s="99" t="s">
        <v>517</v>
      </c>
      <c r="E21" s="99">
        <v>2.71</v>
      </c>
      <c r="F21" s="100">
        <v>105</v>
      </c>
      <c r="G21" s="100"/>
      <c r="H21" s="100">
        <f t="shared" si="0"/>
        <v>284.55</v>
      </c>
      <c r="I21" s="99"/>
      <c r="J21" s="107"/>
    </row>
    <row r="22" ht="60" outlineLevel="1" spans="1:10">
      <c r="A22" s="97">
        <v>14</v>
      </c>
      <c r="B22" s="98" t="s">
        <v>519</v>
      </c>
      <c r="C22" s="101" t="s">
        <v>520</v>
      </c>
      <c r="D22" s="99" t="s">
        <v>517</v>
      </c>
      <c r="E22" s="99">
        <f>18.72+7.27+11.39+95.81+6.65+10.7+10.05+15.02+8.08+12.62+21.44+14.19+4.54+0.66+4.19+1.48+4.61+9.14</f>
        <v>256.56</v>
      </c>
      <c r="F22" s="102">
        <v>79.75</v>
      </c>
      <c r="G22" s="102">
        <v>31.9</v>
      </c>
      <c r="H22" s="100">
        <f t="shared" si="0"/>
        <v>20460.66</v>
      </c>
      <c r="I22" s="99" t="s">
        <v>521</v>
      </c>
      <c r="J22" s="107"/>
    </row>
    <row r="23" spans="1:10">
      <c r="A23" s="97">
        <v>15</v>
      </c>
      <c r="B23" s="98" t="s">
        <v>522</v>
      </c>
      <c r="C23" s="98"/>
      <c r="D23" s="99"/>
      <c r="E23" s="99"/>
      <c r="F23" s="100"/>
      <c r="G23" s="100"/>
      <c r="H23" s="100">
        <f t="shared" si="0"/>
        <v>0</v>
      </c>
      <c r="I23" s="99"/>
      <c r="J23" s="107"/>
    </row>
    <row r="24" ht="144" outlineLevel="1" spans="1:10">
      <c r="A24" s="97">
        <v>16</v>
      </c>
      <c r="B24" s="98" t="s">
        <v>523</v>
      </c>
      <c r="C24" s="101" t="s">
        <v>524</v>
      </c>
      <c r="D24" s="99" t="s">
        <v>482</v>
      </c>
      <c r="E24" s="99">
        <f>40.4+6.33+13.5+1.93+78.02+10.3+15.54+13.13+25.36+6.03+27.08+58.25+20.61+11.96</f>
        <v>328.44</v>
      </c>
      <c r="F24" s="102">
        <v>313.2</v>
      </c>
      <c r="G24" s="102">
        <v>134.2</v>
      </c>
      <c r="H24" s="100">
        <f t="shared" si="0"/>
        <v>102867.41</v>
      </c>
      <c r="I24" s="101" t="s">
        <v>483</v>
      </c>
      <c r="J24" s="107"/>
    </row>
    <row r="25" ht="156" outlineLevel="1" spans="1:10">
      <c r="A25" s="97">
        <v>17</v>
      </c>
      <c r="B25" s="98" t="s">
        <v>525</v>
      </c>
      <c r="C25" s="101" t="s">
        <v>526</v>
      </c>
      <c r="D25" s="99" t="s">
        <v>482</v>
      </c>
      <c r="E25" s="99">
        <f>125</f>
        <v>125</v>
      </c>
      <c r="F25" s="102">
        <v>371.2</v>
      </c>
      <c r="G25" s="102">
        <v>231</v>
      </c>
      <c r="H25" s="100">
        <f t="shared" si="0"/>
        <v>46400</v>
      </c>
      <c r="I25" s="101" t="s">
        <v>483</v>
      </c>
      <c r="J25" s="107"/>
    </row>
    <row r="26" ht="156" outlineLevel="1" spans="1:10">
      <c r="A26" s="97">
        <v>18</v>
      </c>
      <c r="B26" s="98" t="s">
        <v>525</v>
      </c>
      <c r="C26" s="101" t="s">
        <v>527</v>
      </c>
      <c r="D26" s="99" t="s">
        <v>482</v>
      </c>
      <c r="E26" s="99">
        <v>0</v>
      </c>
      <c r="F26" s="102">
        <v>371.2</v>
      </c>
      <c r="G26" s="102">
        <v>231</v>
      </c>
      <c r="H26" s="100">
        <f t="shared" si="0"/>
        <v>0</v>
      </c>
      <c r="I26" s="101" t="s">
        <v>483</v>
      </c>
      <c r="J26" s="107" t="s">
        <v>528</v>
      </c>
    </row>
    <row r="27" ht="168" outlineLevel="1" spans="1:10">
      <c r="A27" s="97"/>
      <c r="B27" s="98" t="s">
        <v>525</v>
      </c>
      <c r="C27" s="101" t="s">
        <v>529</v>
      </c>
      <c r="D27" s="99" t="s">
        <v>482</v>
      </c>
      <c r="E27" s="99">
        <v>81.66</v>
      </c>
      <c r="F27" s="100">
        <v>281</v>
      </c>
      <c r="G27" s="100"/>
      <c r="H27" s="100">
        <f t="shared" si="0"/>
        <v>22946.46</v>
      </c>
      <c r="I27" s="101"/>
      <c r="J27" s="107" t="s">
        <v>528</v>
      </c>
    </row>
    <row r="28" ht="144" outlineLevel="1" spans="1:10">
      <c r="A28" s="97">
        <v>19</v>
      </c>
      <c r="B28" s="98" t="s">
        <v>523</v>
      </c>
      <c r="C28" s="101" t="s">
        <v>530</v>
      </c>
      <c r="D28" s="99" t="s">
        <v>482</v>
      </c>
      <c r="E28" s="99">
        <f>1.3+7.43+6.77+4.06+2.61+4.12</f>
        <v>26.29</v>
      </c>
      <c r="F28" s="102">
        <v>311.75</v>
      </c>
      <c r="G28" s="102">
        <v>134.2</v>
      </c>
      <c r="H28" s="100">
        <f t="shared" si="0"/>
        <v>8195.91</v>
      </c>
      <c r="I28" s="101" t="s">
        <v>483</v>
      </c>
      <c r="J28" s="107"/>
    </row>
    <row r="29" ht="72" outlineLevel="1" spans="1:10">
      <c r="A29" s="97">
        <v>20</v>
      </c>
      <c r="B29" s="98" t="s">
        <v>531</v>
      </c>
      <c r="C29" s="101" t="s">
        <v>532</v>
      </c>
      <c r="D29" s="99" t="s">
        <v>482</v>
      </c>
      <c r="E29" s="99">
        <f>4.85+1.54</f>
        <v>6.39</v>
      </c>
      <c r="F29" s="102">
        <v>50.75</v>
      </c>
      <c r="G29" s="102">
        <v>23.1</v>
      </c>
      <c r="H29" s="100">
        <f t="shared" si="0"/>
        <v>324.29</v>
      </c>
      <c r="I29" s="99" t="s">
        <v>533</v>
      </c>
      <c r="J29" s="107"/>
    </row>
    <row r="30" spans="1:10">
      <c r="A30" s="97">
        <v>21</v>
      </c>
      <c r="B30" s="98" t="s">
        <v>534</v>
      </c>
      <c r="C30" s="98"/>
      <c r="D30" s="99"/>
      <c r="E30" s="99"/>
      <c r="F30" s="100"/>
      <c r="G30" s="100"/>
      <c r="H30" s="100">
        <f t="shared" si="0"/>
        <v>0</v>
      </c>
      <c r="I30" s="99"/>
      <c r="J30" s="107"/>
    </row>
    <row r="31" ht="84" outlineLevel="1" spans="1:10">
      <c r="A31" s="97">
        <v>22</v>
      </c>
      <c r="B31" s="98" t="s">
        <v>535</v>
      </c>
      <c r="C31" s="101" t="s">
        <v>536</v>
      </c>
      <c r="D31" s="99" t="s">
        <v>482</v>
      </c>
      <c r="E31" s="99">
        <f>25.13+14.33+11.14+40.91+19.98+14.21+17.47+19.5+39.45+20.68+32.61+43.59+11.62+1.69+1.31+0.24+0.6+23.4</f>
        <v>337.86</v>
      </c>
      <c r="F31" s="102">
        <v>50.75</v>
      </c>
      <c r="G31" s="102">
        <v>22</v>
      </c>
      <c r="H31" s="100">
        <f t="shared" si="0"/>
        <v>17146.4</v>
      </c>
      <c r="I31" s="99" t="s">
        <v>533</v>
      </c>
      <c r="J31" s="107"/>
    </row>
    <row r="32" ht="96" outlineLevel="1" spans="1:10">
      <c r="A32" s="97"/>
      <c r="B32" s="98" t="s">
        <v>535</v>
      </c>
      <c r="C32" s="101" t="s">
        <v>537</v>
      </c>
      <c r="D32" s="99" t="s">
        <v>482</v>
      </c>
      <c r="E32" s="99">
        <f>8.27+0.24+2.15+3.31</f>
        <v>13.97</v>
      </c>
      <c r="F32" s="100">
        <v>65</v>
      </c>
      <c r="G32" s="100"/>
      <c r="H32" s="100">
        <f t="shared" si="0"/>
        <v>908.05</v>
      </c>
      <c r="I32" s="99"/>
      <c r="J32" s="107"/>
    </row>
    <row r="33" ht="60" outlineLevel="1" spans="1:10">
      <c r="A33" s="97"/>
      <c r="B33" s="98" t="s">
        <v>538</v>
      </c>
      <c r="C33" s="101" t="s">
        <v>539</v>
      </c>
      <c r="D33" s="99" t="s">
        <v>482</v>
      </c>
      <c r="E33" s="99">
        <v>19.31</v>
      </c>
      <c r="F33" s="100">
        <v>270</v>
      </c>
      <c r="G33" s="100"/>
      <c r="H33" s="100">
        <f t="shared" si="0"/>
        <v>5213.7</v>
      </c>
      <c r="I33" s="99"/>
      <c r="J33" s="107"/>
    </row>
    <row r="34" ht="96" outlineLevel="1" spans="1:10">
      <c r="A34" s="97">
        <v>23</v>
      </c>
      <c r="B34" s="98" t="s">
        <v>540</v>
      </c>
      <c r="C34" s="101" t="s">
        <v>541</v>
      </c>
      <c r="D34" s="99" t="s">
        <v>482</v>
      </c>
      <c r="E34" s="99">
        <f>5.18+20.57+37.24</f>
        <v>62.99</v>
      </c>
      <c r="F34" s="102">
        <v>123.25</v>
      </c>
      <c r="G34" s="102">
        <v>60.5</v>
      </c>
      <c r="H34" s="100">
        <f t="shared" si="0"/>
        <v>7763.52</v>
      </c>
      <c r="I34" s="99" t="s">
        <v>533</v>
      </c>
      <c r="J34" s="107"/>
    </row>
    <row r="35" s="61" customFormat="1" ht="96" outlineLevel="1" spans="1:10">
      <c r="A35" s="97">
        <v>24</v>
      </c>
      <c r="B35" s="98" t="s">
        <v>540</v>
      </c>
      <c r="C35" s="101" t="s">
        <v>542</v>
      </c>
      <c r="D35" s="99" t="s">
        <v>482</v>
      </c>
      <c r="E35" s="99">
        <f>24.13+113.48+22.11</f>
        <v>159.72</v>
      </c>
      <c r="F35" s="102">
        <v>274.05</v>
      </c>
      <c r="G35" s="102">
        <v>88</v>
      </c>
      <c r="H35" s="100">
        <f t="shared" si="0"/>
        <v>43771.27</v>
      </c>
      <c r="I35" s="101" t="s">
        <v>543</v>
      </c>
      <c r="J35" s="108"/>
    </row>
    <row r="36" s="61" customFormat="1" ht="84" outlineLevel="1" spans="1:10">
      <c r="A36" s="97">
        <v>25</v>
      </c>
      <c r="B36" s="98" t="s">
        <v>544</v>
      </c>
      <c r="C36" s="101" t="s">
        <v>545</v>
      </c>
      <c r="D36" s="98" t="s">
        <v>546</v>
      </c>
      <c r="E36" s="99">
        <f>3476.49+1048.13</f>
        <v>4524.62</v>
      </c>
      <c r="F36" s="102">
        <v>19.58</v>
      </c>
      <c r="G36" s="102">
        <v>7.7</v>
      </c>
      <c r="H36" s="100">
        <f t="shared" si="0"/>
        <v>88592.06</v>
      </c>
      <c r="I36" s="98"/>
      <c r="J36" s="108"/>
    </row>
    <row r="37" s="61" customFormat="1" ht="48" outlineLevel="1" spans="1:10">
      <c r="A37" s="97">
        <v>26</v>
      </c>
      <c r="B37" s="98" t="s">
        <v>547</v>
      </c>
      <c r="C37" s="101" t="s">
        <v>548</v>
      </c>
      <c r="D37" s="98" t="s">
        <v>482</v>
      </c>
      <c r="E37" s="99">
        <v>0</v>
      </c>
      <c r="F37" s="102">
        <v>181.25</v>
      </c>
      <c r="G37" s="102">
        <v>55</v>
      </c>
      <c r="H37" s="100">
        <f t="shared" si="0"/>
        <v>0</v>
      </c>
      <c r="I37" s="98"/>
      <c r="J37" s="109" t="s">
        <v>549</v>
      </c>
    </row>
    <row r="38" ht="108" outlineLevel="1" spans="1:10">
      <c r="A38" s="97">
        <v>27</v>
      </c>
      <c r="B38" s="98" t="s">
        <v>550</v>
      </c>
      <c r="C38" s="101" t="s">
        <v>551</v>
      </c>
      <c r="D38" s="99" t="s">
        <v>482</v>
      </c>
      <c r="E38" s="99">
        <f>12.44+137.36+7.62</f>
        <v>157.42</v>
      </c>
      <c r="F38" s="102">
        <v>841</v>
      </c>
      <c r="G38" s="102">
        <v>396</v>
      </c>
      <c r="H38" s="100">
        <f t="shared" ref="H38:H76" si="1">F38*E38</f>
        <v>132390.22</v>
      </c>
      <c r="I38" s="99" t="s">
        <v>552</v>
      </c>
      <c r="J38" s="109" t="s">
        <v>553</v>
      </c>
    </row>
    <row r="39" ht="168" outlineLevel="1" spans="1:10">
      <c r="A39" s="97">
        <v>28</v>
      </c>
      <c r="B39" s="98" t="s">
        <v>554</v>
      </c>
      <c r="C39" s="101" t="s">
        <v>555</v>
      </c>
      <c r="D39" s="99" t="s">
        <v>482</v>
      </c>
      <c r="E39" s="99">
        <v>9.98</v>
      </c>
      <c r="F39" s="102">
        <v>762.7</v>
      </c>
      <c r="G39" s="102">
        <v>396</v>
      </c>
      <c r="H39" s="100">
        <f t="shared" si="1"/>
        <v>7611.75</v>
      </c>
      <c r="I39" s="98" t="s">
        <v>556</v>
      </c>
      <c r="J39" s="107"/>
    </row>
    <row r="40" s="84" customFormat="1" ht="156" outlineLevel="1" spans="1:10">
      <c r="A40" s="97">
        <v>29</v>
      </c>
      <c r="B40" s="98" t="s">
        <v>557</v>
      </c>
      <c r="C40" s="101" t="s">
        <v>558</v>
      </c>
      <c r="D40" s="99" t="s">
        <v>482</v>
      </c>
      <c r="E40" s="99">
        <f>32.41+30.83</f>
        <v>63.24</v>
      </c>
      <c r="F40" s="102">
        <v>388.6</v>
      </c>
      <c r="G40" s="102">
        <v>121</v>
      </c>
      <c r="H40" s="100">
        <f t="shared" si="1"/>
        <v>24575.06</v>
      </c>
      <c r="I40" s="99" t="s">
        <v>559</v>
      </c>
      <c r="J40" s="107"/>
    </row>
    <row r="41" s="84" customFormat="1" ht="168" outlineLevel="1" spans="1:10">
      <c r="A41" s="97">
        <v>30</v>
      </c>
      <c r="B41" s="98" t="s">
        <v>560</v>
      </c>
      <c r="C41" s="101" t="s">
        <v>561</v>
      </c>
      <c r="D41" s="99" t="s">
        <v>482</v>
      </c>
      <c r="E41" s="99">
        <f>18.84+15.32+13.3</f>
        <v>47.46</v>
      </c>
      <c r="F41" s="103">
        <f>268*0+249.67</f>
        <v>249.67</v>
      </c>
      <c r="G41" s="100">
        <v>110</v>
      </c>
      <c r="H41" s="100">
        <f t="shared" si="1"/>
        <v>11849.34</v>
      </c>
      <c r="I41" s="99" t="s">
        <v>562</v>
      </c>
      <c r="J41" s="107" t="s">
        <v>506</v>
      </c>
    </row>
    <row r="42" ht="120" outlineLevel="1" spans="1:10">
      <c r="A42" s="97">
        <v>31</v>
      </c>
      <c r="B42" s="98" t="s">
        <v>563</v>
      </c>
      <c r="C42" s="101" t="s">
        <v>564</v>
      </c>
      <c r="D42" s="99" t="s">
        <v>482</v>
      </c>
      <c r="E42" s="99">
        <v>0</v>
      </c>
      <c r="F42" s="102">
        <v>464</v>
      </c>
      <c r="G42" s="102">
        <v>126.5</v>
      </c>
      <c r="H42" s="100">
        <f t="shared" si="1"/>
        <v>0</v>
      </c>
      <c r="I42" s="99" t="s">
        <v>521</v>
      </c>
      <c r="J42" s="107"/>
    </row>
    <row r="43" ht="84" outlineLevel="1" spans="1:10">
      <c r="A43" s="97">
        <v>32</v>
      </c>
      <c r="B43" s="98" t="s">
        <v>565</v>
      </c>
      <c r="C43" s="101" t="s">
        <v>566</v>
      </c>
      <c r="D43" s="99" t="s">
        <v>482</v>
      </c>
      <c r="E43" s="99">
        <f>47.79+5.91</f>
        <v>53.7</v>
      </c>
      <c r="F43" s="102">
        <v>1044</v>
      </c>
      <c r="G43" s="102">
        <v>396</v>
      </c>
      <c r="H43" s="100">
        <f t="shared" si="1"/>
        <v>56062.8</v>
      </c>
      <c r="I43" s="99" t="s">
        <v>521</v>
      </c>
      <c r="J43" s="107"/>
    </row>
    <row r="44" ht="48" outlineLevel="1" spans="1:10">
      <c r="A44" s="97"/>
      <c r="B44" s="98" t="s">
        <v>567</v>
      </c>
      <c r="C44" s="101" t="s">
        <v>568</v>
      </c>
      <c r="D44" s="99" t="s">
        <v>482</v>
      </c>
      <c r="E44" s="99">
        <v>5.91</v>
      </c>
      <c r="F44" s="100">
        <v>265</v>
      </c>
      <c r="G44" s="100"/>
      <c r="H44" s="100">
        <f t="shared" si="1"/>
        <v>1566.15</v>
      </c>
      <c r="I44" s="99"/>
      <c r="J44" s="107"/>
    </row>
    <row r="45" ht="96" outlineLevel="1" spans="1:10">
      <c r="A45" s="97">
        <v>33</v>
      </c>
      <c r="B45" s="98" t="s">
        <v>565</v>
      </c>
      <c r="C45" s="101" t="s">
        <v>569</v>
      </c>
      <c r="D45" s="99" t="s">
        <v>482</v>
      </c>
      <c r="E45" s="99">
        <v>1.05</v>
      </c>
      <c r="F45" s="102">
        <v>1087.5</v>
      </c>
      <c r="G45" s="102">
        <v>407</v>
      </c>
      <c r="H45" s="100">
        <f t="shared" si="1"/>
        <v>1141.88</v>
      </c>
      <c r="I45" s="99" t="s">
        <v>521</v>
      </c>
      <c r="J45" s="107"/>
    </row>
    <row r="46" ht="60" outlineLevel="1" spans="1:10">
      <c r="A46" s="97"/>
      <c r="B46" s="98" t="s">
        <v>570</v>
      </c>
      <c r="C46" s="101" t="s">
        <v>571</v>
      </c>
      <c r="D46" s="99" t="s">
        <v>482</v>
      </c>
      <c r="E46" s="99">
        <v>1.67</v>
      </c>
      <c r="F46" s="100">
        <v>3500</v>
      </c>
      <c r="G46" s="100"/>
      <c r="H46" s="100">
        <f t="shared" si="1"/>
        <v>5845</v>
      </c>
      <c r="I46" s="99"/>
      <c r="J46" s="107"/>
    </row>
    <row r="47" ht="72" outlineLevel="1" spans="1:10">
      <c r="A47" s="97">
        <v>34</v>
      </c>
      <c r="B47" s="98" t="s">
        <v>572</v>
      </c>
      <c r="C47" s="101" t="s">
        <v>573</v>
      </c>
      <c r="D47" s="99" t="s">
        <v>482</v>
      </c>
      <c r="E47" s="99">
        <f>53.22+16.55</f>
        <v>69.77</v>
      </c>
      <c r="F47" s="102">
        <v>942.5</v>
      </c>
      <c r="G47" s="102">
        <v>396</v>
      </c>
      <c r="H47" s="100">
        <f t="shared" si="1"/>
        <v>65758.23</v>
      </c>
      <c r="I47" s="99" t="s">
        <v>521</v>
      </c>
      <c r="J47" s="107"/>
    </row>
    <row r="48" ht="121.5" outlineLevel="1" spans="1:10">
      <c r="A48" s="97">
        <v>35</v>
      </c>
      <c r="B48" s="98" t="s">
        <v>574</v>
      </c>
      <c r="C48" s="101" t="s">
        <v>575</v>
      </c>
      <c r="D48" s="99" t="s">
        <v>482</v>
      </c>
      <c r="E48" s="99">
        <f>26.43+33.58</f>
        <v>60.01</v>
      </c>
      <c r="F48" s="103">
        <f>320*0+296.67</f>
        <v>296.67</v>
      </c>
      <c r="G48" s="100">
        <v>140</v>
      </c>
      <c r="H48" s="100">
        <f t="shared" si="1"/>
        <v>17803.17</v>
      </c>
      <c r="I48" s="99" t="s">
        <v>521</v>
      </c>
      <c r="J48" s="107" t="s">
        <v>576</v>
      </c>
    </row>
    <row r="49" ht="72" outlineLevel="1" spans="1:10">
      <c r="A49" s="97">
        <v>36</v>
      </c>
      <c r="B49" s="98" t="s">
        <v>577</v>
      </c>
      <c r="C49" s="101" t="s">
        <v>578</v>
      </c>
      <c r="D49" s="99" t="s">
        <v>482</v>
      </c>
      <c r="E49" s="99">
        <v>1.5</v>
      </c>
      <c r="F49" s="102">
        <v>559.7</v>
      </c>
      <c r="G49" s="102">
        <v>231</v>
      </c>
      <c r="H49" s="100">
        <f t="shared" si="1"/>
        <v>839.55</v>
      </c>
      <c r="I49" s="98" t="s">
        <v>579</v>
      </c>
      <c r="J49" s="107"/>
    </row>
    <row r="50" ht="36" outlineLevel="1" spans="1:10">
      <c r="A50" s="97"/>
      <c r="B50" s="98" t="s">
        <v>580</v>
      </c>
      <c r="C50" s="101" t="s">
        <v>581</v>
      </c>
      <c r="D50" s="99" t="s">
        <v>482</v>
      </c>
      <c r="E50" s="99">
        <v>11.16</v>
      </c>
      <c r="F50" s="100">
        <v>500</v>
      </c>
      <c r="G50" s="100"/>
      <c r="H50" s="100">
        <f t="shared" si="1"/>
        <v>5580</v>
      </c>
      <c r="I50" s="98"/>
      <c r="J50" s="107"/>
    </row>
    <row r="51" ht="72" outlineLevel="1" spans="1:10">
      <c r="A51" s="97">
        <v>37</v>
      </c>
      <c r="B51" s="98" t="s">
        <v>582</v>
      </c>
      <c r="C51" s="101" t="s">
        <v>578</v>
      </c>
      <c r="D51" s="99" t="s">
        <v>482</v>
      </c>
      <c r="E51" s="99">
        <f>3.17+50.95+9.25</f>
        <v>63.37</v>
      </c>
      <c r="F51" s="102">
        <v>559.7</v>
      </c>
      <c r="G51" s="102">
        <v>231</v>
      </c>
      <c r="H51" s="100">
        <f t="shared" si="1"/>
        <v>35468.19</v>
      </c>
      <c r="I51" s="99" t="s">
        <v>521</v>
      </c>
      <c r="J51" s="107"/>
    </row>
    <row r="52" ht="96" outlineLevel="1" spans="1:10">
      <c r="A52" s="97">
        <v>38</v>
      </c>
      <c r="B52" s="98" t="s">
        <v>583</v>
      </c>
      <c r="C52" s="101" t="s">
        <v>584</v>
      </c>
      <c r="D52" s="99" t="s">
        <v>482</v>
      </c>
      <c r="E52" s="99">
        <v>17.33</v>
      </c>
      <c r="F52" s="102">
        <v>493</v>
      </c>
      <c r="G52" s="102">
        <v>242</v>
      </c>
      <c r="H52" s="100">
        <f t="shared" si="1"/>
        <v>8543.69</v>
      </c>
      <c r="I52" s="99" t="s">
        <v>521</v>
      </c>
      <c r="J52" s="107"/>
    </row>
    <row r="53" s="84" customFormat="1" ht="60" outlineLevel="1" spans="1:10">
      <c r="A53" s="97">
        <v>39</v>
      </c>
      <c r="B53" s="98" t="s">
        <v>585</v>
      </c>
      <c r="C53" s="101" t="s">
        <v>586</v>
      </c>
      <c r="D53" s="104" t="s">
        <v>482</v>
      </c>
      <c r="E53" s="99">
        <v>17.15</v>
      </c>
      <c r="F53" s="102">
        <v>3045</v>
      </c>
      <c r="G53" s="102">
        <v>1540</v>
      </c>
      <c r="H53" s="100">
        <f t="shared" si="1"/>
        <v>52221.75</v>
      </c>
      <c r="I53" s="99" t="s">
        <v>521</v>
      </c>
      <c r="J53" s="107"/>
    </row>
    <row r="54" ht="48" outlineLevel="1" spans="1:10">
      <c r="A54" s="97">
        <v>40</v>
      </c>
      <c r="B54" s="98" t="s">
        <v>587</v>
      </c>
      <c r="C54" s="101" t="s">
        <v>588</v>
      </c>
      <c r="D54" s="99" t="s">
        <v>589</v>
      </c>
      <c r="E54" s="99">
        <v>1</v>
      </c>
      <c r="F54" s="102">
        <v>3190</v>
      </c>
      <c r="G54" s="102">
        <v>1595</v>
      </c>
      <c r="H54" s="100">
        <f t="shared" si="1"/>
        <v>3190</v>
      </c>
      <c r="I54" s="99" t="s">
        <v>521</v>
      </c>
      <c r="J54" s="107"/>
    </row>
    <row r="55" spans="1:10">
      <c r="A55" s="97">
        <v>41</v>
      </c>
      <c r="B55" s="98" t="s">
        <v>590</v>
      </c>
      <c r="C55" s="98"/>
      <c r="D55" s="99"/>
      <c r="E55" s="99"/>
      <c r="F55" s="100"/>
      <c r="G55" s="100"/>
      <c r="H55" s="100">
        <f t="shared" si="1"/>
        <v>0</v>
      </c>
      <c r="I55" s="99"/>
      <c r="J55" s="107"/>
    </row>
    <row r="56" ht="84" outlineLevel="1" spans="1:10">
      <c r="A56" s="97">
        <v>42</v>
      </c>
      <c r="B56" s="98" t="s">
        <v>591</v>
      </c>
      <c r="C56" s="101" t="s">
        <v>592</v>
      </c>
      <c r="D56" s="99" t="s">
        <v>482</v>
      </c>
      <c r="E56" s="99">
        <f>10.41+5.18</f>
        <v>15.59</v>
      </c>
      <c r="F56" s="102">
        <v>551</v>
      </c>
      <c r="G56" s="102">
        <v>214.5</v>
      </c>
      <c r="H56" s="100">
        <f t="shared" si="1"/>
        <v>8590.09</v>
      </c>
      <c r="I56" s="99" t="s">
        <v>521</v>
      </c>
      <c r="J56" s="107"/>
    </row>
    <row r="57" ht="60" outlineLevel="1" spans="1:10">
      <c r="A57" s="97">
        <v>43</v>
      </c>
      <c r="B57" s="98" t="s">
        <v>593</v>
      </c>
      <c r="C57" s="101" t="s">
        <v>594</v>
      </c>
      <c r="D57" s="99" t="s">
        <v>482</v>
      </c>
      <c r="E57" s="99">
        <v>0.84</v>
      </c>
      <c r="F57" s="102">
        <v>464</v>
      </c>
      <c r="G57" s="102">
        <v>198</v>
      </c>
      <c r="H57" s="100">
        <f t="shared" si="1"/>
        <v>389.76</v>
      </c>
      <c r="I57" s="99" t="s">
        <v>521</v>
      </c>
      <c r="J57" s="107"/>
    </row>
    <row r="58" ht="72" outlineLevel="1" spans="1:10">
      <c r="A58" s="97">
        <v>44</v>
      </c>
      <c r="B58" s="98" t="s">
        <v>591</v>
      </c>
      <c r="C58" s="101" t="s">
        <v>595</v>
      </c>
      <c r="D58" s="99" t="s">
        <v>482</v>
      </c>
      <c r="E58" s="99">
        <f>3.11+3.07</f>
        <v>6.18</v>
      </c>
      <c r="F58" s="103">
        <f>285*0+183.6</f>
        <v>183.6</v>
      </c>
      <c r="G58" s="100">
        <v>195</v>
      </c>
      <c r="H58" s="100">
        <f t="shared" si="1"/>
        <v>1134.65</v>
      </c>
      <c r="I58" s="99" t="s">
        <v>521</v>
      </c>
      <c r="J58" s="109" t="s">
        <v>596</v>
      </c>
    </row>
    <row r="59" ht="36" outlineLevel="1" spans="1:10">
      <c r="A59" s="97">
        <v>45</v>
      </c>
      <c r="B59" s="98" t="s">
        <v>593</v>
      </c>
      <c r="C59" s="101" t="s">
        <v>597</v>
      </c>
      <c r="D59" s="99" t="s">
        <v>482</v>
      </c>
      <c r="E59" s="99">
        <v>0.84</v>
      </c>
      <c r="F59" s="103">
        <f>265*0+202.6</f>
        <v>202.6</v>
      </c>
      <c r="G59" s="100">
        <v>120</v>
      </c>
      <c r="H59" s="100">
        <f t="shared" si="1"/>
        <v>170.18</v>
      </c>
      <c r="I59" s="99" t="s">
        <v>521</v>
      </c>
      <c r="J59" s="109" t="s">
        <v>596</v>
      </c>
    </row>
    <row r="60" ht="72" outlineLevel="1" spans="1:10">
      <c r="A60" s="97">
        <v>46</v>
      </c>
      <c r="B60" s="98" t="s">
        <v>598</v>
      </c>
      <c r="C60" s="101" t="s">
        <v>599</v>
      </c>
      <c r="D60" s="99" t="s">
        <v>482</v>
      </c>
      <c r="E60" s="99">
        <f>1.05+0.87</f>
        <v>1.92</v>
      </c>
      <c r="F60" s="102">
        <v>2610</v>
      </c>
      <c r="G60" s="102">
        <v>1485</v>
      </c>
      <c r="H60" s="100">
        <f t="shared" si="1"/>
        <v>5011.2</v>
      </c>
      <c r="I60" s="99" t="s">
        <v>521</v>
      </c>
      <c r="J60" s="109"/>
    </row>
    <row r="61" ht="84" outlineLevel="1" spans="1:10">
      <c r="A61" s="97">
        <v>47</v>
      </c>
      <c r="B61" s="98" t="s">
        <v>600</v>
      </c>
      <c r="C61" s="101" t="s">
        <v>601</v>
      </c>
      <c r="D61" s="99" t="s">
        <v>482</v>
      </c>
      <c r="E61" s="99">
        <v>1.9</v>
      </c>
      <c r="F61" s="102">
        <v>311.75</v>
      </c>
      <c r="G61" s="102">
        <v>88</v>
      </c>
      <c r="H61" s="100">
        <f t="shared" si="1"/>
        <v>592.33</v>
      </c>
      <c r="I61" s="99" t="s">
        <v>521</v>
      </c>
      <c r="J61" s="109"/>
    </row>
    <row r="62" ht="48" outlineLevel="1" spans="1:10">
      <c r="A62" s="97">
        <v>48</v>
      </c>
      <c r="B62" s="98" t="s">
        <v>602</v>
      </c>
      <c r="C62" s="101" t="s">
        <v>603</v>
      </c>
      <c r="D62" s="99" t="s">
        <v>604</v>
      </c>
      <c r="E62" s="99">
        <v>0</v>
      </c>
      <c r="F62" s="102">
        <v>108.75</v>
      </c>
      <c r="G62" s="102">
        <v>55</v>
      </c>
      <c r="H62" s="100">
        <f t="shared" si="1"/>
        <v>0</v>
      </c>
      <c r="I62" s="99"/>
      <c r="J62" s="109" t="s">
        <v>605</v>
      </c>
    </row>
    <row r="63" spans="1:10">
      <c r="A63" s="97">
        <v>49</v>
      </c>
      <c r="B63" s="98" t="s">
        <v>606</v>
      </c>
      <c r="C63" s="98"/>
      <c r="D63" s="99"/>
      <c r="E63" s="99"/>
      <c r="F63" s="100"/>
      <c r="G63" s="100"/>
      <c r="H63" s="100">
        <f t="shared" si="1"/>
        <v>0</v>
      </c>
      <c r="I63" s="99"/>
      <c r="J63" s="107"/>
    </row>
    <row r="64" ht="36" outlineLevel="1" spans="1:10">
      <c r="A64" s="97">
        <v>50</v>
      </c>
      <c r="B64" s="98" t="s">
        <v>607</v>
      </c>
      <c r="C64" s="101" t="s">
        <v>608</v>
      </c>
      <c r="D64" s="99" t="s">
        <v>609</v>
      </c>
      <c r="E64" s="99">
        <v>15</v>
      </c>
      <c r="F64" s="102">
        <v>2436</v>
      </c>
      <c r="G64" s="102">
        <v>1320</v>
      </c>
      <c r="H64" s="100">
        <f t="shared" si="1"/>
        <v>36540</v>
      </c>
      <c r="I64" s="99" t="s">
        <v>521</v>
      </c>
      <c r="J64" s="107"/>
    </row>
    <row r="65" ht="36" outlineLevel="1" spans="1:10">
      <c r="A65" s="97">
        <v>51</v>
      </c>
      <c r="B65" s="98" t="s">
        <v>607</v>
      </c>
      <c r="C65" s="101" t="s">
        <v>610</v>
      </c>
      <c r="D65" s="99" t="s">
        <v>609</v>
      </c>
      <c r="E65" s="99">
        <v>0</v>
      </c>
      <c r="F65" s="102">
        <v>2291</v>
      </c>
      <c r="G65" s="102">
        <v>1210</v>
      </c>
      <c r="H65" s="100">
        <f t="shared" si="1"/>
        <v>0</v>
      </c>
      <c r="I65" s="99" t="s">
        <v>521</v>
      </c>
      <c r="J65" s="107"/>
    </row>
    <row r="66" ht="36" outlineLevel="1" spans="1:10">
      <c r="A66" s="97">
        <v>52</v>
      </c>
      <c r="B66" s="98" t="s">
        <v>611</v>
      </c>
      <c r="C66" s="101" t="s">
        <v>612</v>
      </c>
      <c r="D66" s="99" t="s">
        <v>609</v>
      </c>
      <c r="E66" s="99">
        <v>1</v>
      </c>
      <c r="F66" s="102">
        <v>3190</v>
      </c>
      <c r="G66" s="102">
        <v>1595</v>
      </c>
      <c r="H66" s="100">
        <f t="shared" si="1"/>
        <v>3190</v>
      </c>
      <c r="I66" s="99" t="s">
        <v>521</v>
      </c>
      <c r="J66" s="107"/>
    </row>
    <row r="67" ht="60" outlineLevel="1" spans="1:10">
      <c r="A67" s="97">
        <v>53</v>
      </c>
      <c r="B67" s="98" t="s">
        <v>613</v>
      </c>
      <c r="C67" s="101" t="s">
        <v>614</v>
      </c>
      <c r="D67" s="99" t="s">
        <v>517</v>
      </c>
      <c r="E67" s="99">
        <v>3.05</v>
      </c>
      <c r="F67" s="102">
        <v>2900</v>
      </c>
      <c r="G67" s="102">
        <v>1496</v>
      </c>
      <c r="H67" s="100">
        <f t="shared" si="1"/>
        <v>8845</v>
      </c>
      <c r="I67" s="99" t="s">
        <v>521</v>
      </c>
      <c r="J67" s="107"/>
    </row>
    <row r="68" ht="175.5" outlineLevel="1" spans="1:10">
      <c r="A68" s="97">
        <v>54</v>
      </c>
      <c r="B68" s="98" t="s">
        <v>615</v>
      </c>
      <c r="C68" s="101" t="s">
        <v>616</v>
      </c>
      <c r="D68" s="99" t="s">
        <v>517</v>
      </c>
      <c r="E68" s="99">
        <v>3.5</v>
      </c>
      <c r="F68" s="102">
        <v>2900</v>
      </c>
      <c r="G68" s="102">
        <v>1496</v>
      </c>
      <c r="H68" s="100">
        <f t="shared" si="1"/>
        <v>10150</v>
      </c>
      <c r="I68" s="99" t="s">
        <v>521</v>
      </c>
      <c r="J68" s="107" t="s">
        <v>617</v>
      </c>
    </row>
    <row r="69" ht="72" outlineLevel="1" spans="1:10">
      <c r="A69" s="97">
        <v>55</v>
      </c>
      <c r="B69" s="98" t="s">
        <v>618</v>
      </c>
      <c r="C69" s="101" t="s">
        <v>619</v>
      </c>
      <c r="D69" s="99" t="s">
        <v>517</v>
      </c>
      <c r="E69" s="99">
        <v>3.4</v>
      </c>
      <c r="F69" s="103">
        <f>1600*0+1216.67</f>
        <v>1216.67</v>
      </c>
      <c r="G69" s="100">
        <v>1150</v>
      </c>
      <c r="H69" s="100">
        <f t="shared" si="1"/>
        <v>4136.68</v>
      </c>
      <c r="I69" s="99" t="s">
        <v>521</v>
      </c>
      <c r="J69" s="107" t="s">
        <v>620</v>
      </c>
    </row>
    <row r="70" ht="84" outlineLevel="1" spans="1:10">
      <c r="A70" s="97">
        <v>56</v>
      </c>
      <c r="B70" s="98" t="s">
        <v>621</v>
      </c>
      <c r="C70" s="101" t="s">
        <v>622</v>
      </c>
      <c r="D70" s="99" t="s">
        <v>517</v>
      </c>
      <c r="E70" s="99">
        <v>3.8</v>
      </c>
      <c r="F70" s="102">
        <v>3770</v>
      </c>
      <c r="G70" s="102">
        <v>1320</v>
      </c>
      <c r="H70" s="100">
        <f t="shared" si="1"/>
        <v>14326</v>
      </c>
      <c r="I70" s="99" t="s">
        <v>521</v>
      </c>
      <c r="J70" s="107"/>
    </row>
    <row r="71" ht="72" outlineLevel="1" spans="1:10">
      <c r="A71" s="97">
        <v>57</v>
      </c>
      <c r="B71" s="98" t="s">
        <v>623</v>
      </c>
      <c r="C71" s="101" t="s">
        <v>624</v>
      </c>
      <c r="D71" s="99" t="s">
        <v>517</v>
      </c>
      <c r="E71" s="99">
        <v>1.97</v>
      </c>
      <c r="F71" s="102">
        <v>2610</v>
      </c>
      <c r="G71" s="102">
        <v>1485</v>
      </c>
      <c r="H71" s="100">
        <f t="shared" si="1"/>
        <v>5141.7</v>
      </c>
      <c r="I71" s="99" t="s">
        <v>521</v>
      </c>
      <c r="J71" s="107"/>
    </row>
    <row r="72" ht="24" outlineLevel="1" spans="1:10">
      <c r="A72" s="97">
        <v>58</v>
      </c>
      <c r="B72" s="98" t="s">
        <v>625</v>
      </c>
      <c r="C72" s="101" t="s">
        <v>626</v>
      </c>
      <c r="D72" s="99" t="s">
        <v>482</v>
      </c>
      <c r="E72" s="99">
        <v>0</v>
      </c>
      <c r="F72" s="102">
        <v>1131</v>
      </c>
      <c r="G72" s="102">
        <v>506</v>
      </c>
      <c r="H72" s="100">
        <f t="shared" si="1"/>
        <v>0</v>
      </c>
      <c r="I72" s="99"/>
      <c r="J72" s="107"/>
    </row>
    <row r="73" ht="36" outlineLevel="1" spans="1:10">
      <c r="A73" s="97">
        <v>59</v>
      </c>
      <c r="B73" s="98" t="s">
        <v>627</v>
      </c>
      <c r="C73" s="101" t="s">
        <v>628</v>
      </c>
      <c r="D73" s="99" t="s">
        <v>517</v>
      </c>
      <c r="E73" s="99">
        <v>7.17</v>
      </c>
      <c r="F73" s="102">
        <v>1276</v>
      </c>
      <c r="G73" s="102">
        <v>682</v>
      </c>
      <c r="H73" s="100">
        <f t="shared" si="1"/>
        <v>9148.92</v>
      </c>
      <c r="I73" s="99" t="s">
        <v>486</v>
      </c>
      <c r="J73" s="107"/>
    </row>
    <row r="74" ht="72" outlineLevel="1" spans="1:10">
      <c r="A74" s="97"/>
      <c r="B74" s="98" t="s">
        <v>629</v>
      </c>
      <c r="C74" s="101" t="s">
        <v>630</v>
      </c>
      <c r="D74" s="99" t="s">
        <v>631</v>
      </c>
      <c r="E74" s="99">
        <v>1</v>
      </c>
      <c r="F74" s="100">
        <v>21180</v>
      </c>
      <c r="G74" s="100"/>
      <c r="H74" s="100">
        <f t="shared" si="1"/>
        <v>21180</v>
      </c>
      <c r="I74" s="99"/>
      <c r="J74" s="107"/>
    </row>
    <row r="75" ht="24" outlineLevel="1" spans="1:10">
      <c r="A75" s="97"/>
      <c r="B75" s="98" t="s">
        <v>632</v>
      </c>
      <c r="C75" s="101" t="s">
        <v>633</v>
      </c>
      <c r="D75" s="99" t="s">
        <v>517</v>
      </c>
      <c r="E75" s="99">
        <v>14.19</v>
      </c>
      <c r="F75" s="100">
        <v>210</v>
      </c>
      <c r="G75" s="100"/>
      <c r="H75" s="100">
        <f t="shared" si="1"/>
        <v>2979.9</v>
      </c>
      <c r="I75" s="99"/>
      <c r="J75" s="107"/>
    </row>
    <row r="76" ht="24" outlineLevel="1" spans="1:10">
      <c r="A76" s="97"/>
      <c r="B76" s="98" t="s">
        <v>634</v>
      </c>
      <c r="C76" s="101" t="s">
        <v>635</v>
      </c>
      <c r="D76" s="99" t="s">
        <v>517</v>
      </c>
      <c r="E76" s="99">
        <f>12.33+9.95</f>
        <v>22.28</v>
      </c>
      <c r="F76" s="100">
        <v>160</v>
      </c>
      <c r="G76" s="100"/>
      <c r="H76" s="100">
        <f t="shared" si="1"/>
        <v>3564.8</v>
      </c>
      <c r="I76" s="99"/>
      <c r="J76" s="107"/>
    </row>
    <row r="77" ht="14.25" spans="1:10">
      <c r="A77" s="110">
        <v>60</v>
      </c>
      <c r="B77" s="111" t="s">
        <v>636</v>
      </c>
      <c r="C77" s="111"/>
      <c r="D77" s="112"/>
      <c r="E77" s="112"/>
      <c r="F77" s="112"/>
      <c r="G77" s="112"/>
      <c r="H77" s="113">
        <f>SUM(H5:H76)</f>
        <v>1253793.62</v>
      </c>
      <c r="I77" s="112"/>
      <c r="J77" s="114"/>
    </row>
  </sheetData>
  <autoFilter ref="A3:J77">
    <extLst/>
  </autoFilter>
  <mergeCells count="17">
    <mergeCell ref="A1:J1"/>
    <mergeCell ref="F2:G2"/>
    <mergeCell ref="B4:C4"/>
    <mergeCell ref="B9:C9"/>
    <mergeCell ref="B23:C23"/>
    <mergeCell ref="B30:C30"/>
    <mergeCell ref="B55:C55"/>
    <mergeCell ref="B63:C63"/>
    <mergeCell ref="B77:C77"/>
    <mergeCell ref="A2:A3"/>
    <mergeCell ref="B2:B3"/>
    <mergeCell ref="C2:C3"/>
    <mergeCell ref="D2:D3"/>
    <mergeCell ref="E2:E3"/>
    <mergeCell ref="H2:H3"/>
    <mergeCell ref="I2:I3"/>
    <mergeCell ref="J2:J3"/>
  </mergeCells>
  <printOptions horizontalCentered="1"/>
  <pageMargins left="0" right="0" top="0" bottom="0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内装</vt:lpstr>
      <vt:lpstr>幕墙</vt:lpstr>
      <vt:lpstr>安装</vt:lpstr>
      <vt:lpstr>合同外增加室外监控系统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DCWYQ</cp:lastModifiedBy>
  <dcterms:created xsi:type="dcterms:W3CDTF">2009-08-21T07:16:00Z</dcterms:created>
  <cp:lastPrinted>2019-03-25T03:18:00Z</cp:lastPrinted>
  <dcterms:modified xsi:type="dcterms:W3CDTF">2024-06-26T03:58:11Z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