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692" firstSheet="2" activeTab="1"/>
  </bookViews>
  <sheets>
    <sheet name="Sheet2" sheetId="20" state="hidden" r:id="rId1"/>
    <sheet name="01、汇总表" sheetId="9" r:id="rId2"/>
    <sheet name="Sheet1" sheetId="19" state="hidden" r:id="rId3"/>
    <sheet name="02、样板间装饰工程" sheetId="22" r:id="rId4"/>
    <sheet name="03、样板间安装工程" sheetId="23" r:id="rId5"/>
    <sheet name="门头钢结构工程量计算" sheetId="13" state="hidden" r:id="rId6"/>
  </sheets>
  <externalReferences>
    <externalReference r:id="rId7"/>
  </externalReferences>
  <definedNames>
    <definedName name="_xlnm._FilterDatabase" localSheetId="3" hidden="1">'02、样板间装饰工程'!$A$4:$O$105</definedName>
    <definedName name="_xlnm._FilterDatabase" localSheetId="4" hidden="1">'03、样板间安装工程'!$A$3:$O$106</definedName>
    <definedName name="_xlnm._FilterDatabase" localSheetId="5" hidden="1">门头钢结构工程量计算!$A$2:$G$22</definedName>
    <definedName name="_xlnm.Print_Area" localSheetId="1">'01、汇总表'!$A$1:$F$13</definedName>
    <definedName name="_xlnm.Print_Area" localSheetId="2">Sheet1!$A$1:$I$53</definedName>
    <definedName name="_xlnm.Print_Area" localSheetId="0">Sheet2!$A$1:$I$55</definedName>
    <definedName name="B主筋锚长">[1]内围地梁钢筋说明!$C$17</definedName>
    <definedName name="_xlnm.Print_Area" localSheetId="3">'02、样板间装饰工程'!$A$1:$P$105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<sst xmlns="http://schemas.openxmlformats.org/spreadsheetml/2006/main" count="933" uniqueCount="472">
  <si>
    <t>河南省洛阳市浩德地产造价汇总表</t>
  </si>
  <si>
    <t>序 号</t>
  </si>
  <si>
    <t>项目名称</t>
  </si>
  <si>
    <t>单位</t>
  </si>
  <si>
    <t>金额 (元)</t>
  </si>
  <si>
    <t>合计(元)</t>
  </si>
  <si>
    <t>备注</t>
  </si>
  <si>
    <t>一</t>
  </si>
  <si>
    <t>样板间装饰工程</t>
  </si>
  <si>
    <t>地面</t>
  </si>
  <si>
    <t>项</t>
  </si>
  <si>
    <t>天棚</t>
  </si>
  <si>
    <t>墙面</t>
  </si>
  <si>
    <t>其他</t>
  </si>
  <si>
    <t>二</t>
  </si>
  <si>
    <t>样板间安装工程</t>
  </si>
  <si>
    <t>电气</t>
  </si>
  <si>
    <t>给排水</t>
  </si>
  <si>
    <t>空调</t>
  </si>
  <si>
    <t>电器</t>
  </si>
  <si>
    <t>三</t>
  </si>
  <si>
    <t>合计</t>
  </si>
  <si>
    <t>元</t>
  </si>
  <si>
    <t>价格清单（伊河湾项目5#楼F1户型样板间装饰工程）（装饰部分）</t>
  </si>
  <si>
    <t>工程名称：伊河湾项目3#楼C2样板间装饰工程--装饰工程</t>
  </si>
  <si>
    <t>序号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</si>
  <si>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</si>
  <si>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</si>
  <si>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</si>
  <si>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</si>
  <si>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</si>
  <si>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</si>
  <si>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备 注
（品牌/厂家）</t>
  </si>
  <si>
    <t>人工费
a</t>
  </si>
  <si>
    <t>含损耗主材费小计</t>
  </si>
  <si>
    <t>主材费</t>
  </si>
  <si>
    <t>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</si>
  <si>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</si>
  <si>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</si>
  <si>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</si>
  <si>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</si>
  <si>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</si>
  <si>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</si>
  <si>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F1户型样板间-地面</t>
  </si>
  <si>
    <t>瓷砖楼地面（无防水）</t>
  </si>
  <si>
    <t>1.CT-01 1500mm*750mm瓷砖光面
2.45mmDSM15预拌砂浆(干硬性)
3.部位：客厅、餐厅、走道、玄关
4.其它说明：铺贴、擦缝、切割、磨边等一切铺贴步骤及所需之辅材，满足规范和设计图纸要求</t>
  </si>
  <si>
    <t>m2</t>
  </si>
  <si>
    <t>诺贝尔</t>
  </si>
  <si>
    <t>瓷砖楼地面（防水）</t>
  </si>
  <si>
    <t>1.CT-02 1200mm*600mm瓷砖光面
2.20mm1:3干硬性水泥砂浆，界面剂
3.1.5mm厚JS柔性防水层
4.最薄处30mmC20细石砼找坡，坡向地漏随打随抹平
5.部位：卫生间
6.其它说明：铺贴、擦缝、切割、磨边等一切铺贴步骤及所需之辅材，满足规范和设计图纸要求</t>
  </si>
  <si>
    <t>石材防滑楼地面（防水）</t>
  </si>
  <si>
    <t>1.18mm厚大理石，胶泥湿贴
2.20mm1:3干硬性水泥砂浆，界面剂
3.1.5mm厚JS柔性防水层
4.最薄处30mmC20细石砼找坡，坡向地漏随打随抹平
5.部位：卫生间淋浴区
6.其它说明：铺贴、擦缝、切割、磨边等一切铺贴步骤及所需之辅材，满足规范和设计图纸要求</t>
  </si>
  <si>
    <t>国产优质</t>
  </si>
  <si>
    <t>石材地面-淋浴区排水沟</t>
  </si>
  <si>
    <t>1.ST-03 18mm厚人造石 石材排水沟
2.部位：卫生间淋浴区
3.其它说明：铺贴、擦缝、切割、磨边等一切铺贴步骤及所需之辅材，满足规范和设计图纸要求</t>
  </si>
  <si>
    <t>m</t>
  </si>
  <si>
    <t>木地板地面</t>
  </si>
  <si>
    <t>1.实木复合木地板
2.45mm厚细石砼找平层
3.其它说明：满足规范和设计图纸要求</t>
  </si>
  <si>
    <t>圣象</t>
  </si>
  <si>
    <r>
      <rPr>
        <sz val="10"/>
        <rFont val="Arial"/>
        <charset val="1"/>
      </rPr>
      <t>18</t>
    </r>
    <r>
      <rPr>
        <sz val="10"/>
        <rFont val="宋体"/>
        <charset val="1"/>
      </rPr>
      <t>厚</t>
    </r>
  </si>
  <si>
    <t>石材过门石</t>
  </si>
  <si>
    <t>1.ST-03 18mm 5mm古铜色不锈钢金属分割条，砼反坎
2.45mmDSM15预拌砂浆(干硬性)
3.部位：卫生间
4.其它说明：铺贴、擦缝、切割、磨边等一切铺贴步骤及所需之辅材，满足规范和设计图纸要求</t>
  </si>
  <si>
    <t>1.ST-03 18mm 5mm古铜色不锈钢金属分割条，细石砼垫层
2.20mmDSM15预拌砂浆(干硬性)
3.部位：玄关
4.其它说明：铺贴、擦缝、切割、磨边等一切铺贴步骤及所需之辅材，满足规范和设计图纸要求</t>
  </si>
  <si>
    <t>地暖</t>
  </si>
  <si>
    <t>1.50厚C15豆石混凝土随打随抹平(上下配Φ3双向@50钢丝网片，找坡1%坡向地漏
2.户内分集水器至各房间的加热管道材质为PE-RT，管径为De20*2.3
3.0.2厚真空镀铝聚脂薄膜
4.20厚挤塑聚苯乙烯泡沫塑料板
5.其它说明：满足规范和设计图纸要求</t>
  </si>
  <si>
    <t>日丰</t>
  </si>
  <si>
    <t>F1户型样板间-天棚</t>
  </si>
  <si>
    <t>吊顶天棚-玄关</t>
  </si>
  <si>
    <t>1.钢筋混凝土楼板
2.膨胀螺栓φ8丝杆,
3.主龙骨C50*15@1100
4.副龙骨C50*20/19@400
5.9.5mm纸面石膏板
6.双层9mm阻燃胶合板
7.白色乳胶漆天棚
8.包含吊顶上裁切开孔、灯槽、出风口和检修口开口及其它开口及额外处理、封边，包括并不限于上述所有施工步骤及所需之材料
9.其它说明：满足规范和设计图纸要求</t>
  </si>
  <si>
    <t>立邦、嘉宝莉</t>
  </si>
  <si>
    <t>吊顶天棚-厨房</t>
  </si>
  <si>
    <t>1.钢筋混凝土楼板
2.膨胀螺栓φ8丝杆,
3.主龙骨C50*15@1100
4.副龙骨C50*20/19@400
5.9.5mm纸面石膏板
6.双层9mm阻燃胶合板
7.白色防水乳胶漆天棚
8.包含吊顶上裁切开孔、灯槽、出风口和检修口开口及其它开口及额外处理、封边，包括并不限于上述所有施工步骤及所需之材料
9.其它说明：满足规范和设计图纸要求</t>
  </si>
  <si>
    <t>吊顶天棚</t>
  </si>
  <si>
    <t>1.钢筋混凝土楼板
2.膨胀螺栓φ10丝杆,
3.主龙骨C50*15@1100
4.副龙骨C50*20/19@400
5.9.5mm纸面石膏板
6.9mm阻燃胶合板
7.白色乳胶漆天棚
8.包含吊顶上裁切开孔、灯槽、出风口和检修口开口及其它开口及额外处理、封边，包括并不限于上述所有施工步骤及所需之材料
9.其它说明：满足规范和设计图纸要求</t>
  </si>
  <si>
    <t>直边石膏板吊顶</t>
  </si>
  <si>
    <t>1.龙骨基层
2.9.5mm纸面石膏板
3.9mm阻燃胶合板
4.白色乳胶漆天棚
5.包含吊顶上裁切开孔、灯槽、出风口和检修口开口及其它开口及额外处理、封边，包括并不限于上述所有施工步骤及所需之材料
6.其它说明：满足规范和设计图纸要求</t>
  </si>
  <si>
    <t>1.钢筋混凝土楼板
2.膨胀螺栓φ8丝杆,
3.主龙骨C50*15@1100
4.副龙骨C50*20/19@400
5.双层9.5mm纸面石膏板
6.白色乳胶漆天棚
7.包含吊顶上裁切开孔、灯槽、出风口和检修口开口及其它开口及额外处理、封边，包括并不限于上述所有施工步骤及所需之材料
8.其它说明：包满足规范和设计图纸要求</t>
  </si>
  <si>
    <t>窗帘盒制作</t>
  </si>
  <si>
    <t>1.12mm阻燃板基层
2.双层9.5mm厚石膏板
3.双面白色乳胶漆
4.包含吊顶上裁切开孔、形成灯口、进出风口、检修口及其它出口及额外处理、封边，包括并不限于上述所有施工步骤及所需之材料
5.具体施工技术要求根据现场工程要求施工，满足规范和设计图纸要求</t>
  </si>
  <si>
    <t xml:space="preserve">1.钢筋混凝土楼板
2.双层9.5mm纸面石膏板
3.白色乳胶漆
4.其它说明：满足规范和设计图纸要求     </t>
  </si>
  <si>
    <t>天棚抹灰</t>
  </si>
  <si>
    <t>1.白色乳胶漆满刮成品腻子两遍，一遍底漆2遍面漆
2.具体施工技术要求根据现场工程要求施工，满足规范和设计图纸要求</t>
  </si>
  <si>
    <t>卫生间埃特板吊顶2.4m</t>
  </si>
  <si>
    <t>1.钢筋混凝土楼板
2.膨胀螺栓φ8丝杆,
3.主龙骨C50*15@1100
4.副龙骨C50*20/19@400
5.双层埃特板
6.白色防水乳胶漆
7.包含吊顶上裁切开孔、灯槽、出风口和检修口开口及其它开口及额外处理、封边，包括并不限于上述所有施工步骤及所需之材料
8.其它说明：满足规范和设计图纸要求</t>
  </si>
  <si>
    <t>古铜色喷砂金属压边</t>
  </si>
  <si>
    <t>1.MT-01 95mm宽窗户收边
2、木基层
3、其它说明：满足规范和设计图纸要求</t>
  </si>
  <si>
    <t>1.MT-01 90mm宽窗户收边
2、木基层
3、其它说明：满足规范和设计图纸要求</t>
  </si>
  <si>
    <t>古铜色喷砂金属造型-主卫</t>
  </si>
  <si>
    <t>1、MT-01金属饰面
2、木基层
3、其它说明：满足规范和设计图纸要求</t>
  </si>
  <si>
    <t>F1户型样板间-墙面</t>
  </si>
  <si>
    <t>入口玄关</t>
  </si>
  <si>
    <t>EL01-01</t>
  </si>
  <si>
    <t>定制烤漆板柜子</t>
  </si>
  <si>
    <t>1.规格：1840*890*250
2.面板材质：烤漆板、WD-01木饰面、金属条包边
3.具体施工技术要求根据现场工程要求施工，满足规范和设计图纸要</t>
  </si>
  <si>
    <t>套</t>
  </si>
  <si>
    <t>壁布墙面</t>
  </si>
  <si>
    <t>1.WP-01 壁布
2.阻燃方木、9mm阻燃夹板
3.其它说明：满足规范和设计图纸要求</t>
  </si>
  <si>
    <t>古铜色喷砂金属包边</t>
  </si>
  <si>
    <t>1.MT-01 洞口包边
2.木基层
3.其它说明：满足规范和设计图纸要求</t>
  </si>
  <si>
    <t>艺术玻璃</t>
  </si>
  <si>
    <t>1、GL-01艺术玻璃10mm，含灯带制作安装
2.具体施工技术要求根据现场工程要求施工，满足规范和设计图纸要求</t>
  </si>
  <si>
    <t>木饰面</t>
  </si>
  <si>
    <t>1.WD-02 木饰面
2.其它说明：满足规范和设计图纸要求</t>
  </si>
  <si>
    <t>古铜色喷砂金属踢脚线</t>
  </si>
  <si>
    <t>1.30mm金属MT-01 
2.其它说明：满足规范和设计图纸要求</t>
  </si>
  <si>
    <t>客餐厅</t>
  </si>
  <si>
    <t>EL02-05/06、EL03-07/08</t>
  </si>
  <si>
    <t>木饰面墙面</t>
  </si>
  <si>
    <t>1.木饰面
2.12mm阻燃夹板
3.其它说明：满足规范和设计图纸要求</t>
  </si>
  <si>
    <t>烤漆板墙面</t>
  </si>
  <si>
    <t>1.面板材质：烤漆板，内嵌金属柜，隔板ST-05透光玉石
2.具体施工技术要求根据现场工程要求施工，满足规范和设计图纸要求</t>
  </si>
  <si>
    <t>图片中标红部分ST-05透光玉石</t>
  </si>
  <si>
    <t>岩板墙面</t>
  </si>
  <si>
    <t>1.CT-04岩板，电视背景墙，1200*2700
2.具体施工技术要求根据现场工程要求施工，满足规范和设计图纸要求</t>
  </si>
  <si>
    <t>古铜色喷砂金属墙面</t>
  </si>
  <si>
    <t>1.MT-01金属墙面
2.木基层
3.其它说明：满足规范和设计图纸要求</t>
  </si>
  <si>
    <t>金属电视柜台面</t>
  </si>
  <si>
    <t>1.MT-01金属台面
2.实心钢板支撑
3.其它说明：满足规范和设计图纸要求</t>
  </si>
  <si>
    <t>定制酒柜</t>
  </si>
  <si>
    <t>1.规格：2.85*1.65
2.面板材质：亚克力分割板，实心钢板支撑、MT-01金属板饰面，UP01扪皮背板、低压灯带、
3.木基层、镀锌方通
4.要求根据现场工程要求施工，满足规范和设计图纸要求</t>
  </si>
  <si>
    <t>1.MT-01 门洞口包边
2.木基层
3.其它说明：满足规范和设计图纸要求</t>
  </si>
  <si>
    <t>厨房</t>
  </si>
  <si>
    <t>EL04-09/08、EL04-10/11</t>
  </si>
  <si>
    <t>瓷砖墙面</t>
  </si>
  <si>
    <t>1.CT02 600*1200mm瓷砖光面
2.具体施工技术要求根据现场工程要求施工，满足规范和设计图纸要求</t>
  </si>
  <si>
    <t>人造石吧台</t>
  </si>
  <si>
    <t>1. ST04人造石台面1250*900*600、金属MT-01 饰面
2.其它说明：满足规范和设计图纸要求</t>
  </si>
  <si>
    <t>定制橱柜</t>
  </si>
  <si>
    <t>1.人造石台面，烤漆板柜体、金属饰面包边
2.具体施工技术要求根据现场工程要求施工，满足规范和设计图纸要求</t>
  </si>
  <si>
    <t>定制吊柜</t>
  </si>
  <si>
    <t>1.烤漆板柜体
2.具体施工技术要求根据现场工程要求施工，满足规范和设计图纸要求</t>
  </si>
  <si>
    <t>公卫</t>
  </si>
  <si>
    <t>EL05-13/14/15/16</t>
  </si>
  <si>
    <t>1.CT02 600*1200mm
2.具体施工技术要求根据现场工程要求施工，满足规范和设计图纸要求</t>
  </si>
  <si>
    <t>定制梳妆镜柜</t>
  </si>
  <si>
    <t>1.1200*900
2.MR-01银镜12mm、古铜色不锈钢包边，暗含灯带
3.具体施工技术要求根据现场工程要求施工，满足规范和设计图纸要求</t>
  </si>
  <si>
    <t>石材洗手台</t>
  </si>
  <si>
    <t>1.ST-02洗手台600*900mm
2.具体施工技术要求根据现场工程要求施工，满足规范和设计图纸要求</t>
  </si>
  <si>
    <t>玻璃隔断</t>
  </si>
  <si>
    <t>1、GL-03超白玻璃10mm
2.具体施工技术要求根据现场工程要求施工，满足规范和设计图纸要求</t>
  </si>
  <si>
    <t>儿童房</t>
  </si>
  <si>
    <t>EL06-17/18/19/20</t>
  </si>
  <si>
    <t>皮革硬包墙面</t>
  </si>
  <si>
    <t>1.WP-05壁布
2.阻燃方木、9mm阻燃夹板
3.其它说明：满足规范和设计图纸要求</t>
  </si>
  <si>
    <t>定制柜子</t>
  </si>
  <si>
    <t>1.WD-03烤漆板柜体
2.具体施工技术要求根据现场工程要求施工，满足规范和设计图纸要求</t>
  </si>
  <si>
    <t>定制书桌</t>
  </si>
  <si>
    <t>1.WD-03烤漆板柜体，金属板饰面
2.具体施工技术要求根据现场工程要求施工，满足规范和设计图纸要求</t>
  </si>
  <si>
    <t>银镜墙面</t>
  </si>
  <si>
    <t>1.1250*710
2.MR-01银镜12mm
3.具体施工技术要求根据现场工程要求施工，满足规范和设计图纸要求</t>
  </si>
  <si>
    <t>卧室书房</t>
  </si>
  <si>
    <t>EL07-21/22/23/24、EL08-25/26/27、EL09-28/29/30/31/32/33</t>
  </si>
  <si>
    <t>1.WP-03 黑色墙布硬包
2.阻燃方木、9mm阻燃夹板
3.其它说明：满足规范和设计图纸要求</t>
  </si>
  <si>
    <t>1.UP-02 皮革硬包
2.阻燃方木、9mm阻燃夹板
3.其它说明：满足规范和设计图纸要求</t>
  </si>
  <si>
    <t>1.UP-03皮革硬包
2.阻燃方木、9mm阻燃夹板
3.其它说明：满足规范和设计图纸要求</t>
  </si>
  <si>
    <t>不锈钢隔断</t>
  </si>
  <si>
    <t>1.MT-01不锈钢隔断详见EL08-26
2.其它说明：满足规范和设计图纸要求</t>
  </si>
  <si>
    <t>定制柜子-书房</t>
  </si>
  <si>
    <t>1.烤漆板柜体详见EL07-22
2.具体施工技术要求根据现场工程要求施工，满足规范和设计图纸要求</t>
  </si>
  <si>
    <t>定制梳妆台-主卧</t>
  </si>
  <si>
    <t>1.烤漆板柜体、金属饰面，含五金件，详见EL07-24
2.具体施工技术要求根据现场工程要求施工，满足规范和设计图纸要求</t>
  </si>
  <si>
    <t>定制玻璃衣柜</t>
  </si>
  <si>
    <t>1.茶色玻璃10mm，包含灯带、木饰面等、含五金件，详见EL09-28/29
2.具体施工技术要求根据现场工程要求施工，满足规范和设计图纸要求</t>
  </si>
  <si>
    <t>1.ST-02洗手台，详见EL09-32
2.具体施工技术要求根据现场工程要求施工，满足规范和设计图纸要求</t>
  </si>
  <si>
    <t>定制梳妆镜柜-卫生间</t>
  </si>
  <si>
    <t>1.梳妆柜EL09-32
2.MR-01银镜12mm、古铜色不锈钢包边，暗含灯带，ST-05透光玉石
3.具体施工技术要求根据现场工程要求施工，满足规范和设计图纸要求</t>
  </si>
  <si>
    <t>老人房</t>
  </si>
  <si>
    <t>EL10-34/35/36/37</t>
  </si>
  <si>
    <t>1.WP-01 墙布
2.阻燃方木、9mm阻燃夹板
3.其它说明：满足规范和设计图纸要求</t>
  </si>
  <si>
    <t>1.WP-02 艺术墙布
2.阻燃方木、9mm阻燃夹板
3.其它说明：满足规范和设计图纸要求</t>
  </si>
  <si>
    <t>1.UP-04皮革硬包、不锈钢金属条
2.阻燃方木、9mm阻燃夹板
3.其它说明：满足规范和设计图纸要求</t>
  </si>
  <si>
    <t>定制床头柜+镜子</t>
  </si>
  <si>
    <t>1.烤漆板柜体、银镜12mm，含五金件，
2.具体施工技术要求根据现场工程要求施工，满足规范和设计图纸要求</t>
  </si>
  <si>
    <t>定制衣柜</t>
  </si>
  <si>
    <t>1.烤漆板、不锈钢板、含五金件，详见EL10-34
2.具体施工技术要求根据现场工程要求施工，满足规范和设计图纸要求</t>
  </si>
  <si>
    <t>1.MT-01 门洞口包边
2、木基层
3、其它说明：满足规范和设计图纸要求</t>
  </si>
  <si>
    <t>阳台</t>
  </si>
  <si>
    <t>EL11-38/39/40/41</t>
  </si>
  <si>
    <t>1.760*2400mm，柜体木饰面、大理石台面，含五金件，详见EL11-39
2.具体施工技术要求根据现场工程要求施工，满足规范和设计图纸要求</t>
  </si>
  <si>
    <t>1.1630*2400定制玻璃柜，金属饰面包边，含五金件，详见EL11-41
2.具体施工技术要求根据现场工程要求施工，满足规范和设计图纸要求</t>
  </si>
  <si>
    <r>
      <rPr>
        <b/>
        <sz val="9"/>
        <rFont val="宋体"/>
        <charset val="134"/>
      </rPr>
      <t>F1</t>
    </r>
    <r>
      <rPr>
        <b/>
        <sz val="10"/>
        <rFont val="宋体"/>
        <charset val="1"/>
      </rPr>
      <t>户型样板间</t>
    </r>
    <r>
      <rPr>
        <b/>
        <sz val="10"/>
        <rFont val="Arial"/>
        <charset val="1"/>
      </rPr>
      <t>-</t>
    </r>
    <r>
      <rPr>
        <b/>
        <sz val="10"/>
        <rFont val="宋体"/>
        <charset val="1"/>
      </rPr>
      <t>其他</t>
    </r>
  </si>
  <si>
    <t>拆除原装修窗台</t>
  </si>
  <si>
    <t>1.拆除原装修窗台80mm厚钢筋混凝土板
2.具体施工技术要求根据现场工程要求施工，满足规范和设计图纸要求</t>
  </si>
  <si>
    <t>m3</t>
  </si>
  <si>
    <t>拆除原砌体墙</t>
  </si>
  <si>
    <t>1.原加气块墙体拆除
2.具体施工技术要求根据现场工程要求施工，满足规范和设计图纸要求</t>
  </si>
  <si>
    <t>拆除外墙面保温层</t>
  </si>
  <si>
    <t>1.外墙面保温粉刷层
2.具体施工技术要求根据现场工程要求施工，满足规范和设计图纸要求</t>
  </si>
  <si>
    <t>新建包立管</t>
  </si>
  <si>
    <t>1.新建包立管（管道包封，做隔音处理）
2.具体施工技术要求根据现场工程要求施工，满足规范和设计图纸要求</t>
  </si>
  <si>
    <r>
      <rPr>
        <sz val="10"/>
        <rFont val="宋体"/>
        <charset val="1"/>
      </rPr>
      <t>目前按照砖砌</t>
    </r>
    <r>
      <rPr>
        <sz val="10"/>
        <rFont val="Arial"/>
        <charset val="1"/>
      </rPr>
      <t>+</t>
    </r>
    <r>
      <rPr>
        <sz val="10"/>
        <rFont val="宋体"/>
        <charset val="1"/>
      </rPr>
      <t>隔音棉计价</t>
    </r>
  </si>
  <si>
    <t>落地窗玻璃</t>
  </si>
  <si>
    <t>1.70系列12low-e+12A+120钢化玻璃
2.门、窗框及玻璃制作、运输、安装
3.五金安装
4.具体施工技术要求根据现场工程要求施工，满足规范和设计图纸要求</t>
  </si>
  <si>
    <t>约谈取消此项，不在本次精装施工范围</t>
  </si>
  <si>
    <t>纸巾架</t>
  </si>
  <si>
    <t xml:space="preserve">1.名称:卫生间纸巾架安装品牌及型号满足设计要求
2、满足设计与营销要求，后期根据效果选型
</t>
  </si>
  <si>
    <t>九牧、箭牌</t>
  </si>
  <si>
    <t>毛巾架</t>
  </si>
  <si>
    <t xml:space="preserve">1、名称:主卫毛巾架安装品牌及型号满足设计要求
2、满足设计与营销要求，后期根据效果选型
</t>
  </si>
  <si>
    <t>工程量清单--安装</t>
  </si>
  <si>
    <t>主材价</t>
  </si>
  <si>
    <t>损耗</t>
  </si>
  <si>
    <t>含损耗价</t>
  </si>
  <si>
    <t>样板间--电气</t>
  </si>
  <si>
    <t>1</t>
  </si>
  <si>
    <t>强电部分</t>
  </si>
  <si>
    <t>1.1</t>
  </si>
  <si>
    <t>配管</t>
  </si>
  <si>
    <t>1.名称:电气配管
2.材质、规格:PVC20
3.配置形式:暗配
4.其它详见图纸设计要求</t>
  </si>
  <si>
    <t>联塑、保利</t>
  </si>
  <si>
    <t>1.2</t>
  </si>
  <si>
    <t>1.名称:电气配管
2.材质、规格:PVC25
3.配置形式:暗配
4.其它详见图纸设计要求</t>
  </si>
  <si>
    <t>1.3</t>
  </si>
  <si>
    <t>1.名称:电气配管
2.材质、规格:PVC32
3.配置形式:暗配
4.其它详见图纸设计要求</t>
  </si>
  <si>
    <t>1.4</t>
  </si>
  <si>
    <t>电气配线</t>
  </si>
  <si>
    <t>1.名称:BV-2.5
2.敷设方式:管内配线
3.其它详见图纸设计要求</t>
  </si>
  <si>
    <t>郑星、金水</t>
  </si>
  <si>
    <t>1.5</t>
  </si>
  <si>
    <t>1.名称:BV-4
2.敷设方式:管内配线
3.其它详见图纸设计要求</t>
  </si>
  <si>
    <t>1.6</t>
  </si>
  <si>
    <t>1.名称:BV-10
2.敷设方式:管内配线
3.其它详见图纸设计要求</t>
  </si>
  <si>
    <t>1.7</t>
  </si>
  <si>
    <t>小电器</t>
  </si>
  <si>
    <t>1.名称:单联单控开关
2.规格:250V 10A 智能控制
3.安装方式:暗装 
4.其它详见图纸设计要求</t>
  </si>
  <si>
    <t>个</t>
  </si>
  <si>
    <t>易来，苏米</t>
  </si>
  <si>
    <t>1.8</t>
  </si>
  <si>
    <t>1.名称:双联单控开关
2.规格:250V 10A 智能控制
3.安装方式:暗装 
4.其它详见图纸设计要求</t>
  </si>
  <si>
    <t>1.9</t>
  </si>
  <si>
    <t>1.名称:三联单控开关
2.规格:250V 10A 智能控制
3.安装方式:暗装 
4.其它详见图纸设计要求</t>
  </si>
  <si>
    <t>1.10</t>
  </si>
  <si>
    <t>1.名称:单联双控开关
2.规格:250V 10A 智能控制
3.安装方式:暗装 
4.其它详见图纸设计要求</t>
  </si>
  <si>
    <t>1.11</t>
  </si>
  <si>
    <t>1.名称:三联双控开关
2.规格:250V 10A 智能控制
3.安装方式:暗装 
4.其它详见图纸设计要求</t>
  </si>
  <si>
    <t>1.12</t>
  </si>
  <si>
    <t>1.名称:墙面二、三级插座N
2.规格:满足现场要求
3.安装方式:暗装 
4.其它详见图纸设计要求</t>
  </si>
  <si>
    <t>西蒙、西门子、罗格朗</t>
  </si>
  <si>
    <t>1.13</t>
  </si>
  <si>
    <t>1.名称:墙面带USB、二、三级插座
2.规格:满足现场要求
3.安装方式:暗装 
4.其它详见图纸设计要求</t>
  </si>
  <si>
    <t>1.14</t>
  </si>
  <si>
    <t>1.名称:二、三级防溅插座(插座防水盒)S
2.规格:满足现场要求
3.安装方式:暗装 
4.其它详见图纸设计要求</t>
  </si>
  <si>
    <t>1.15</t>
  </si>
  <si>
    <t>1.名称:二、三级防溅插座带开关(插座防水盒)S
2.规格:满足现场要求
3.安装方式:暗装 
4.其它详见图纸设计要求</t>
  </si>
  <si>
    <t>1.16</t>
  </si>
  <si>
    <t>1.名称:冰箱热水器插座
2.规格:满足现场要求
3.安装方式:暗装 
4.其它详见图纸设计要求</t>
  </si>
  <si>
    <t>1.17</t>
  </si>
  <si>
    <t>1.名称:厨房插座带开关C
2.规格:满足现场要求
3.安装方式:暗装 
4.其它详见图纸设计要求</t>
  </si>
  <si>
    <t>1.18</t>
  </si>
  <si>
    <t>1.名称:抽油烟机插座Y
2.规格:满足现场要求
3.安装方式:暗装 
4.其它详见图纸设计要求</t>
  </si>
  <si>
    <t>1.19</t>
  </si>
  <si>
    <t>1.20</t>
  </si>
  <si>
    <t>1.名称:插座D
2.规格:满足现场要求
3.安装方式:暗装 
4.其它详见图纸设计要求</t>
  </si>
  <si>
    <t>按照常规防溅五孔插座计价</t>
  </si>
  <si>
    <t>1.21</t>
  </si>
  <si>
    <t>1.名称:洗衣机插座X
2.规格:满足现场要求
3.安装方式:暗装 
4.其它详见图纸设计要求</t>
  </si>
  <si>
    <t>1.22</t>
  </si>
  <si>
    <t>1.名称:插座H
2.规格:满足现场要求
3.安装方式:暗装 
4.其它详见图纸设计要求</t>
  </si>
  <si>
    <t>按照常规五孔插座计价</t>
  </si>
  <si>
    <t>1.23</t>
  </si>
  <si>
    <t>1.名称:超夜智能照明灯
2.材质:86H
3.安装形式:暗装
4.其它详见图纸设计要求</t>
  </si>
  <si>
    <t>雷士、三雄极光、西顿</t>
  </si>
  <si>
    <t>1.24</t>
  </si>
  <si>
    <t>射灯</t>
  </si>
  <si>
    <t xml:space="preserve">1.名称:无边款嵌入式深防眩射灯R1
2.规格:3500K 12W
3.其他详图纸和技术要求及灯具选样表  </t>
  </si>
  <si>
    <t>1.25</t>
  </si>
  <si>
    <t xml:space="preserve">1.名称:无边款嵌入式深防眩射灯R2
2.规格:3500K 12W
3.其他详图纸和技术要求及灯具选样表  </t>
  </si>
  <si>
    <t>1.26</t>
  </si>
  <si>
    <t xml:space="preserve">1.名称:无边款嵌入式深防眩射灯R3
2.规格:3500K 9W
3.其他详图纸和技术要求及灯具选样表  </t>
  </si>
  <si>
    <t>1.27</t>
  </si>
  <si>
    <t>筒灯</t>
  </si>
  <si>
    <t xml:space="preserve">1.名称:嵌入式深防眩筒灯T1
2.规格:3500K 9W
3.其他详图纸和技术要求及灯具选样表  </t>
  </si>
  <si>
    <t>1.28</t>
  </si>
  <si>
    <t xml:space="preserve">1.名称:嵌入式深防眩筒灯T2
2.规格:3500K 15W
3.其他详图纸和技术要求及灯具选样表  </t>
  </si>
  <si>
    <t>1.29</t>
  </si>
  <si>
    <t>灯条</t>
  </si>
  <si>
    <t xml:space="preserve">1.名称:16*16扇形灯条
2.规格:3500K 12w/m
3.其他详图纸和技术要求及灯具选样表  </t>
  </si>
  <si>
    <t>1.30</t>
  </si>
  <si>
    <t xml:space="preserve">1.名称:10*10型材灯条
2.规格:3500K 8w/m
3.其他详图纸和技术要求及灯具选样表  </t>
  </si>
  <si>
    <t>1.31</t>
  </si>
  <si>
    <t>接线盒</t>
  </si>
  <si>
    <t>1.名称:塑料接线盒
2.安装形式:暗装
3.其它详见图纸设计要求</t>
  </si>
  <si>
    <t>1.32</t>
  </si>
  <si>
    <t>1.名称:背景音乐（小爱或小度）
2.规格:详见图纸
3.其它说明:满足图纸、规范和设计要求</t>
  </si>
  <si>
    <t>小爱</t>
  </si>
  <si>
    <t>1.33</t>
  </si>
  <si>
    <t>1.名称:网关
2.规格:详见图纸
3.其它说明:满足图纸、规范和设计要求</t>
  </si>
  <si>
    <t>件</t>
  </si>
  <si>
    <t xml:space="preserve"> 小米（米家）</t>
  </si>
  <si>
    <t>1.34</t>
  </si>
  <si>
    <t>1.名称:全屋WIFI系统（含5个子路由）
2.规格:详见图纸
3.其它说明:满足图纸、规范和设计要求</t>
  </si>
  <si>
    <t>新华三</t>
  </si>
  <si>
    <t>1.35</t>
  </si>
  <si>
    <t>1..名称:智能场景面板
2.规格:详见图纸
3.其它说明:满足图纸、规范和设计要求</t>
  </si>
  <si>
    <t>2</t>
  </si>
  <si>
    <t>弱电部分</t>
  </si>
  <si>
    <t>2.1</t>
  </si>
  <si>
    <t>2.2</t>
  </si>
  <si>
    <t>1.名称:RVV4*1.0
2.敷设方式：管内配线
3.其它详见图纸设计要求</t>
  </si>
  <si>
    <t>绿联</t>
  </si>
  <si>
    <t>2.3</t>
  </si>
  <si>
    <t>1.名称:UTP Cat6
2.敷设方式：管内配线
3.其它详见图纸设计要求</t>
  </si>
  <si>
    <t>2.4</t>
  </si>
  <si>
    <t>1.名称:SYWV-75-5
2.敷设方式：管内配线
3.其它详见图纸设计要求</t>
  </si>
  <si>
    <t>2.5</t>
  </si>
  <si>
    <t>1.名称:网络插座
2.安装方式:暗装 
3.其它详见图纸设计要求</t>
  </si>
  <si>
    <t>2.6</t>
  </si>
  <si>
    <t>1.名称:网络电视插座
2.安装方式:暗装 
3.其它详见图纸设计要求</t>
  </si>
  <si>
    <t>2.7</t>
  </si>
  <si>
    <t>1.名称:SOS紧急呼叫按钮  （报警开关）
2.安装方式:暗装
3.其它详见图纸设计要求</t>
  </si>
  <si>
    <t>2.8</t>
  </si>
  <si>
    <t>1.名称:塑料接线盒
2.材质:86H
3.安装形式:暗装
4.其它详见图纸设计要求</t>
  </si>
  <si>
    <t>样板间--给排水</t>
  </si>
  <si>
    <t>给水管</t>
  </si>
  <si>
    <t>1.名称:PP-R De25（冷水）
2.含管件及其他相关配件
3.管道试压,消毒、冲洗
4.其它详见图纸设计要求</t>
  </si>
  <si>
    <t>金牛、保利</t>
  </si>
  <si>
    <t>1.名称:PP-R De20（冷水）
2.含管件及其他相关配件
3.管道试压,消毒、冲洗
4.其它详见图纸设计要求</t>
  </si>
  <si>
    <t>1.名称:PP-R De25（热水）
2.含管件及其他相关配件
3.管道试压,消毒、冲洗
4.其它详见图纸设计要求</t>
  </si>
  <si>
    <t>1.名称:PP-R De20（热水）
2.含管件及其他相关配件
3.管道试压,消毒、冲洗
4.其它详见图纸设计要求</t>
  </si>
  <si>
    <t>管件</t>
  </si>
  <si>
    <t>1.名称:内丝弯头
2.其它详见图纸设计要求</t>
  </si>
  <si>
    <t>排水管</t>
  </si>
  <si>
    <t>1.名称:排水管De110
2.含管件及其他相关配件
3.管道试压,消毒、冲洗
4.其它详见图纸设计要求</t>
  </si>
  <si>
    <t>1.名称:排水管De75
2.含管件及其他相关配件
3.管道试压,消毒、冲洗
4.其它详见图纸设计要求</t>
  </si>
  <si>
    <t>1.名称:排水管De50
2.含管件及其他相关配件
3.管道试压,消毒、冲洗
4.其它详见图纸设计要求</t>
  </si>
  <si>
    <t>2.9</t>
  </si>
  <si>
    <t>阀门</t>
  </si>
  <si>
    <t>1.名称:截止阀
2.规格:DN20
3.其它详见图纸设计要求</t>
  </si>
  <si>
    <t>2.10</t>
  </si>
  <si>
    <t>坐便器</t>
  </si>
  <si>
    <t>1.名称:主卧坐便器
2.品牌及型号:详见洁具表
3.包含角阀等配件及与之相关的一切费用</t>
  </si>
  <si>
    <t>摩恩</t>
  </si>
  <si>
    <t>2.11</t>
  </si>
  <si>
    <t>1.名称:次卫坐便器
2.品牌及型号:详见洁具表
3.包含角阀等配件及与之相关的一切费用</t>
  </si>
  <si>
    <t>2.12</t>
  </si>
  <si>
    <t>地漏</t>
  </si>
  <si>
    <t>1.名称:淋浴房地漏
2.品牌及型号:详见洁具表</t>
  </si>
  <si>
    <t>2.13</t>
  </si>
  <si>
    <t>1.名称:卫生间地漏DN50安装
2.品牌及型号:详见洁具表</t>
  </si>
  <si>
    <t>2.14</t>
  </si>
  <si>
    <t>1.名称:洗衣机地漏DN50安装
2.品牌及型号:详见洁具表</t>
  </si>
  <si>
    <t>2.15</t>
  </si>
  <si>
    <t>洁面盆</t>
  </si>
  <si>
    <t>1.名称:主卫台式洁面盆（含水龙头，不含台面）
2.品牌及型号:详见洁具表
3.包含角阀等配件及与之相关的一切费用</t>
  </si>
  <si>
    <t>2.16</t>
  </si>
  <si>
    <t>1.名称:次卫台式洁面盆（含水龙头，不含台面）
2.品牌及型号:详见洁具表
3.包含角阀等配件及与之相关的一切费用</t>
  </si>
  <si>
    <t>2.17</t>
  </si>
  <si>
    <t>淋浴器</t>
  </si>
  <si>
    <t>1.名称:主卫淋浴器
2.品牌及型号:详见洁具表
3.包含角阀等配件及与之相关的一切费用</t>
  </si>
  <si>
    <t>2.18</t>
  </si>
  <si>
    <t>浴缸</t>
  </si>
  <si>
    <t>1.名称:主卫浴缸（含水龙头）
2.品牌及型号:详见洁具表
3.包含角阀等配件及与之相关的一切费用</t>
  </si>
  <si>
    <t>2.19</t>
  </si>
  <si>
    <t>水龙头</t>
  </si>
  <si>
    <t>1.名称:洗衣机龙头
2.品牌及型号:详见洁具表
3.包含角阀等配件及与之相关的一切费用</t>
  </si>
  <si>
    <t>2.20</t>
  </si>
  <si>
    <t>厨盆</t>
  </si>
  <si>
    <t>1.名称:厨盆（含水龙头）
2.品牌及型号:详见洁具表
3.包含角阀等配件及与之相关的一切费用</t>
  </si>
  <si>
    <t>样板间--空调（小爱或小度智能控制）</t>
  </si>
  <si>
    <t>3.1</t>
  </si>
  <si>
    <t>室内机</t>
  </si>
  <si>
    <t>1.名称:室内机（含支架制作安装、除锈刷油，调试，减震等）
2.型号:HVR-56KF/G2FZBp
3.其他要求:满足设计、图集及相关规范要求</t>
  </si>
  <si>
    <t>台</t>
  </si>
  <si>
    <t>海信</t>
  </si>
  <si>
    <t>3.2</t>
  </si>
  <si>
    <t>1.名称:室内机（含支架制作安装、除锈刷油，调试，减震等）
2.型号:HVR-36KF/G2FZBp
3.其他要求:满足设计、图集及相关规范要求</t>
  </si>
  <si>
    <t>3.3</t>
  </si>
  <si>
    <t>1.名称:室内机（含支架制作安装、除锈刷油，调试，减震等）
2.型号:HVR-25KF/G2FZBp
3.其他要求:满足设计、图集及相关规范要求</t>
  </si>
  <si>
    <t>3.4</t>
  </si>
  <si>
    <t>1.名称:室内机（含支架制作安装、除锈刷油，调试，减震等）
2.型号:HVR-22KF/G2FZBp
3.其他要求:满足设计、图集及相关规范要求</t>
  </si>
  <si>
    <t>3.5</t>
  </si>
  <si>
    <t>室外机</t>
  </si>
  <si>
    <t>1.名称:室外机（含支架制作安装、除锈刷油，调试等）
2.型号:HVR-180W/H2FZBp
3.其他要求:满足设计、图集及相关规范要求</t>
  </si>
  <si>
    <t>3.6</t>
  </si>
  <si>
    <t>帆布接头</t>
  </si>
  <si>
    <t>1.名称:帆布接头
2.规格:1000*130
3.其他要求:满足设计、图集及相关规范要求</t>
  </si>
  <si>
    <t>3.7</t>
  </si>
  <si>
    <t>1.名称:帆布接头
2.规格:550*120
3.其他要求:满足设计、图集及相关规范要求</t>
  </si>
  <si>
    <t>3.8</t>
  </si>
  <si>
    <t>1.名称:帆布接头
2.规格:550*100
3.其他要求:满足设计、图集及相关规范要求</t>
  </si>
  <si>
    <t>3.9</t>
  </si>
  <si>
    <t>冷媒管</t>
  </si>
  <si>
    <t>1.名称:冷媒管（含制冷剂、保温、支架制作安装、除锈刷油等）
2.材料:铜管
3.规格:19.05mm
4.厚度:1.0mm
5.其他要求：满足设计、图集及相关规范要求</t>
  </si>
  <si>
    <t>3.10</t>
  </si>
  <si>
    <t>1.名称:冷媒管（含制冷剂、保温、支架制作安装、除锈刷油等）
2.材料:铜管
3.规格:15.88mm
4.厚度:1.0mm
5.其他要求：满足设计、图集及相关规范要求</t>
  </si>
  <si>
    <t>3.11</t>
  </si>
  <si>
    <t>1.名称:冷媒管（含制冷剂、保温、支架制作安装、除锈刷油等）
2.材料:铜管
3.规格:12.7mm
4.厚度:0.8mm
5.其他要求：满足设计、图集及相关规范要求</t>
  </si>
  <si>
    <t>3.12</t>
  </si>
  <si>
    <t>1.名称:冷媒管（含制冷剂、保温、支架制作安装、除锈刷油等）
2.材料:铜管
3.规格:9.53mm
4.厚度:0.8mm
5.其他要求：满足设计、图集及相关规范要求</t>
  </si>
  <si>
    <t>3.13</t>
  </si>
  <si>
    <t>1.名称:冷媒管（含制冷剂、保温、支架制作安装、除锈刷油等）
2.材料:铜管
3.规格:6.35mm
4.厚度:0.8mm
5.其他要求：满足设计、图集及相关规范要求</t>
  </si>
  <si>
    <t>3.14</t>
  </si>
  <si>
    <t>分歧器</t>
  </si>
  <si>
    <t>1.名称:分歧器
2.其他要求:满足设计、图集及相关规范要求</t>
  </si>
  <si>
    <t>3.15</t>
  </si>
  <si>
    <t>空调冷凝水管</t>
  </si>
  <si>
    <t>1.名称:空调冷凝水管
2.材料:PVC塑料管
3.规格:De32
4.其他要求:满足设计、图集及相关规范要求</t>
  </si>
  <si>
    <t>3.16</t>
  </si>
  <si>
    <t>活动百叶风口</t>
  </si>
  <si>
    <t>1.名称:白色无边框条形风口
2.部位:客厅
3.规格:4700×250
4.其他要求:以现场施工吊顶尺寸为准，通长风口，满足设计、图集及相关规范要求</t>
  </si>
  <si>
    <t>3.17</t>
  </si>
  <si>
    <t>1.名称:白色无边框条形风口
2.部位:主卧/儿童房
3.规格:2300×250
4.其他要求:以现场施工吊顶尺寸为准，通长风口，满足设计、图集及相关规范要求</t>
  </si>
  <si>
    <t>3.18</t>
  </si>
  <si>
    <t>1.名称:白色无边框条形风口
2.部位:次卧
3.规格:1000×250
4.其他要求:以现场施工吊顶尺寸为准，通长风口，满足设计、图集及相关规范要求</t>
  </si>
  <si>
    <t>3.19</t>
  </si>
  <si>
    <t>1.名称:白色无边框条形风口
2.部位:书房
3.规格:2500×250
4.其他要求:以现场施工吊顶尺寸为准，通长风口，满足设计、图集及相关规范要求</t>
  </si>
  <si>
    <t>3.20</t>
  </si>
  <si>
    <t>侧送风口(单线)</t>
  </si>
  <si>
    <t>1.名称:白色无边框条形风口
2.部位:客厅
3.规格:4700x120
4.其他要求:以现场施工吊顶尺寸为准，通长风口，满足设计、图集及相关规范要求</t>
  </si>
  <si>
    <t>3.21</t>
  </si>
  <si>
    <t>1.名称:白色无边框条形风口
2.部位:主卧
3.规格:1000x100
4.其他要求:以现场施工吊顶尺寸为准，通长风口，满足设计、图集及相关规范要求</t>
  </si>
  <si>
    <t>3.22</t>
  </si>
  <si>
    <t>1.名称:白色无边框条形风口
2.部位:次卧/儿童房
3.规格:2500x100
4.其他要求:以现场施工吊顶尺寸为准，通长风口，满足设计、图集及相关规范要求</t>
  </si>
  <si>
    <t>3.23</t>
  </si>
  <si>
    <t>1.名称:白色无边框条形风口
2.部位:儿童房
3.规格:2100x100
4.其他要求:以现场施工吊顶尺寸为准，通长风口，满足设计、图集及相关规范要求</t>
  </si>
  <si>
    <t>四</t>
  </si>
  <si>
    <t>样板间--电器</t>
  </si>
  <si>
    <t>4.1</t>
  </si>
  <si>
    <t>油烟机</t>
  </si>
  <si>
    <t>1.名称:油烟机
2.规格:长900X宽515X高520
3.型号:具体参数详见配置表
4.其他要求:满足设计与营销要求，后期根据效果选型</t>
  </si>
  <si>
    <t>方太</t>
  </si>
  <si>
    <t>4.2</t>
  </si>
  <si>
    <t>燃气灶</t>
  </si>
  <si>
    <t>1.名称:燃气灶
2.规格:长730X宽410X高130
3.型号:具体参数详见配置表
4.其他要求:满足设计与营销要求，后期根据效果选型</t>
  </si>
  <si>
    <t>4.3</t>
  </si>
  <si>
    <t>消毒柜</t>
  </si>
  <si>
    <t>1.名称:消毒柜
2.规格:深430X宽595X高615
3.型号:具体参数详见配置表
4.其他要求:满足设计与营销要求，后期根据效果选型</t>
  </si>
  <si>
    <t>4.4</t>
  </si>
  <si>
    <t>热水器</t>
  </si>
  <si>
    <t>1.名称:热水器
2.型号:具体参数详见配置表
3.其他要求:满足设计与营销要求，后期根据效果选型</t>
  </si>
  <si>
    <t>4.5</t>
  </si>
  <si>
    <t>浴霸</t>
  </si>
  <si>
    <t>1.名称:浴霸
2.规格:面罩尺寸:600*300mm
3.型号:具体参数详见配置表
4.其他要求:满足设计与营销要求，后期根据效果选型</t>
  </si>
  <si>
    <t>奥普</t>
  </si>
  <si>
    <t>4.6</t>
  </si>
  <si>
    <t>冰箱</t>
  </si>
  <si>
    <t>1.名称:冰箱
2.规格:545*1580*616MM
3.型号:具体参数详见配置表
4.其他要求:满足设计与营销要求，后期根据效果选型</t>
  </si>
  <si>
    <t>海尔</t>
  </si>
  <si>
    <t>按照210L计取</t>
  </si>
  <si>
    <t>4.7</t>
  </si>
  <si>
    <t>电视</t>
  </si>
  <si>
    <t>1.名称:电视
2.规格:屏幕尺寸：65英寸
3.型号:具体参数详见配置表
4.其他要求:满足设计与营销要求，后期根据效果选型</t>
  </si>
  <si>
    <t>4.8</t>
  </si>
  <si>
    <t>凉霸</t>
  </si>
  <si>
    <t>1.名称:凉霸
2.规格:300*300*105mm
3.型号:具体参数详见配置表
4.其他要求:满足设计与营销要求，后期根据效果选型</t>
  </si>
  <si>
    <t>五</t>
  </si>
  <si>
    <t>合  计（元）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</si>
  <si>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</si>
  <si>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</si>
  <si>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</si>
  <si>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</si>
  <si>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工程量</t>
  </si>
  <si>
    <t>理论重量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</si>
  <si>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</si>
  <si>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</si>
  <si>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</si>
  <si>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</si>
  <si>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</si>
  <si>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</t>
    </r>
  </si>
  <si>
    <r>
      <rPr>
        <sz val="10"/>
        <rFont val="Arial"/>
        <charset val="134"/>
      </rPr>
      <t>10#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</si>
  <si>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</si>
  <si>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</si>
  <si>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</si>
  <si>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</si>
  <si>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t>（2-2）</t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</si>
  <si>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不锈钢对穿螺栓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</si>
  <si>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</si>
  <si>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</si>
  <si>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L50X4
</t>
    </r>
    <r>
      <rPr>
        <sz val="10"/>
        <rFont val="宋体"/>
        <charset val="134"/>
      </rPr>
      <t>镀锌角钢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</si>
  <si>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</si>
  <si>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l20*3</t>
    </r>
    <r>
      <rPr>
        <sz val="10"/>
        <rFont val="宋体"/>
        <charset val="134"/>
      </rPr>
      <t>封边角钢</t>
    </r>
  </si>
  <si>
    <t>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</si>
</sst>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0_ "/>
    <numFmt numFmtId="179" formatCode="0.00;[Red]0.00"/>
  </numFmts>
  <fonts count="51">
    <font>
      <sz val="10"/>
      <name val="Arial"/>
      <charset val="1"/>
    </font>
    <font>
      <sz val="20"/>
      <name val="Arial"/>
      <charset val="1"/>
    </font>
    <font>
      <sz val="10"/>
      <name val="宋体"/>
      <charset val="134"/>
    </font>
    <font>
      <sz val="20"/>
      <name val="Arial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name val="幼圆"/>
      <charset val="134"/>
    </font>
    <font>
      <b/>
      <sz val="9"/>
      <name val="宋体"/>
      <charset val="134"/>
    </font>
    <font>
      <sz val="9"/>
      <name val="宋体"/>
      <charset val="1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"/>
    </font>
    <font>
      <sz val="11"/>
      <name val="SimSun"/>
      <charset val="1"/>
    </font>
    <font>
      <b/>
      <sz val="9"/>
      <name val="宋体"/>
      <charset val="1"/>
    </font>
    <font>
      <sz val="10"/>
      <name val="幼圆"/>
      <charset val="134"/>
    </font>
    <font>
      <sz val="9"/>
      <color rgb="FFFF0000"/>
      <name val="宋体"/>
      <charset val="1"/>
    </font>
    <font>
      <sz val="9"/>
      <color rgb="FF000000"/>
      <name val="宋体"/>
      <charset val="1"/>
    </font>
    <font>
      <sz val="12"/>
      <name val="宋体"/>
      <charset val="134"/>
    </font>
    <font>
      <b/>
      <sz val="16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20"/>
      <name val="宋体"/>
      <charset val="134"/>
    </font>
    <font>
      <b/>
      <sz val="10"/>
      <name val="宋体"/>
      <charset val="1"/>
    </font>
    <font>
      <b/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5" fillId="0" borderId="0">
      <alignment vertical="center"/>
    </xf>
    <xf numFmtId="176" fontId="46" fillId="0" borderId="1">
      <alignment horizontal="right" vertical="center" wrapText="1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/>
    <xf numFmtId="0" fontId="2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5" fillId="0" borderId="0">
      <alignment vertical="center"/>
    </xf>
    <xf numFmtId="176" fontId="46" fillId="0" borderId="1">
      <alignment horizontal="right" vertical="center" wrapText="1"/>
    </xf>
    <xf numFmtId="0" fontId="25" fillId="0" borderId="0">
      <alignment vertical="center"/>
    </xf>
    <xf numFmtId="0" fontId="19" fillId="0" borderId="0"/>
    <xf numFmtId="0" fontId="46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45" fillId="0" borderId="0"/>
    <xf numFmtId="0" fontId="19" fillId="0" borderId="0" applyBorder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81" applyFont="1" applyFill="1" applyAlignment="1"/>
    <xf numFmtId="0" fontId="0" fillId="0" borderId="0" xfId="0" applyFont="1" applyFill="1"/>
    <xf numFmtId="0" fontId="5" fillId="0" borderId="0" xfId="81" applyFont="1" applyFill="1" applyBorder="1" applyAlignment="1"/>
    <xf numFmtId="49" fontId="4" fillId="0" borderId="0" xfId="81" applyNumberFormat="1" applyFont="1" applyFill="1" applyAlignment="1">
      <alignment wrapText="1"/>
    </xf>
    <xf numFmtId="0" fontId="4" fillId="0" borderId="0" xfId="81" applyFont="1" applyFill="1" applyAlignment="1">
      <alignment horizontal="left" wrapText="1"/>
    </xf>
    <xf numFmtId="0" fontId="4" fillId="0" borderId="0" xfId="81" applyFont="1" applyFill="1" applyAlignment="1">
      <alignment wrapText="1"/>
    </xf>
    <xf numFmtId="0" fontId="4" fillId="0" borderId="0" xfId="81" applyFont="1" applyFill="1" applyAlignment="1">
      <alignment horizontal="center" wrapText="1"/>
    </xf>
    <xf numFmtId="177" fontId="4" fillId="0" borderId="0" xfId="81" applyNumberFormat="1" applyFont="1" applyFill="1" applyAlignment="1">
      <alignment wrapText="1"/>
    </xf>
    <xf numFmtId="0" fontId="4" fillId="0" borderId="0" xfId="81" applyFont="1" applyFill="1" applyAlignment="1">
      <alignment horizontal="center" vertical="center" wrapText="1"/>
    </xf>
    <xf numFmtId="0" fontId="4" fillId="0" borderId="0" xfId="81" applyFont="1" applyFill="1" applyAlignment="1">
      <alignment horizontal="center" vertical="center"/>
    </xf>
    <xf numFmtId="49" fontId="6" fillId="0" borderId="0" xfId="81" applyNumberFormat="1" applyFont="1" applyFill="1" applyAlignment="1">
      <alignment horizontal="center" vertical="center" wrapText="1"/>
    </xf>
    <xf numFmtId="0" fontId="6" fillId="0" borderId="0" xfId="81" applyFont="1" applyFill="1" applyAlignment="1">
      <alignment horizontal="left" vertical="center" wrapText="1"/>
    </xf>
    <xf numFmtId="0" fontId="6" fillId="0" borderId="0" xfId="81" applyFont="1" applyFill="1" applyAlignment="1">
      <alignment horizontal="center" vertical="center" wrapText="1"/>
    </xf>
    <xf numFmtId="177" fontId="6" fillId="0" borderId="0" xfId="81" applyNumberFormat="1" applyFont="1" applyFill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177" fontId="7" fillId="0" borderId="1" xfId="81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left" vertical="center" wrapText="1"/>
    </xf>
    <xf numFmtId="176" fontId="7" fillId="0" borderId="1" xfId="81" applyNumberFormat="1" applyFont="1" applyFill="1" applyBorder="1" applyAlignment="1">
      <alignment horizontal="center" vertical="center" wrapText="1"/>
    </xf>
    <xf numFmtId="177" fontId="8" fillId="0" borderId="1" xfId="69" applyNumberFormat="1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177" fontId="7" fillId="0" borderId="1" xfId="81" applyNumberFormat="1" applyFont="1" applyFill="1" applyBorder="1" applyAlignment="1">
      <alignment horizontal="right" vertical="center" wrapText="1"/>
    </xf>
    <xf numFmtId="0" fontId="7" fillId="0" borderId="1" xfId="81" applyFont="1" applyFill="1" applyBorder="1" applyAlignment="1">
      <alignment horizontal="right" vertical="center" wrapText="1"/>
    </xf>
    <xf numFmtId="0" fontId="7" fillId="0" borderId="2" xfId="81" applyFont="1" applyFill="1" applyBorder="1" applyAlignment="1">
      <alignment horizontal="left" vertical="center" wrapText="1"/>
    </xf>
    <xf numFmtId="0" fontId="7" fillId="0" borderId="3" xfId="8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vertical="center" wrapText="1"/>
    </xf>
    <xf numFmtId="0" fontId="2" fillId="0" borderId="1" xfId="81" applyFont="1" applyFill="1" applyBorder="1" applyAlignment="1">
      <alignment horizontal="left" vertical="center" wrapText="1"/>
    </xf>
    <xf numFmtId="0" fontId="2" fillId="0" borderId="2" xfId="81" applyFont="1" applyFill="1" applyBorder="1" applyAlignment="1">
      <alignment horizontal="left" vertical="center" wrapText="1"/>
    </xf>
    <xf numFmtId="0" fontId="2" fillId="0" borderId="1" xfId="81" applyFont="1" applyFill="1" applyBorder="1" applyAlignment="1">
      <alignment horizontal="center" vertical="center" wrapText="1"/>
    </xf>
    <xf numFmtId="0" fontId="7" fillId="0" borderId="1" xfId="8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8" fillId="0" borderId="1" xfId="6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4" xfId="69" applyNumberFormat="1" applyFont="1" applyFill="1" applyBorder="1" applyAlignment="1">
      <alignment horizontal="center" vertical="center" wrapText="1"/>
    </xf>
    <xf numFmtId="0" fontId="7" fillId="0" borderId="3" xfId="81" applyFont="1" applyFill="1" applyBorder="1" applyAlignment="1">
      <alignment horizontal="center" vertical="center" wrapText="1"/>
    </xf>
    <xf numFmtId="0" fontId="8" fillId="0" borderId="5" xfId="69" applyNumberFormat="1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>
      <alignment horizontal="center" vertical="center" wrapText="1"/>
    </xf>
    <xf numFmtId="0" fontId="8" fillId="0" borderId="6" xfId="69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 applyProtection="1">
      <alignment horizontal="center" vertical="center" wrapText="1"/>
    </xf>
    <xf numFmtId="9" fontId="8" fillId="0" borderId="1" xfId="69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81" applyFont="1" applyFill="1" applyBorder="1" applyAlignment="1">
      <alignment horizontal="center" vertical="center"/>
    </xf>
    <xf numFmtId="0" fontId="5" fillId="0" borderId="0" xfId="8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 wrapText="1"/>
    </xf>
    <xf numFmtId="0" fontId="5" fillId="0" borderId="0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left" vertical="center" wrapText="1"/>
    </xf>
    <xf numFmtId="49" fontId="7" fillId="0" borderId="1" xfId="81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77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176" fontId="6" fillId="0" borderId="0" xfId="81" applyNumberFormat="1" applyFont="1" applyFill="1" applyAlignment="1">
      <alignment horizontal="center" vertical="center" wrapText="1"/>
    </xf>
    <xf numFmtId="0" fontId="7" fillId="0" borderId="0" xfId="81" applyFont="1" applyFill="1" applyAlignment="1">
      <alignment horizontal="center" vertical="center" wrapText="1"/>
    </xf>
    <xf numFmtId="0" fontId="7" fillId="0" borderId="0" xfId="81" applyFont="1" applyFill="1" applyAlignment="1">
      <alignment horizontal="left" vertical="center" wrapText="1"/>
    </xf>
    <xf numFmtId="176" fontId="7" fillId="0" borderId="0" xfId="81" applyNumberFormat="1" applyFont="1" applyFill="1" applyAlignment="1">
      <alignment horizontal="center" vertical="center" wrapText="1"/>
    </xf>
    <xf numFmtId="177" fontId="7" fillId="0" borderId="0" xfId="81" applyNumberFormat="1" applyFont="1" applyFill="1" applyAlignment="1">
      <alignment horizontal="center" vertical="center" wrapText="1"/>
    </xf>
    <xf numFmtId="0" fontId="9" fillId="0" borderId="1" xfId="8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6" fontId="7" fillId="0" borderId="1" xfId="81" applyNumberFormat="1" applyFont="1" applyFill="1" applyBorder="1" applyAlignment="1">
      <alignment horizontal="left" vertical="center" wrapText="1"/>
    </xf>
    <xf numFmtId="177" fontId="7" fillId="0" borderId="1" xfId="8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9" fontId="6" fillId="0" borderId="0" xfId="81" applyNumberFormat="1" applyFont="1" applyFill="1" applyAlignment="1">
      <alignment horizontal="center" vertical="center" wrapText="1"/>
    </xf>
    <xf numFmtId="9" fontId="7" fillId="0" borderId="0" xfId="81" applyNumberFormat="1" applyFont="1" applyFill="1" applyAlignment="1">
      <alignment horizontal="center" vertical="center" wrapText="1"/>
    </xf>
    <xf numFmtId="9" fontId="7" fillId="0" borderId="1" xfId="8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176" fontId="0" fillId="0" borderId="0" xfId="0" applyNumberFormat="1" applyFill="1" applyAlignment="1">
      <alignment horizontal="center" vertical="center"/>
    </xf>
    <xf numFmtId="178" fontId="0" fillId="0" borderId="0" xfId="0" applyNumberFormat="1" applyFill="1"/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3" fillId="0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8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81" applyFont="1" applyFill="1" applyBorder="1" applyAlignment="1">
      <alignment horizontal="left" vertical="center" wrapText="1"/>
    </xf>
    <xf numFmtId="0" fontId="16" fillId="0" borderId="1" xfId="69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8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69" applyFont="1" applyFill="1" applyBorder="1" applyAlignment="1">
      <alignment horizontal="center" vertical="center"/>
    </xf>
    <xf numFmtId="176" fontId="16" fillId="0" borderId="1" xfId="69" applyNumberFormat="1" applyFont="1" applyFill="1" applyBorder="1" applyAlignment="1">
      <alignment horizontal="left" vertical="center" wrapText="1"/>
    </xf>
    <xf numFmtId="0" fontId="14" fillId="0" borderId="0" xfId="0" applyFont="1"/>
    <xf numFmtId="0" fontId="18" fillId="0" borderId="1" xfId="0" applyFont="1" applyBorder="1" applyAlignment="1">
      <alignment horizontal="center" vertical="center" wrapText="1"/>
    </xf>
    <xf numFmtId="176" fontId="13" fillId="0" borderId="0" xfId="0" applyNumberFormat="1" applyFont="1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76" fontId="14" fillId="0" borderId="0" xfId="0" applyNumberFormat="1" applyFont="1" applyAlignment="1">
      <alignment vertical="center" wrapText="1"/>
    </xf>
    <xf numFmtId="177" fontId="0" fillId="0" borderId="0" xfId="0" applyNumberFormat="1" applyFill="1"/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vertical="center"/>
    </xf>
    <xf numFmtId="176" fontId="0" fillId="0" borderId="0" xfId="0" applyNumberFormat="1" applyFill="1"/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 2 2" xfId="49"/>
    <cellStyle name="常规 7 3" xfId="50"/>
    <cellStyle name="常规 5 2" xfId="51"/>
    <cellStyle name="常规 3 2 2" xfId="52"/>
    <cellStyle name="常规 5 2 2" xfId="53"/>
    <cellStyle name="3232 2" xfId="54"/>
    <cellStyle name="3232 3" xfId="55"/>
    <cellStyle name="常规 3 2" xfId="56"/>
    <cellStyle name="常规 3 3" xfId="57"/>
    <cellStyle name="常规 53 2" xfId="58"/>
    <cellStyle name="常规 3 4" xfId="59"/>
    <cellStyle name="常规 53 3" xfId="60"/>
    <cellStyle name="3232" xfId="61"/>
    <cellStyle name="常规 2" xfId="62"/>
    <cellStyle name="表体数字 3 2 6 5 3 2" xfId="63"/>
    <cellStyle name="常规 3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Normal" xfId="81"/>
    <cellStyle name="常规 2 3" xfId="82"/>
    <cellStyle name="常规 2 2 2" xfId="83"/>
    <cellStyle name="常规_Sheet2" xfId="84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9</xdr:col>
      <xdr:colOff>130810</xdr:colOff>
      <xdr:row>52</xdr:row>
      <xdr:rowOff>114300</xdr:rowOff>
    </xdr:to>
    <xdr:pic>
      <xdr:nvPicPr>
        <xdr:cNvPr id="2" name="图片 1" descr="821851390027901378"/>
        <xdr:cNvPicPr>
          <a:picLocks noChangeAspect="1"/>
        </xdr:cNvPicPr>
      </xdr:nvPicPr>
      <xdr:blipFill>
        <a:blip r:embed="rId1"/>
        <a:srcRect l="4340" t="7160" r="6759" b="1401"/>
        <a:stretch>
          <a:fillRect/>
        </a:stretch>
      </xdr:blipFill>
      <xdr:spPr>
        <a:xfrm>
          <a:off x="9525" y="95250"/>
          <a:ext cx="5607685" cy="843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9</xdr:col>
      <xdr:colOff>3175</xdr:colOff>
      <xdr:row>48</xdr:row>
      <xdr:rowOff>9525</xdr:rowOff>
    </xdr:to>
    <xdr:pic>
      <xdr:nvPicPr>
        <xdr:cNvPr id="2" name="图片 1" descr="800960417329061281"/>
        <xdr:cNvPicPr>
          <a:picLocks noChangeAspect="1"/>
        </xdr:cNvPicPr>
      </xdr:nvPicPr>
      <xdr:blipFill>
        <a:blip r:embed="rId1"/>
        <a:srcRect l="3018" t="5142" r="3431" b="263"/>
        <a:stretch>
          <a:fillRect/>
        </a:stretch>
      </xdr:blipFill>
      <xdr:spPr>
        <a:xfrm>
          <a:off x="9525" y="9525"/>
          <a:ext cx="5480050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59690</xdr:colOff>
      <xdr:row>38</xdr:row>
      <xdr:rowOff>159385</xdr:rowOff>
    </xdr:from>
    <xdr:to>
      <xdr:col>15</xdr:col>
      <xdr:colOff>779780</xdr:colOff>
      <xdr:row>38</xdr:row>
      <xdr:rowOff>561340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47195" y="34306510"/>
          <a:ext cx="72009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32</xdr:col>
      <xdr:colOff>0</xdr:colOff>
      <xdr:row>70</xdr:row>
      <xdr:rowOff>401320</xdr:rowOff>
    </xdr:from>
    <xdr:to>
      <xdr:col>37</xdr:col>
      <xdr:colOff>123825</xdr:colOff>
      <xdr:row>74</xdr:row>
      <xdr:rowOff>345440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24198580" y="55846345"/>
          <a:ext cx="3171825" cy="2407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5" sqref="K85"/>
    </sheetView>
  </sheetViews>
  <sheetFormatPr defaultColWidth="9.14285714285714" defaultRowHeight="12.75"/>
  <sheetData/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Normal="100" workbookViewId="0">
      <selection activeCell="E7" sqref="E7"/>
    </sheetView>
  </sheetViews>
  <sheetFormatPr defaultColWidth="8.85714285714286" defaultRowHeight="12.75"/>
  <cols>
    <col min="1" max="1" width="8.85714285714286" style="4"/>
    <col min="2" max="2" width="24.4285714285714" style="72" customWidth="1"/>
    <col min="3" max="3" width="8.14285714285714" style="72" customWidth="1"/>
    <col min="4" max="4" width="17.4285714285714" style="4" customWidth="1"/>
    <col min="5" max="5" width="17.1428571428571" style="4" customWidth="1"/>
    <col min="6" max="6" width="10.2857142857143" style="4" customWidth="1"/>
    <col min="7" max="7" width="15.8571428571429" style="4"/>
    <col min="8" max="10" width="14.5714285714286" style="4"/>
    <col min="11" max="11" width="9.57142857142857" style="4"/>
    <col min="12" max="13" width="14.5714285714286" style="4"/>
    <col min="14" max="15" width="8.85714285714286" style="4"/>
    <col min="16" max="18" width="14.5714285714286" style="4"/>
    <col min="19" max="16384" width="8.85714285714286" style="4"/>
  </cols>
  <sheetData>
    <row r="1" s="130" customFormat="1" ht="48" customHeight="1" spans="1:6">
      <c r="A1" s="131" t="s">
        <v>0</v>
      </c>
      <c r="B1" s="131"/>
      <c r="C1" s="131"/>
      <c r="D1" s="131"/>
      <c r="E1" s="131"/>
      <c r="F1" s="131"/>
    </row>
    <row r="2" s="130" customFormat="1" ht="30" customHeight="1" spans="1:6">
      <c r="A2" s="132" t="s">
        <v>1</v>
      </c>
      <c r="B2" s="132" t="s">
        <v>2</v>
      </c>
      <c r="C2" s="132" t="s">
        <v>3</v>
      </c>
      <c r="D2" s="133" t="s">
        <v>4</v>
      </c>
      <c r="E2" s="133" t="s">
        <v>5</v>
      </c>
      <c r="F2" s="134" t="s">
        <v>6</v>
      </c>
    </row>
    <row r="3" s="130" customFormat="1" ht="30" customHeight="1" spans="1:6">
      <c r="A3" s="135" t="s">
        <v>7</v>
      </c>
      <c r="B3" s="135" t="s">
        <v>8</v>
      </c>
      <c r="C3" s="136"/>
      <c r="D3" s="137"/>
      <c r="E3" s="133">
        <f>SUM(E4:E7)</f>
        <v>274789.370917757</v>
      </c>
      <c r="F3" s="138"/>
    </row>
    <row r="4" s="130" customFormat="1" ht="30" customHeight="1" spans="1:6">
      <c r="A4" s="136">
        <v>1.1</v>
      </c>
      <c r="B4" s="136" t="s">
        <v>9</v>
      </c>
      <c r="C4" s="136" t="s">
        <v>10</v>
      </c>
      <c r="D4" s="137">
        <f>'02、样板间装饰工程'!N6</f>
        <v>49228.811884</v>
      </c>
      <c r="E4" s="137">
        <f>D4</f>
        <v>49228.811884</v>
      </c>
      <c r="F4" s="138"/>
    </row>
    <row r="5" s="130" customFormat="1" ht="30" customHeight="1" spans="1:6">
      <c r="A5" s="136">
        <v>1.2</v>
      </c>
      <c r="B5" s="136" t="s">
        <v>11</v>
      </c>
      <c r="C5" s="136" t="s">
        <v>10</v>
      </c>
      <c r="D5" s="137">
        <f>'02、样板间装饰工程'!N15</f>
        <v>20196.93003272</v>
      </c>
      <c r="E5" s="137">
        <f>D5</f>
        <v>20196.93003272</v>
      </c>
      <c r="F5" s="138"/>
    </row>
    <row r="6" s="130" customFormat="1" ht="30" customHeight="1" spans="1:6">
      <c r="A6" s="136">
        <v>1.3</v>
      </c>
      <c r="B6" s="136" t="s">
        <v>12</v>
      </c>
      <c r="C6" s="136" t="s">
        <v>10</v>
      </c>
      <c r="D6" s="137">
        <f>'02、样板间装饰工程'!N28</f>
        <v>200577.029195917</v>
      </c>
      <c r="E6" s="137">
        <f>D6</f>
        <v>200577.029195917</v>
      </c>
      <c r="F6" s="138"/>
    </row>
    <row r="7" s="130" customFormat="1" ht="30" customHeight="1" spans="1:6">
      <c r="A7" s="136">
        <v>1.4</v>
      </c>
      <c r="B7" s="136" t="s">
        <v>13</v>
      </c>
      <c r="C7" s="136" t="s">
        <v>10</v>
      </c>
      <c r="D7" s="137">
        <f>'02、样板间装饰工程'!N97</f>
        <v>4786.59980512</v>
      </c>
      <c r="E7" s="137">
        <f>D7</f>
        <v>4786.59980512</v>
      </c>
      <c r="F7" s="138"/>
    </row>
    <row r="8" s="130" customFormat="1" ht="30" customHeight="1" spans="1:6">
      <c r="A8" s="135" t="s">
        <v>14</v>
      </c>
      <c r="B8" s="135" t="s">
        <v>15</v>
      </c>
      <c r="C8" s="136" t="s">
        <v>10</v>
      </c>
      <c r="D8" s="137"/>
      <c r="E8" s="133">
        <f>SUM(E9:E12)</f>
        <v>153210.626751392</v>
      </c>
      <c r="F8" s="138"/>
    </row>
    <row r="9" s="130" customFormat="1" ht="30" customHeight="1" spans="1:6">
      <c r="A9" s="136">
        <v>2.1</v>
      </c>
      <c r="B9" s="136" t="s">
        <v>16</v>
      </c>
      <c r="C9" s="136" t="s">
        <v>10</v>
      </c>
      <c r="D9" s="137">
        <f>'03、样板间安装工程'!N6</f>
        <v>53541.046605088</v>
      </c>
      <c r="E9" s="137">
        <f>D9</f>
        <v>53541.046605088</v>
      </c>
      <c r="F9" s="138"/>
    </row>
    <row r="10" s="130" customFormat="1" ht="30" customHeight="1" spans="1:6">
      <c r="A10" s="136">
        <v>2.2</v>
      </c>
      <c r="B10" s="136" t="s">
        <v>17</v>
      </c>
      <c r="C10" s="136" t="s">
        <v>10</v>
      </c>
      <c r="D10" s="137">
        <f>'03、样板间安装工程'!N52</f>
        <v>39994.31969344</v>
      </c>
      <c r="E10" s="137">
        <f>D10</f>
        <v>39994.31969344</v>
      </c>
      <c r="F10" s="138"/>
    </row>
    <row r="11" s="130" customFormat="1" ht="30" customHeight="1" spans="1:6">
      <c r="A11" s="136">
        <v>2.3</v>
      </c>
      <c r="B11" s="136" t="s">
        <v>18</v>
      </c>
      <c r="C11" s="136" t="s">
        <v>10</v>
      </c>
      <c r="D11" s="137">
        <f>'03、样板间安装工程'!N73</f>
        <v>39679.777252864</v>
      </c>
      <c r="E11" s="137">
        <f>D11</f>
        <v>39679.777252864</v>
      </c>
      <c r="F11" s="138"/>
    </row>
    <row r="12" s="130" customFormat="1" ht="30" customHeight="1" spans="1:6">
      <c r="A12" s="136">
        <v>2.4</v>
      </c>
      <c r="B12" s="136" t="s">
        <v>19</v>
      </c>
      <c r="C12" s="136" t="s">
        <v>10</v>
      </c>
      <c r="D12" s="137">
        <f>'03、样板间安装工程'!N97</f>
        <v>19995.4832</v>
      </c>
      <c r="E12" s="137">
        <f>D12</f>
        <v>19995.4832</v>
      </c>
      <c r="F12" s="138"/>
    </row>
    <row r="13" s="130" customFormat="1" ht="30" customHeight="1" spans="1:9">
      <c r="A13" s="139" t="s">
        <v>20</v>
      </c>
      <c r="B13" s="135" t="s">
        <v>21</v>
      </c>
      <c r="C13" s="135" t="s">
        <v>22</v>
      </c>
      <c r="D13" s="135"/>
      <c r="E13" s="140">
        <f>E3+E8</f>
        <v>427999.997669149</v>
      </c>
      <c r="F13" s="9"/>
      <c r="H13" s="141"/>
      <c r="I13" s="141"/>
    </row>
    <row r="14" ht="14.25" spans="9:9">
      <c r="I14" s="141"/>
    </row>
    <row r="15" spans="5:7">
      <c r="E15" s="129"/>
      <c r="F15" s="129"/>
      <c r="G15" s="129"/>
    </row>
    <row r="16" spans="5:7">
      <c r="E16" s="129"/>
      <c r="F16" s="129"/>
      <c r="G16" s="129"/>
    </row>
    <row r="19" spans="7:7">
      <c r="G19" s="142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5" sqref="K85"/>
    </sheetView>
  </sheetViews>
  <sheetFormatPr defaultColWidth="9.14285714285714" defaultRowHeight="12.75"/>
  <sheetData/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5"/>
  <sheetViews>
    <sheetView view="pageBreakPreview" zoomScaleNormal="100" workbookViewId="0">
      <pane ySplit="4" topLeftCell="A98" activePane="bottomLeft" state="frozen"/>
      <selection/>
      <selection pane="bottomLeft" activeCell="R102" sqref="$A1:$XFD1048576"/>
    </sheetView>
  </sheetViews>
  <sheetFormatPr defaultColWidth="9.14285714285714" defaultRowHeight="12.75"/>
  <cols>
    <col min="1" max="1" width="6.42857142857143" style="72" customWidth="1"/>
    <col min="2" max="2" width="22.5333333333333" style="73" customWidth="1"/>
    <col min="3" max="3" width="34.6857142857143" style="73" customWidth="1"/>
    <col min="4" max="5" width="9.14285714285714" style="72"/>
    <col min="6" max="7" width="9.28571428571429" style="74"/>
    <col min="8" max="8" width="10.1428571428571" style="74"/>
    <col min="9" max="9" width="9.14285714285714" style="75"/>
    <col min="10" max="10" width="9.28571428571429" style="74"/>
    <col min="11" max="12" width="9.14285714285714" style="72"/>
    <col min="13" max="13" width="10.1428571428571" style="72"/>
    <col min="14" max="14" width="10.1428571428571" style="4"/>
    <col min="15" max="15" width="9.14285714285714" style="4"/>
    <col min="16" max="16" width="12.8571428571429" style="76" customWidth="1"/>
    <col min="17" max="17" width="12.8571428571429" style="4" customWidth="1"/>
    <col min="18" max="18" width="11.2857142857143" style="4" customWidth="1"/>
    <col min="19" max="19" width="12.8571428571429" style="4" customWidth="1"/>
    <col min="20" max="20" width="11.7142857142857" style="4" customWidth="1"/>
    <col min="21" max="22" width="12.8571428571429" style="4" customWidth="1"/>
    <col min="23" max="23" width="9.14285714285714" style="4" customWidth="1"/>
    <col min="24" max="24" width="12.8571428571429" style="4" customWidth="1"/>
    <col min="25" max="25" width="9.14285714285714" style="4" customWidth="1"/>
    <col min="26" max="26" width="12.8571428571429" style="4" customWidth="1"/>
    <col min="27" max="32" width="9.14285714285714" style="4" customWidth="1"/>
    <col min="33" max="16384" width="9.14285714285714" style="4"/>
  </cols>
  <sheetData>
    <row r="1" ht="25.5" spans="1:15">
      <c r="A1" s="31" t="s">
        <v>23</v>
      </c>
      <c r="B1" s="30"/>
      <c r="C1" s="30"/>
      <c r="D1" s="31"/>
      <c r="E1" s="77"/>
      <c r="F1" s="32"/>
      <c r="G1" s="32"/>
      <c r="H1" s="32"/>
      <c r="I1" s="90"/>
      <c r="J1" s="32"/>
      <c r="K1" s="31"/>
      <c r="L1" s="31"/>
      <c r="M1" s="31"/>
      <c r="N1" s="31"/>
      <c r="O1" s="31"/>
    </row>
    <row r="2" spans="1:15">
      <c r="A2" s="78" t="s">
        <v>24</v>
      </c>
      <c r="B2" s="79"/>
      <c r="C2" s="79"/>
      <c r="D2" s="78"/>
      <c r="E2" s="80"/>
      <c r="F2" s="81"/>
      <c r="G2" s="81"/>
      <c r="H2" s="81"/>
      <c r="I2" s="91"/>
      <c r="J2" s="81"/>
      <c r="K2" s="78"/>
      <c r="L2" s="78"/>
      <c r="M2" s="78"/>
      <c r="N2" s="79"/>
      <c r="O2" s="79"/>
    </row>
    <row r="3" ht="28" customHeight="1" spans="1:15">
      <c r="A3" s="34" t="s">
        <v>25</v>
      </c>
      <c r="B3" s="36" t="s">
        <v>26</v>
      </c>
      <c r="C3" s="36" t="s">
        <v>27</v>
      </c>
      <c r="D3" s="34" t="s">
        <v>3</v>
      </c>
      <c r="E3" s="37" t="s">
        <v>28</v>
      </c>
      <c r="F3" s="35" t="s">
        <v>29</v>
      </c>
      <c r="G3" s="35"/>
      <c r="H3" s="35"/>
      <c r="I3" s="92"/>
      <c r="J3" s="35"/>
      <c r="K3" s="34"/>
      <c r="L3" s="34"/>
      <c r="M3" s="34" t="s">
        <v>30</v>
      </c>
      <c r="N3" s="34" t="s">
        <v>31</v>
      </c>
      <c r="O3" s="36" t="s">
        <v>32</v>
      </c>
    </row>
    <row r="4" ht="45" spans="1:15">
      <c r="A4" s="34"/>
      <c r="B4" s="36"/>
      <c r="C4" s="36"/>
      <c r="D4" s="34"/>
      <c r="E4" s="37"/>
      <c r="F4" s="35" t="s">
        <v>33</v>
      </c>
      <c r="G4" s="35" t="s">
        <v>34</v>
      </c>
      <c r="H4" s="35" t="s">
        <v>35</v>
      </c>
      <c r="I4" s="92" t="s">
        <v>36</v>
      </c>
      <c r="J4" s="35" t="s">
        <v>37</v>
      </c>
      <c r="K4" s="34" t="s">
        <v>38</v>
      </c>
      <c r="L4" s="34" t="s">
        <v>39</v>
      </c>
      <c r="M4" s="34"/>
      <c r="N4" s="34"/>
      <c r="O4" s="36"/>
    </row>
    <row r="5" ht="22.5" spans="1:15">
      <c r="A5" s="34"/>
      <c r="B5" s="36"/>
      <c r="C5" s="36"/>
      <c r="D5" s="34"/>
      <c r="E5" s="37"/>
      <c r="F5" s="35"/>
      <c r="G5" s="35" t="s">
        <v>40</v>
      </c>
      <c r="H5" s="35" t="s">
        <v>41</v>
      </c>
      <c r="I5" s="92" t="s">
        <v>42</v>
      </c>
      <c r="J5" s="35"/>
      <c r="K5" s="60">
        <v>0.12</v>
      </c>
      <c r="L5" s="60">
        <v>0.09</v>
      </c>
      <c r="M5" s="34"/>
      <c r="N5" s="34"/>
      <c r="O5" s="36"/>
    </row>
    <row r="6" ht="47" customHeight="1" spans="1:15">
      <c r="A6" s="34"/>
      <c r="B6" s="82" t="s">
        <v>43</v>
      </c>
      <c r="C6" s="36"/>
      <c r="D6" s="34"/>
      <c r="E6" s="37"/>
      <c r="F6" s="35"/>
      <c r="G6" s="35"/>
      <c r="H6" s="35"/>
      <c r="I6" s="60"/>
      <c r="J6" s="35"/>
      <c r="K6" s="37"/>
      <c r="L6" s="37"/>
      <c r="M6" s="93"/>
      <c r="N6" s="37">
        <f>SUM(N7:N14)</f>
        <v>49228.811884</v>
      </c>
      <c r="O6" s="86"/>
    </row>
    <row r="7" ht="79" customHeight="1" outlineLevel="1" spans="1:16">
      <c r="A7" s="34">
        <v>1</v>
      </c>
      <c r="B7" s="36" t="s">
        <v>44</v>
      </c>
      <c r="C7" s="36" t="s">
        <v>45</v>
      </c>
      <c r="D7" s="83" t="s">
        <v>46</v>
      </c>
      <c r="E7" s="83">
        <f>44.54+3.7+8.85</f>
        <v>57.09</v>
      </c>
      <c r="F7" s="35">
        <v>90</v>
      </c>
      <c r="G7" s="35">
        <f>H7*(1+I7)</f>
        <v>120.75</v>
      </c>
      <c r="H7" s="35">
        <v>115</v>
      </c>
      <c r="I7" s="60">
        <v>0.05</v>
      </c>
      <c r="J7" s="35">
        <v>27</v>
      </c>
      <c r="K7" s="37">
        <f>(F7+G7+J7)*$K$5</f>
        <v>28.53</v>
      </c>
      <c r="L7" s="37">
        <f>(F7+G7+J7+K7)*$L$5</f>
        <v>23.9652</v>
      </c>
      <c r="M7" s="37">
        <f>F7+G7+J7+K7+L7</f>
        <v>290.2452</v>
      </c>
      <c r="N7" s="37">
        <f>M7*E7</f>
        <v>16570.098468</v>
      </c>
      <c r="O7" s="86" t="s">
        <v>47</v>
      </c>
      <c r="P7" s="94"/>
    </row>
    <row r="8" ht="106" customHeight="1" outlineLevel="1" spans="1:15">
      <c r="A8" s="34">
        <v>2</v>
      </c>
      <c r="B8" s="36" t="s">
        <v>48</v>
      </c>
      <c r="C8" s="36" t="s">
        <v>49</v>
      </c>
      <c r="D8" s="83" t="s">
        <v>46</v>
      </c>
      <c r="E8" s="83">
        <f>3.21+4.1</f>
        <v>7.31</v>
      </c>
      <c r="F8" s="35">
        <v>108</v>
      </c>
      <c r="G8" s="35">
        <f>H8*(1+I8)</f>
        <v>194.25</v>
      </c>
      <c r="H8" s="35">
        <v>185</v>
      </c>
      <c r="I8" s="60">
        <f>I7</f>
        <v>0.05</v>
      </c>
      <c r="J8" s="35">
        <v>75</v>
      </c>
      <c r="K8" s="37">
        <f>(F8+G8+J8)*$K$5</f>
        <v>45.27</v>
      </c>
      <c r="L8" s="37">
        <f>(F8+G8+J8+K8)*$L$5</f>
        <v>38.0268</v>
      </c>
      <c r="M8" s="37">
        <f>F8+G8+J8+K8+L8</f>
        <v>460.5468</v>
      </c>
      <c r="N8" s="37">
        <f>M8*E8</f>
        <v>3366.597108</v>
      </c>
      <c r="O8" s="86" t="str">
        <f>O7</f>
        <v>诺贝尔</v>
      </c>
    </row>
    <row r="9" ht="111" customHeight="1" outlineLevel="1" spans="1:15">
      <c r="A9" s="34">
        <v>3</v>
      </c>
      <c r="B9" s="36" t="s">
        <v>50</v>
      </c>
      <c r="C9" s="36" t="s">
        <v>51</v>
      </c>
      <c r="D9" s="83" t="s">
        <v>46</v>
      </c>
      <c r="E9" s="83">
        <v>1.11</v>
      </c>
      <c r="F9" s="35">
        <v>155</v>
      </c>
      <c r="G9" s="35">
        <f>H9*(1+I9)</f>
        <v>456.75</v>
      </c>
      <c r="H9" s="35">
        <v>435</v>
      </c>
      <c r="I9" s="60">
        <v>0.05</v>
      </c>
      <c r="J9" s="35">
        <v>75</v>
      </c>
      <c r="K9" s="37">
        <f>(F9+G9+J9)*$K$5</f>
        <v>82.41</v>
      </c>
      <c r="L9" s="37">
        <f>(F9+G9+J9+K9)*$L$5</f>
        <v>69.2244</v>
      </c>
      <c r="M9" s="37">
        <f>F9+G9+J9+K9+L9</f>
        <v>838.3844</v>
      </c>
      <c r="N9" s="37">
        <f>M9*E9</f>
        <v>930.606684</v>
      </c>
      <c r="O9" s="86" t="s">
        <v>52</v>
      </c>
    </row>
    <row r="10" ht="94" customHeight="1" outlineLevel="1" spans="1:15">
      <c r="A10" s="34">
        <v>4</v>
      </c>
      <c r="B10" s="36" t="s">
        <v>53</v>
      </c>
      <c r="C10" s="36" t="s">
        <v>54</v>
      </c>
      <c r="D10" s="83" t="s">
        <v>55</v>
      </c>
      <c r="E10" s="83">
        <v>0.2</v>
      </c>
      <c r="F10" s="35">
        <v>28</v>
      </c>
      <c r="G10" s="35">
        <f>H10*(1+I10)</f>
        <v>102.9</v>
      </c>
      <c r="H10" s="35">
        <v>98</v>
      </c>
      <c r="I10" s="60">
        <f>I9</f>
        <v>0.05</v>
      </c>
      <c r="J10" s="35">
        <v>18</v>
      </c>
      <c r="K10" s="37">
        <f>(F10+G10+J10)*$K$5</f>
        <v>17.868</v>
      </c>
      <c r="L10" s="37">
        <f>(F10+G10+J10+K10)*$L$5</f>
        <v>15.00912</v>
      </c>
      <c r="M10" s="37">
        <f>F10+G10+J10+K10+L10</f>
        <v>181.77712</v>
      </c>
      <c r="N10" s="37">
        <f>M10*E10</f>
        <v>36.355424</v>
      </c>
      <c r="O10" s="86" t="str">
        <f>O9</f>
        <v>国产优质</v>
      </c>
    </row>
    <row r="11" ht="70" customHeight="1" outlineLevel="1" spans="1:16">
      <c r="A11" s="34">
        <v>5</v>
      </c>
      <c r="B11" s="36" t="s">
        <v>56</v>
      </c>
      <c r="C11" s="36" t="s">
        <v>57</v>
      </c>
      <c r="D11" s="83" t="s">
        <v>46</v>
      </c>
      <c r="E11" s="83">
        <f>10.7+7.28+25.08</f>
        <v>43.06</v>
      </c>
      <c r="F11" s="35">
        <v>50</v>
      </c>
      <c r="G11" s="35">
        <f>H11*(1+I11)</f>
        <v>210</v>
      </c>
      <c r="H11" s="35">
        <v>200</v>
      </c>
      <c r="I11" s="60">
        <v>0.05</v>
      </c>
      <c r="J11" s="35">
        <v>25</v>
      </c>
      <c r="K11" s="37">
        <f>(F11+G11+J11)*$K$5</f>
        <v>34.2</v>
      </c>
      <c r="L11" s="37">
        <f>(F11+G11+J11+K11)*$L$5</f>
        <v>28.728</v>
      </c>
      <c r="M11" s="37">
        <f>F11+G11+J11+K11+L11</f>
        <v>347.928</v>
      </c>
      <c r="N11" s="37">
        <f>M11*E11</f>
        <v>14981.77968</v>
      </c>
      <c r="O11" s="86" t="s">
        <v>58</v>
      </c>
      <c r="P11" s="54" t="s">
        <v>59</v>
      </c>
    </row>
    <row r="12" ht="91" customHeight="1" outlineLevel="1" spans="1:15">
      <c r="A12" s="34">
        <v>6</v>
      </c>
      <c r="B12" s="36" t="s">
        <v>60</v>
      </c>
      <c r="C12" s="36" t="s">
        <v>61</v>
      </c>
      <c r="D12" s="83" t="s">
        <v>46</v>
      </c>
      <c r="E12" s="84">
        <f>0.23+0.26</f>
        <v>0.49</v>
      </c>
      <c r="F12" s="35">
        <v>130</v>
      </c>
      <c r="G12" s="35">
        <f t="shared" ref="G12:G19" si="0">H12*(1+I12)</f>
        <v>456.75</v>
      </c>
      <c r="H12" s="35">
        <f>H9</f>
        <v>435</v>
      </c>
      <c r="I12" s="60">
        <f>I9</f>
        <v>0.05</v>
      </c>
      <c r="J12" s="35">
        <v>137</v>
      </c>
      <c r="K12" s="37">
        <f>(F12+G12+J12)*$K$5</f>
        <v>86.85</v>
      </c>
      <c r="L12" s="37">
        <f>(F12+G12+J12+K12)*$L$5</f>
        <v>72.954</v>
      </c>
      <c r="M12" s="37">
        <f t="shared" ref="M12:M19" si="1">F12+G12+J12+K12+L12</f>
        <v>883.554</v>
      </c>
      <c r="N12" s="37">
        <f t="shared" ref="N12:N19" si="2">M12*E12</f>
        <v>432.94146</v>
      </c>
      <c r="O12" s="86" t="str">
        <f>O9</f>
        <v>国产优质</v>
      </c>
    </row>
    <row r="13" s="4" customFormat="1" ht="104" customHeight="1" outlineLevel="1" spans="1:16">
      <c r="A13" s="34">
        <v>7</v>
      </c>
      <c r="B13" s="36" t="s">
        <v>60</v>
      </c>
      <c r="C13" s="36" t="s">
        <v>62</v>
      </c>
      <c r="D13" s="83" t="s">
        <v>46</v>
      </c>
      <c r="E13" s="83">
        <v>0.25</v>
      </c>
      <c r="F13" s="35">
        <f>F12</f>
        <v>130</v>
      </c>
      <c r="G13" s="35">
        <f t="shared" si="0"/>
        <v>456.75</v>
      </c>
      <c r="H13" s="35">
        <f>H12</f>
        <v>435</v>
      </c>
      <c r="I13" s="60">
        <f>I12</f>
        <v>0.05</v>
      </c>
      <c r="J13" s="35">
        <v>101</v>
      </c>
      <c r="K13" s="37">
        <f>(F13+G13+J13)*$K$5</f>
        <v>82.53</v>
      </c>
      <c r="L13" s="37">
        <f>(F13+G13+J13+K13)*$L$5</f>
        <v>69.3252</v>
      </c>
      <c r="M13" s="37">
        <f t="shared" si="1"/>
        <v>839.6052</v>
      </c>
      <c r="N13" s="37">
        <f t="shared" si="2"/>
        <v>209.9013</v>
      </c>
      <c r="O13" s="86" t="str">
        <f>O12</f>
        <v>国产优质</v>
      </c>
      <c r="P13" s="76"/>
    </row>
    <row r="14" s="4" customFormat="1" ht="87" customHeight="1" outlineLevel="1" spans="1:16">
      <c r="A14" s="34">
        <v>8</v>
      </c>
      <c r="B14" s="36" t="s">
        <v>63</v>
      </c>
      <c r="C14" s="36" t="s">
        <v>64</v>
      </c>
      <c r="D14" s="83" t="s">
        <v>46</v>
      </c>
      <c r="E14" s="83">
        <v>109.51</v>
      </c>
      <c r="F14" s="35">
        <v>95</v>
      </c>
      <c r="G14" s="35">
        <f t="shared" si="0"/>
        <v>0</v>
      </c>
      <c r="H14" s="35">
        <v>0</v>
      </c>
      <c r="I14" s="60">
        <v>0</v>
      </c>
      <c r="J14" s="35">
        <v>0</v>
      </c>
      <c r="K14" s="37">
        <f>(F14+G14+J14)*$K$5</f>
        <v>11.4</v>
      </c>
      <c r="L14" s="37">
        <f>(F14+G14+J14+K14)*$L$5</f>
        <v>9.576</v>
      </c>
      <c r="M14" s="37">
        <f t="shared" si="1"/>
        <v>115.976</v>
      </c>
      <c r="N14" s="37">
        <f t="shared" si="2"/>
        <v>12700.53176</v>
      </c>
      <c r="O14" s="86" t="s">
        <v>65</v>
      </c>
      <c r="P14" s="76"/>
    </row>
    <row r="15" ht="51" customHeight="1" spans="1:15">
      <c r="A15" s="34">
        <v>9</v>
      </c>
      <c r="B15" s="82" t="s">
        <v>66</v>
      </c>
      <c r="C15" s="36"/>
      <c r="D15" s="83"/>
      <c r="E15" s="83"/>
      <c r="F15" s="35"/>
      <c r="G15" s="35"/>
      <c r="H15" s="35"/>
      <c r="I15" s="60"/>
      <c r="J15" s="35"/>
      <c r="K15" s="37"/>
      <c r="L15" s="37"/>
      <c r="M15" s="95"/>
      <c r="N15" s="37">
        <f>SUM(N16:N27)</f>
        <v>20196.93003272</v>
      </c>
      <c r="O15" s="86"/>
    </row>
    <row r="16" ht="152" customHeight="1" outlineLevel="1" spans="1:15">
      <c r="A16" s="34">
        <v>10</v>
      </c>
      <c r="B16" s="36" t="s">
        <v>67</v>
      </c>
      <c r="C16" s="36" t="s">
        <v>68</v>
      </c>
      <c r="D16" s="83" t="s">
        <v>46</v>
      </c>
      <c r="E16" s="83">
        <f>3.83</f>
        <v>3.83</v>
      </c>
      <c r="F16" s="35">
        <v>90</v>
      </c>
      <c r="G16" s="35">
        <f t="shared" si="0"/>
        <v>5.15</v>
      </c>
      <c r="H16" s="35">
        <v>5</v>
      </c>
      <c r="I16" s="60">
        <v>0.03</v>
      </c>
      <c r="J16" s="35">
        <v>115</v>
      </c>
      <c r="K16" s="37">
        <f>(F16+G16+J16)*$K$5</f>
        <v>25.218</v>
      </c>
      <c r="L16" s="37">
        <f>(F16+G16+J16+K16)*$L$5</f>
        <v>21.18312</v>
      </c>
      <c r="M16" s="37">
        <f t="shared" si="1"/>
        <v>256.55112</v>
      </c>
      <c r="N16" s="37">
        <f t="shared" si="2"/>
        <v>982.5907896</v>
      </c>
      <c r="O16" s="86" t="s">
        <v>69</v>
      </c>
    </row>
    <row r="17" s="4" customFormat="1" ht="152" customHeight="1" outlineLevel="1" spans="1:16">
      <c r="A17" s="34">
        <v>11</v>
      </c>
      <c r="B17" s="36" t="s">
        <v>70</v>
      </c>
      <c r="C17" s="36" t="s">
        <v>71</v>
      </c>
      <c r="D17" s="83" t="s">
        <v>46</v>
      </c>
      <c r="E17" s="83">
        <v>8.59</v>
      </c>
      <c r="F17" s="35">
        <f>F16</f>
        <v>90</v>
      </c>
      <c r="G17" s="35">
        <f t="shared" si="0"/>
        <v>5.665</v>
      </c>
      <c r="H17" s="35">
        <v>5.5</v>
      </c>
      <c r="I17" s="60">
        <f>I16</f>
        <v>0.03</v>
      </c>
      <c r="J17" s="35">
        <f>J16</f>
        <v>115</v>
      </c>
      <c r="K17" s="37">
        <f>(F17+G17+J17)*$K$5</f>
        <v>25.2798</v>
      </c>
      <c r="L17" s="37">
        <f>(F17+G17+J17+K17)*$L$5</f>
        <v>21.235032</v>
      </c>
      <c r="M17" s="37">
        <f t="shared" si="1"/>
        <v>257.179832</v>
      </c>
      <c r="N17" s="37">
        <f t="shared" si="2"/>
        <v>2209.17475688</v>
      </c>
      <c r="O17" s="86" t="str">
        <f t="shared" ref="O17:O24" si="3">O16</f>
        <v>立邦、嘉宝莉</v>
      </c>
      <c r="P17" s="96"/>
    </row>
    <row r="18" s="4" customFormat="1" ht="152" customHeight="1" outlineLevel="1" spans="1:17">
      <c r="A18" s="34">
        <v>12</v>
      </c>
      <c r="B18" s="36" t="s">
        <v>72</v>
      </c>
      <c r="C18" s="36" t="s">
        <v>73</v>
      </c>
      <c r="D18" s="83" t="s">
        <v>46</v>
      </c>
      <c r="E18" s="83">
        <v>16.79</v>
      </c>
      <c r="F18" s="35">
        <v>96</v>
      </c>
      <c r="G18" s="35">
        <f t="shared" si="0"/>
        <v>5.15</v>
      </c>
      <c r="H18" s="35">
        <f>H16</f>
        <v>5</v>
      </c>
      <c r="I18" s="92">
        <f>I16</f>
        <v>0.03</v>
      </c>
      <c r="J18" s="35">
        <v>100</v>
      </c>
      <c r="K18" s="37">
        <f>(F18+G18+J18)*$K$5</f>
        <v>24.138</v>
      </c>
      <c r="L18" s="37">
        <f>(F18+G18+J18+K18)*$L$5</f>
        <v>20.27592</v>
      </c>
      <c r="M18" s="37">
        <f t="shared" si="1"/>
        <v>245.56392</v>
      </c>
      <c r="N18" s="37">
        <f t="shared" si="2"/>
        <v>4123.0182168</v>
      </c>
      <c r="O18" s="86" t="str">
        <f t="shared" si="3"/>
        <v>立邦、嘉宝莉</v>
      </c>
      <c r="P18" s="76"/>
      <c r="Q18" s="99"/>
    </row>
    <row r="19" s="4" customFormat="1" ht="106" customHeight="1" outlineLevel="1" spans="1:19">
      <c r="A19" s="34">
        <v>13</v>
      </c>
      <c r="B19" s="36" t="s">
        <v>74</v>
      </c>
      <c r="C19" s="36" t="s">
        <v>75</v>
      </c>
      <c r="D19" s="83" t="s">
        <v>46</v>
      </c>
      <c r="E19" s="84">
        <v>14.85</v>
      </c>
      <c r="F19" s="35">
        <v>75</v>
      </c>
      <c r="G19" s="35">
        <f t="shared" si="0"/>
        <v>6.489</v>
      </c>
      <c r="H19" s="35">
        <v>6.3</v>
      </c>
      <c r="I19" s="60">
        <f>I18</f>
        <v>0.03</v>
      </c>
      <c r="J19" s="35">
        <v>75</v>
      </c>
      <c r="K19" s="37">
        <f>(F19+G19+J19)*$K$5</f>
        <v>18.77868</v>
      </c>
      <c r="L19" s="37">
        <f>(F19+G19+J19+K19)*$L$5</f>
        <v>15.7740912</v>
      </c>
      <c r="M19" s="37">
        <f t="shared" si="1"/>
        <v>191.0417712</v>
      </c>
      <c r="N19" s="37">
        <f t="shared" si="2"/>
        <v>2836.97030232</v>
      </c>
      <c r="O19" s="86" t="str">
        <f t="shared" si="3"/>
        <v>立邦、嘉宝莉</v>
      </c>
      <c r="P19" s="76"/>
      <c r="S19" s="99"/>
    </row>
    <row r="20" s="4" customFormat="1" ht="132" customHeight="1" outlineLevel="1" spans="1:16">
      <c r="A20" s="34">
        <v>14</v>
      </c>
      <c r="B20" s="36" t="s">
        <v>72</v>
      </c>
      <c r="C20" s="36" t="s">
        <v>76</v>
      </c>
      <c r="D20" s="83" t="s">
        <v>46</v>
      </c>
      <c r="E20" s="83">
        <v>8.13</v>
      </c>
      <c r="F20" s="35">
        <v>78.5</v>
      </c>
      <c r="G20" s="35">
        <f t="shared" ref="G20:G27" si="4">H20*(1+I20)</f>
        <v>5.665</v>
      </c>
      <c r="H20" s="35">
        <v>5.5</v>
      </c>
      <c r="I20" s="60">
        <f>I18</f>
        <v>0.03</v>
      </c>
      <c r="J20" s="35">
        <v>68</v>
      </c>
      <c r="K20" s="37">
        <f>(F20+G20+J20)*$K$5</f>
        <v>18.2598</v>
      </c>
      <c r="L20" s="37">
        <f>(F20+G20+J20+K20)*$L$5</f>
        <v>15.338232</v>
      </c>
      <c r="M20" s="37">
        <f t="shared" ref="M20:M27" si="5">F20+G20+J20+K20+L20</f>
        <v>185.763032</v>
      </c>
      <c r="N20" s="37">
        <f t="shared" ref="N20:N27" si="6">M20*E20</f>
        <v>1510.25345016</v>
      </c>
      <c r="O20" s="86" t="str">
        <f t="shared" si="3"/>
        <v>立邦、嘉宝莉</v>
      </c>
      <c r="P20" s="96"/>
    </row>
    <row r="21" s="4" customFormat="1" ht="112" customHeight="1" outlineLevel="1" spans="1:19">
      <c r="A21" s="34">
        <v>15</v>
      </c>
      <c r="B21" s="36" t="s">
        <v>77</v>
      </c>
      <c r="C21" s="36" t="s">
        <v>78</v>
      </c>
      <c r="D21" s="83" t="s">
        <v>46</v>
      </c>
      <c r="E21" s="83">
        <f>11.2*0.2</f>
        <v>2.24</v>
      </c>
      <c r="F21" s="35">
        <v>220</v>
      </c>
      <c r="G21" s="35">
        <f t="shared" si="4"/>
        <v>15.45</v>
      </c>
      <c r="H21" s="35">
        <v>15</v>
      </c>
      <c r="I21" s="60">
        <f>I18</f>
        <v>0.03</v>
      </c>
      <c r="J21" s="35">
        <v>200</v>
      </c>
      <c r="K21" s="37">
        <f>(F21+G21+J21)*$K$5</f>
        <v>52.254</v>
      </c>
      <c r="L21" s="37">
        <f>(F21+G21+J21+K21)*$L$5</f>
        <v>43.89336</v>
      </c>
      <c r="M21" s="37">
        <f t="shared" si="5"/>
        <v>531.59736</v>
      </c>
      <c r="N21" s="37">
        <f t="shared" si="6"/>
        <v>1190.7780864</v>
      </c>
      <c r="O21" s="86" t="str">
        <f t="shared" si="3"/>
        <v>立邦、嘉宝莉</v>
      </c>
      <c r="P21" s="96"/>
      <c r="Q21" s="76"/>
      <c r="R21" s="76"/>
      <c r="S21" s="76"/>
    </row>
    <row r="22" s="4" customFormat="1" ht="83" customHeight="1" outlineLevel="1" spans="1:19">
      <c r="A22" s="34">
        <v>16</v>
      </c>
      <c r="B22" s="36" t="s">
        <v>77</v>
      </c>
      <c r="C22" s="36" t="s">
        <v>79</v>
      </c>
      <c r="D22" s="83" t="s">
        <v>46</v>
      </c>
      <c r="E22" s="83">
        <v>1.67</v>
      </c>
      <c r="F22" s="35">
        <v>165</v>
      </c>
      <c r="G22" s="35">
        <f t="shared" si="4"/>
        <v>19.879</v>
      </c>
      <c r="H22" s="35">
        <v>19.3</v>
      </c>
      <c r="I22" s="60">
        <f>I18</f>
        <v>0.03</v>
      </c>
      <c r="J22" s="35">
        <v>95</v>
      </c>
      <c r="K22" s="37">
        <f>(F22+G22+J22)*$K$5</f>
        <v>33.58548</v>
      </c>
      <c r="L22" s="37">
        <f>(F22+G22+J22+K22)*$L$5</f>
        <v>28.2118032</v>
      </c>
      <c r="M22" s="37">
        <f t="shared" si="5"/>
        <v>341.6762832</v>
      </c>
      <c r="N22" s="37">
        <f t="shared" si="6"/>
        <v>570.599392944</v>
      </c>
      <c r="O22" s="86" t="str">
        <f t="shared" si="3"/>
        <v>立邦、嘉宝莉</v>
      </c>
      <c r="P22" s="97"/>
      <c r="Q22" s="76"/>
      <c r="R22" s="76"/>
      <c r="S22" s="76"/>
    </row>
    <row r="23" s="4" customFormat="1" ht="60" customHeight="1" outlineLevel="1" spans="1:16">
      <c r="A23" s="34">
        <v>17</v>
      </c>
      <c r="B23" s="36" t="s">
        <v>80</v>
      </c>
      <c r="C23" s="36" t="s">
        <v>81</v>
      </c>
      <c r="D23" s="83" t="s">
        <v>46</v>
      </c>
      <c r="E23" s="83">
        <v>44.94</v>
      </c>
      <c r="F23" s="35">
        <v>17</v>
      </c>
      <c r="G23" s="35">
        <f t="shared" si="4"/>
        <v>5.15</v>
      </c>
      <c r="H23" s="35">
        <f>H16</f>
        <v>5</v>
      </c>
      <c r="I23" s="60">
        <f>I16</f>
        <v>0.03</v>
      </c>
      <c r="J23" s="35">
        <v>4</v>
      </c>
      <c r="K23" s="37">
        <f>(F23+G23+J23)*$K$5</f>
        <v>3.138</v>
      </c>
      <c r="L23" s="37">
        <f>(F23+G23+J23+K23)*$L$5</f>
        <v>2.63592</v>
      </c>
      <c r="M23" s="37">
        <f t="shared" si="5"/>
        <v>31.92392</v>
      </c>
      <c r="N23" s="37">
        <f t="shared" si="6"/>
        <v>1434.6609648</v>
      </c>
      <c r="O23" s="86" t="str">
        <f t="shared" si="3"/>
        <v>立邦、嘉宝莉</v>
      </c>
      <c r="P23" s="76"/>
    </row>
    <row r="24" s="4" customFormat="1" ht="124" customHeight="1" outlineLevel="1" spans="1:16">
      <c r="A24" s="34">
        <v>18</v>
      </c>
      <c r="B24" s="36" t="s">
        <v>82</v>
      </c>
      <c r="C24" s="36" t="s">
        <v>83</v>
      </c>
      <c r="D24" s="83" t="s">
        <v>46</v>
      </c>
      <c r="E24" s="83">
        <v>7.4</v>
      </c>
      <c r="F24" s="35">
        <v>75</v>
      </c>
      <c r="G24" s="35">
        <f t="shared" si="4"/>
        <v>5.665</v>
      </c>
      <c r="H24" s="35">
        <f>H17</f>
        <v>5.5</v>
      </c>
      <c r="I24" s="60">
        <f>I17</f>
        <v>0.03</v>
      </c>
      <c r="J24" s="35">
        <v>77.6</v>
      </c>
      <c r="K24" s="37">
        <f>(F24+G24+J24)*$K$5</f>
        <v>18.9918</v>
      </c>
      <c r="L24" s="37">
        <f>(F24+G24+J24+K24)*$L$5</f>
        <v>15.953112</v>
      </c>
      <c r="M24" s="37">
        <f t="shared" si="5"/>
        <v>193.209912</v>
      </c>
      <c r="N24" s="37">
        <f t="shared" si="6"/>
        <v>1429.7533488</v>
      </c>
      <c r="O24" s="86" t="str">
        <f t="shared" si="3"/>
        <v>立邦、嘉宝莉</v>
      </c>
      <c r="P24" s="97"/>
    </row>
    <row r="25" s="4" customFormat="1" ht="60" customHeight="1" outlineLevel="1" spans="1:17">
      <c r="A25" s="34">
        <v>19</v>
      </c>
      <c r="B25" s="36" t="s">
        <v>84</v>
      </c>
      <c r="C25" s="36" t="s">
        <v>85</v>
      </c>
      <c r="D25" s="83" t="s">
        <v>55</v>
      </c>
      <c r="E25" s="84">
        <v>0.81</v>
      </c>
      <c r="F25" s="35">
        <v>18</v>
      </c>
      <c r="G25" s="35">
        <f t="shared" si="4"/>
        <v>26.059</v>
      </c>
      <c r="H25" s="35">
        <v>25.3</v>
      </c>
      <c r="I25" s="60">
        <v>0.03</v>
      </c>
      <c r="J25" s="35">
        <v>5.8</v>
      </c>
      <c r="K25" s="37">
        <f>(F25+G25+J25)*$K$5</f>
        <v>5.98308</v>
      </c>
      <c r="L25" s="37">
        <f>(F25+G25+J25+K25)*$L$5</f>
        <v>5.0257872</v>
      </c>
      <c r="M25" s="37">
        <f t="shared" si="5"/>
        <v>60.8678672</v>
      </c>
      <c r="N25" s="37">
        <f t="shared" si="6"/>
        <v>49.302972432</v>
      </c>
      <c r="O25" s="86" t="s">
        <v>52</v>
      </c>
      <c r="P25" s="94"/>
      <c r="Q25" s="54"/>
    </row>
    <row r="26" s="4" customFormat="1" ht="41" customHeight="1" outlineLevel="1" spans="1:17">
      <c r="A26" s="34">
        <v>20</v>
      </c>
      <c r="B26" s="36" t="s">
        <v>84</v>
      </c>
      <c r="C26" s="36" t="s">
        <v>86</v>
      </c>
      <c r="D26" s="83" t="s">
        <v>55</v>
      </c>
      <c r="E26" s="83">
        <v>27.9</v>
      </c>
      <c r="F26" s="35">
        <f>F25</f>
        <v>18</v>
      </c>
      <c r="G26" s="35">
        <f t="shared" si="4"/>
        <v>27.089</v>
      </c>
      <c r="H26" s="35">
        <v>26.3</v>
      </c>
      <c r="I26" s="60">
        <f>I25</f>
        <v>0.03</v>
      </c>
      <c r="J26" s="35">
        <v>6.2</v>
      </c>
      <c r="K26" s="37">
        <f>(F26+G26+J26)*$K$5</f>
        <v>6.15468</v>
      </c>
      <c r="L26" s="37">
        <f>(F26+G26+J26+K26)*$L$5</f>
        <v>5.1699312</v>
      </c>
      <c r="M26" s="37">
        <f t="shared" si="5"/>
        <v>62.6136112</v>
      </c>
      <c r="N26" s="37">
        <f t="shared" si="6"/>
        <v>1746.91975248</v>
      </c>
      <c r="O26" s="86" t="str">
        <f>O25</f>
        <v>国产优质</v>
      </c>
      <c r="P26" s="94"/>
      <c r="Q26" s="54"/>
    </row>
    <row r="27" s="4" customFormat="1" ht="39" customHeight="1" outlineLevel="1" spans="1:23">
      <c r="A27" s="34">
        <v>21</v>
      </c>
      <c r="B27" s="36" t="s">
        <v>87</v>
      </c>
      <c r="C27" s="36" t="s">
        <v>88</v>
      </c>
      <c r="D27" s="83" t="s">
        <v>46</v>
      </c>
      <c r="E27" s="83">
        <v>1.29</v>
      </c>
      <c r="F27" s="35">
        <v>317.7</v>
      </c>
      <c r="G27" s="35">
        <f t="shared" si="4"/>
        <v>568.972</v>
      </c>
      <c r="H27" s="35">
        <v>552.4</v>
      </c>
      <c r="I27" s="60">
        <f>I25</f>
        <v>0.03</v>
      </c>
      <c r="J27" s="35">
        <v>455</v>
      </c>
      <c r="K27" s="37">
        <f>(F27+G27+J27)*$K$5</f>
        <v>161.00064</v>
      </c>
      <c r="L27" s="37">
        <f>(F27+G27+J27+K27)*$L$5</f>
        <v>135.2405376</v>
      </c>
      <c r="M27" s="37">
        <f t="shared" si="5"/>
        <v>1637.9131776</v>
      </c>
      <c r="N27" s="37">
        <f t="shared" si="6"/>
        <v>2112.907999104</v>
      </c>
      <c r="O27" s="86" t="str">
        <f>O25</f>
        <v>国产优质</v>
      </c>
      <c r="Q27" s="100"/>
      <c r="R27" s="101"/>
      <c r="S27" s="20"/>
      <c r="U27" s="20"/>
      <c r="W27" s="99"/>
    </row>
    <row r="28" ht="48" customHeight="1" spans="1:15">
      <c r="A28" s="34">
        <v>22</v>
      </c>
      <c r="B28" s="82" t="s">
        <v>89</v>
      </c>
      <c r="C28" s="36"/>
      <c r="D28" s="34"/>
      <c r="E28" s="37"/>
      <c r="F28" s="35"/>
      <c r="G28" s="35"/>
      <c r="H28" s="35"/>
      <c r="I28" s="60"/>
      <c r="J28" s="35"/>
      <c r="K28" s="37"/>
      <c r="L28" s="37"/>
      <c r="M28" s="93"/>
      <c r="N28" s="37">
        <f>N29+N36+N46+N53+N59+N67+N82+N91</f>
        <v>200577.029195917</v>
      </c>
      <c r="O28" s="86"/>
    </row>
    <row r="29" ht="48" customHeight="1" spans="1:15">
      <c r="A29" s="34">
        <v>23</v>
      </c>
      <c r="B29" s="82" t="s">
        <v>90</v>
      </c>
      <c r="C29" s="82" t="s">
        <v>91</v>
      </c>
      <c r="D29" s="34"/>
      <c r="E29" s="37"/>
      <c r="F29" s="35"/>
      <c r="G29" s="35"/>
      <c r="H29" s="35"/>
      <c r="I29" s="60"/>
      <c r="J29" s="35"/>
      <c r="K29" s="37"/>
      <c r="L29" s="37"/>
      <c r="M29" s="93"/>
      <c r="N29" s="37">
        <f>SUM(N30:N35)</f>
        <v>8822.66947184</v>
      </c>
      <c r="O29" s="86"/>
    </row>
    <row r="30" ht="63" customHeight="1" outlineLevel="1" spans="1:15">
      <c r="A30" s="34">
        <v>24</v>
      </c>
      <c r="B30" s="36" t="s">
        <v>92</v>
      </c>
      <c r="C30" s="36" t="s">
        <v>93</v>
      </c>
      <c r="D30" s="34" t="s">
        <v>94</v>
      </c>
      <c r="E30" s="37">
        <v>1</v>
      </c>
      <c r="F30" s="35">
        <v>377</v>
      </c>
      <c r="G30" s="35">
        <f t="shared" ref="G30:G35" si="7">H30*(1+I30)</f>
        <v>2200</v>
      </c>
      <c r="H30" s="35">
        <v>2200</v>
      </c>
      <c r="I30" s="60">
        <v>0</v>
      </c>
      <c r="J30" s="35">
        <v>131.6</v>
      </c>
      <c r="K30" s="37">
        <f>(F30+G30+J30)*$K$5</f>
        <v>325.032</v>
      </c>
      <c r="L30" s="37">
        <f>(F30+G30+J30+K30)*$L$5</f>
        <v>273.02688</v>
      </c>
      <c r="M30" s="37">
        <f t="shared" ref="M30:M35" si="8">F30+G30+J30+K30+L30</f>
        <v>3306.65888</v>
      </c>
      <c r="N30" s="37">
        <f t="shared" ref="N30:N35" si="9">M30*E30</f>
        <v>3306.65888</v>
      </c>
      <c r="O30" s="86" t="str">
        <f t="shared" ref="O30:O35" si="10">$O$26</f>
        <v>国产优质</v>
      </c>
    </row>
    <row r="31" ht="48" customHeight="1" outlineLevel="1" spans="1:15">
      <c r="A31" s="34">
        <v>25</v>
      </c>
      <c r="B31" s="36" t="s">
        <v>95</v>
      </c>
      <c r="C31" s="36" t="s">
        <v>96</v>
      </c>
      <c r="D31" s="34" t="s">
        <v>46</v>
      </c>
      <c r="E31" s="37">
        <v>5.67</v>
      </c>
      <c r="F31" s="35">
        <v>68</v>
      </c>
      <c r="G31" s="35">
        <f t="shared" si="7"/>
        <v>47.25</v>
      </c>
      <c r="H31" s="35">
        <v>45</v>
      </c>
      <c r="I31" s="60">
        <v>0.05</v>
      </c>
      <c r="J31" s="35">
        <v>90</v>
      </c>
      <c r="K31" s="37">
        <f>(F31+G31+J31)*$K$5</f>
        <v>24.63</v>
      </c>
      <c r="L31" s="37">
        <f>(F31+G31+J31+K31)*$L$5</f>
        <v>20.6892</v>
      </c>
      <c r="M31" s="37">
        <f t="shared" si="8"/>
        <v>250.5692</v>
      </c>
      <c r="N31" s="37">
        <f t="shared" si="9"/>
        <v>1420.727364</v>
      </c>
      <c r="O31" s="86" t="str">
        <f t="shared" si="10"/>
        <v>国产优质</v>
      </c>
    </row>
    <row r="32" ht="48" customHeight="1" outlineLevel="1" spans="1:19">
      <c r="A32" s="34">
        <v>26</v>
      </c>
      <c r="B32" s="36" t="s">
        <v>97</v>
      </c>
      <c r="C32" s="36" t="s">
        <v>98</v>
      </c>
      <c r="D32" s="34" t="s">
        <v>46</v>
      </c>
      <c r="E32" s="37">
        <v>0.38</v>
      </c>
      <c r="F32" s="35">
        <v>115</v>
      </c>
      <c r="G32" s="35">
        <f t="shared" si="7"/>
        <v>288.4</v>
      </c>
      <c r="H32" s="35">
        <v>280</v>
      </c>
      <c r="I32" s="60">
        <f>I25</f>
        <v>0.03</v>
      </c>
      <c r="J32" s="35">
        <v>96</v>
      </c>
      <c r="K32" s="37">
        <f>(F32+G32+J32)*$K$5</f>
        <v>59.928</v>
      </c>
      <c r="L32" s="37">
        <f>(F32+G32+J32+K32)*$L$5</f>
        <v>50.33952</v>
      </c>
      <c r="M32" s="37">
        <f t="shared" si="8"/>
        <v>609.66752</v>
      </c>
      <c r="N32" s="37">
        <f t="shared" si="9"/>
        <v>231.6736576</v>
      </c>
      <c r="O32" s="86" t="str">
        <f t="shared" si="10"/>
        <v>国产优质</v>
      </c>
      <c r="P32" s="94"/>
      <c r="Q32" s="76"/>
      <c r="R32" s="96"/>
      <c r="S32" s="99"/>
    </row>
    <row r="33" ht="43" customHeight="1" outlineLevel="1" spans="1:17">
      <c r="A33" s="34">
        <v>27</v>
      </c>
      <c r="B33" s="36" t="s">
        <v>99</v>
      </c>
      <c r="C33" s="36" t="s">
        <v>100</v>
      </c>
      <c r="D33" s="34" t="s">
        <v>46</v>
      </c>
      <c r="E33" s="37">
        <v>2.16</v>
      </c>
      <c r="F33" s="35">
        <v>144</v>
      </c>
      <c r="G33" s="35">
        <f t="shared" si="7"/>
        <v>352.8</v>
      </c>
      <c r="H33" s="35">
        <v>336</v>
      </c>
      <c r="I33" s="60">
        <v>0.05</v>
      </c>
      <c r="J33" s="35">
        <v>215</v>
      </c>
      <c r="K33" s="37">
        <f>(F33+G33+J33)*$K$5</f>
        <v>85.416</v>
      </c>
      <c r="L33" s="37">
        <f>(F33+G33+J33+K33)*$L$5</f>
        <v>71.74944</v>
      </c>
      <c r="M33" s="37">
        <f t="shared" si="8"/>
        <v>868.96544</v>
      </c>
      <c r="N33" s="37">
        <f t="shared" si="9"/>
        <v>1876.9653504</v>
      </c>
      <c r="O33" s="86" t="str">
        <f t="shared" si="10"/>
        <v>国产优质</v>
      </c>
      <c r="Q33" s="99"/>
    </row>
    <row r="34" ht="31" customHeight="1" outlineLevel="1" spans="1:18">
      <c r="A34" s="34">
        <v>28</v>
      </c>
      <c r="B34" s="36" t="s">
        <v>101</v>
      </c>
      <c r="C34" s="36" t="s">
        <v>102</v>
      </c>
      <c r="D34" s="34" t="s">
        <v>46</v>
      </c>
      <c r="E34" s="37">
        <v>2.844</v>
      </c>
      <c r="F34" s="35">
        <v>87.5</v>
      </c>
      <c r="G34" s="35">
        <f t="shared" si="7"/>
        <v>420</v>
      </c>
      <c r="H34" s="35">
        <v>400</v>
      </c>
      <c r="I34" s="60">
        <f>I33</f>
        <v>0.05</v>
      </c>
      <c r="J34" s="35">
        <v>36</v>
      </c>
      <c r="K34" s="37">
        <f>(F34+G34+J34)*$K$5</f>
        <v>65.22</v>
      </c>
      <c r="L34" s="37">
        <f>(F34+G34+J34+K34)*$L$5</f>
        <v>54.7848</v>
      </c>
      <c r="M34" s="37">
        <f t="shared" si="8"/>
        <v>663.5048</v>
      </c>
      <c r="N34" s="37">
        <f t="shared" si="9"/>
        <v>1887.0076512</v>
      </c>
      <c r="O34" s="86" t="str">
        <f t="shared" si="10"/>
        <v>国产优质</v>
      </c>
      <c r="P34" s="96"/>
      <c r="Q34" s="20"/>
      <c r="R34" s="102"/>
    </row>
    <row r="35" ht="38" customHeight="1" outlineLevel="1" spans="1:17">
      <c r="A35" s="34">
        <v>29</v>
      </c>
      <c r="B35" s="36" t="s">
        <v>103</v>
      </c>
      <c r="C35" s="36" t="s">
        <v>104</v>
      </c>
      <c r="D35" s="34" t="s">
        <v>55</v>
      </c>
      <c r="E35" s="37">
        <v>1.94</v>
      </c>
      <c r="F35" s="35">
        <f>F25</f>
        <v>18</v>
      </c>
      <c r="G35" s="35">
        <f t="shared" si="7"/>
        <v>19.57</v>
      </c>
      <c r="H35" s="35">
        <v>19</v>
      </c>
      <c r="I35" s="60">
        <f>I25</f>
        <v>0.03</v>
      </c>
      <c r="J35" s="35">
        <v>4.5</v>
      </c>
      <c r="K35" s="37">
        <f>(F35+G35+J35)*$K$5</f>
        <v>5.0484</v>
      </c>
      <c r="L35" s="37">
        <f>(F35+G35+J35+K35)*$L$5</f>
        <v>4.240656</v>
      </c>
      <c r="M35" s="37">
        <f t="shared" si="8"/>
        <v>51.359056</v>
      </c>
      <c r="N35" s="37">
        <f t="shared" si="9"/>
        <v>99.63656864</v>
      </c>
      <c r="O35" s="86" t="str">
        <f t="shared" si="10"/>
        <v>国产优质</v>
      </c>
      <c r="P35" s="96"/>
      <c r="Q35" s="103"/>
    </row>
    <row r="36" ht="35" customHeight="1" spans="1:15">
      <c r="A36" s="34">
        <v>30</v>
      </c>
      <c r="B36" s="85" t="s">
        <v>105</v>
      </c>
      <c r="C36" s="82" t="s">
        <v>106</v>
      </c>
      <c r="D36" s="34"/>
      <c r="E36" s="37"/>
      <c r="F36" s="35"/>
      <c r="G36" s="35"/>
      <c r="H36" s="35"/>
      <c r="I36" s="60"/>
      <c r="J36" s="35"/>
      <c r="K36" s="37"/>
      <c r="L36" s="37"/>
      <c r="M36" s="95"/>
      <c r="N36" s="37">
        <f>SUM(N37:N45)</f>
        <v>35840.32062464</v>
      </c>
      <c r="O36" s="86"/>
    </row>
    <row r="37" ht="37" customHeight="1" outlineLevel="1" spans="1:15">
      <c r="A37" s="34">
        <v>31</v>
      </c>
      <c r="B37" s="36" t="s">
        <v>107</v>
      </c>
      <c r="C37" s="36" t="s">
        <v>108</v>
      </c>
      <c r="D37" s="34" t="s">
        <v>46</v>
      </c>
      <c r="E37" s="37">
        <v>10.25</v>
      </c>
      <c r="F37" s="35">
        <f>F34</f>
        <v>87.5</v>
      </c>
      <c r="G37" s="35">
        <f>H37*(1+I37)</f>
        <v>420</v>
      </c>
      <c r="H37" s="35">
        <f>H34</f>
        <v>400</v>
      </c>
      <c r="I37" s="60">
        <f>I34</f>
        <v>0.05</v>
      </c>
      <c r="J37" s="35">
        <v>44.5</v>
      </c>
      <c r="K37" s="37">
        <f>(F37+G37+J37)*$K$5</f>
        <v>66.24</v>
      </c>
      <c r="L37" s="37">
        <f>(F37+G37+J37+K37)*$L$5</f>
        <v>55.6416</v>
      </c>
      <c r="M37" s="37">
        <f>F37+G37+J37+K37+L37</f>
        <v>673.8816</v>
      </c>
      <c r="N37" s="37">
        <f>M37*E37</f>
        <v>6907.2864</v>
      </c>
      <c r="O37" s="86" t="str">
        <f t="shared" ref="O37:O45" si="11">$O$26</f>
        <v>国产优质</v>
      </c>
    </row>
    <row r="38" ht="63" customHeight="1" outlineLevel="1" spans="1:22">
      <c r="A38" s="34">
        <v>32</v>
      </c>
      <c r="B38" s="36" t="s">
        <v>109</v>
      </c>
      <c r="C38" s="36" t="s">
        <v>110</v>
      </c>
      <c r="D38" s="34" t="s">
        <v>46</v>
      </c>
      <c r="E38" s="37">
        <v>3.9</v>
      </c>
      <c r="F38" s="35">
        <v>280</v>
      </c>
      <c r="G38" s="35">
        <f t="shared" ref="G38:G45" si="12">H38*(1+I38)</f>
        <v>1456</v>
      </c>
      <c r="H38" s="35">
        <v>1456</v>
      </c>
      <c r="I38" s="60">
        <v>0</v>
      </c>
      <c r="J38" s="35">
        <v>285</v>
      </c>
      <c r="K38" s="37">
        <f t="shared" ref="K38:K45" si="13">(F38+G38+J38)*$K$5</f>
        <v>242.52</v>
      </c>
      <c r="L38" s="37">
        <f t="shared" ref="L38:L45" si="14">(F38+G38+J38+K38)*$L$5</f>
        <v>203.7168</v>
      </c>
      <c r="M38" s="37">
        <f t="shared" ref="M38:M45" si="15">F38+G38+J38+K38+L38</f>
        <v>2467.2368</v>
      </c>
      <c r="N38" s="37">
        <f t="shared" ref="N38:N45" si="16">M38*E38</f>
        <v>9622.22352</v>
      </c>
      <c r="O38" s="86" t="s">
        <v>111</v>
      </c>
      <c r="P38" s="94"/>
      <c r="S38" s="99"/>
      <c r="V38" s="98"/>
    </row>
    <row r="39" ht="51" customHeight="1" outlineLevel="1" spans="1:18">
      <c r="A39" s="34">
        <v>33</v>
      </c>
      <c r="B39" s="36" t="s">
        <v>112</v>
      </c>
      <c r="C39" s="36" t="s">
        <v>113</v>
      </c>
      <c r="D39" s="34" t="s">
        <v>46</v>
      </c>
      <c r="E39" s="37">
        <f>1.2*2.7</f>
        <v>3.24</v>
      </c>
      <c r="F39" s="35">
        <v>175</v>
      </c>
      <c r="G39" s="35">
        <f t="shared" si="12"/>
        <v>273</v>
      </c>
      <c r="H39" s="35">
        <v>260</v>
      </c>
      <c r="I39" s="60">
        <v>0.05</v>
      </c>
      <c r="J39" s="35">
        <v>104.8</v>
      </c>
      <c r="K39" s="37">
        <f t="shared" si="13"/>
        <v>66.336</v>
      </c>
      <c r="L39" s="37">
        <f t="shared" si="14"/>
        <v>55.72224</v>
      </c>
      <c r="M39" s="37">
        <f t="shared" si="15"/>
        <v>674.85824</v>
      </c>
      <c r="N39" s="37">
        <f t="shared" si="16"/>
        <v>2186.5406976</v>
      </c>
      <c r="O39" s="86" t="str">
        <f t="shared" si="11"/>
        <v>国产优质</v>
      </c>
      <c r="P39" s="98"/>
      <c r="R39" s="20"/>
    </row>
    <row r="40" ht="49" customHeight="1" outlineLevel="1" spans="1:20">
      <c r="A40" s="34">
        <v>34</v>
      </c>
      <c r="B40" s="36" t="s">
        <v>114</v>
      </c>
      <c r="C40" s="36" t="s">
        <v>115</v>
      </c>
      <c r="D40" s="34" t="s">
        <v>46</v>
      </c>
      <c r="E40" s="37">
        <v>0.7</v>
      </c>
      <c r="F40" s="35">
        <v>120</v>
      </c>
      <c r="G40" s="35">
        <f t="shared" si="12"/>
        <v>242.05</v>
      </c>
      <c r="H40" s="35">
        <v>235</v>
      </c>
      <c r="I40" s="60">
        <f>I35</f>
        <v>0.03</v>
      </c>
      <c r="J40" s="35">
        <v>140</v>
      </c>
      <c r="K40" s="37">
        <f t="shared" si="13"/>
        <v>60.246</v>
      </c>
      <c r="L40" s="37">
        <f t="shared" si="14"/>
        <v>50.60664</v>
      </c>
      <c r="M40" s="37">
        <f t="shared" si="15"/>
        <v>612.90264</v>
      </c>
      <c r="N40" s="37">
        <f t="shared" si="16"/>
        <v>429.031848</v>
      </c>
      <c r="O40" s="86" t="str">
        <f t="shared" si="11"/>
        <v>国产优质</v>
      </c>
      <c r="P40" s="97"/>
      <c r="Q40" s="104"/>
      <c r="S40" s="99"/>
      <c r="T40" s="99"/>
    </row>
    <row r="41" ht="45" customHeight="1" outlineLevel="1" spans="1:22">
      <c r="A41" s="34">
        <v>35</v>
      </c>
      <c r="B41" s="36" t="s">
        <v>116</v>
      </c>
      <c r="C41" s="36" t="s">
        <v>117</v>
      </c>
      <c r="D41" s="34" t="s">
        <v>46</v>
      </c>
      <c r="E41" s="37">
        <v>1.11</v>
      </c>
      <c r="F41" s="35">
        <v>413</v>
      </c>
      <c r="G41" s="35">
        <f t="shared" si="12"/>
        <v>597.4</v>
      </c>
      <c r="H41" s="35">
        <v>580</v>
      </c>
      <c r="I41" s="60">
        <f>I40</f>
        <v>0.03</v>
      </c>
      <c r="J41" s="35">
        <v>700</v>
      </c>
      <c r="K41" s="37">
        <f t="shared" si="13"/>
        <v>205.248</v>
      </c>
      <c r="L41" s="37">
        <f t="shared" si="14"/>
        <v>172.40832</v>
      </c>
      <c r="M41" s="37">
        <f t="shared" si="15"/>
        <v>2088.05632</v>
      </c>
      <c r="N41" s="37">
        <f t="shared" si="16"/>
        <v>2317.7425152</v>
      </c>
      <c r="O41" s="86" t="str">
        <f t="shared" si="11"/>
        <v>国产优质</v>
      </c>
      <c r="Q41" s="99"/>
      <c r="T41" s="20"/>
      <c r="V41" s="20"/>
    </row>
    <row r="42" ht="50" customHeight="1" outlineLevel="1" spans="1:15">
      <c r="A42" s="34">
        <v>36</v>
      </c>
      <c r="B42" s="36" t="s">
        <v>95</v>
      </c>
      <c r="C42" s="36" t="s">
        <v>96</v>
      </c>
      <c r="D42" s="34" t="s">
        <v>46</v>
      </c>
      <c r="E42" s="37">
        <v>7.98</v>
      </c>
      <c r="F42" s="35">
        <f t="shared" ref="F42:J42" si="17">F31</f>
        <v>68</v>
      </c>
      <c r="G42" s="35">
        <f t="shared" si="12"/>
        <v>47.25</v>
      </c>
      <c r="H42" s="35">
        <f t="shared" si="17"/>
        <v>45</v>
      </c>
      <c r="I42" s="60">
        <f t="shared" si="17"/>
        <v>0.05</v>
      </c>
      <c r="J42" s="35">
        <f t="shared" si="17"/>
        <v>90</v>
      </c>
      <c r="K42" s="37">
        <f t="shared" si="13"/>
        <v>24.63</v>
      </c>
      <c r="L42" s="37">
        <f t="shared" si="14"/>
        <v>20.6892</v>
      </c>
      <c r="M42" s="37">
        <f t="shared" si="15"/>
        <v>250.5692</v>
      </c>
      <c r="N42" s="37">
        <f t="shared" si="16"/>
        <v>1999.542216</v>
      </c>
      <c r="O42" s="86" t="str">
        <f t="shared" si="11"/>
        <v>国产优质</v>
      </c>
    </row>
    <row r="43" s="70" customFormat="1" ht="83" customHeight="1" outlineLevel="1" spans="1:31">
      <c r="A43" s="36">
        <v>37</v>
      </c>
      <c r="B43" s="36" t="s">
        <v>118</v>
      </c>
      <c r="C43" s="36" t="s">
        <v>119</v>
      </c>
      <c r="D43" s="36" t="s">
        <v>94</v>
      </c>
      <c r="E43" s="86">
        <v>1</v>
      </c>
      <c r="F43" s="87">
        <v>1310</v>
      </c>
      <c r="G43" s="87">
        <f t="shared" si="12"/>
        <v>1134</v>
      </c>
      <c r="H43" s="87">
        <v>1080</v>
      </c>
      <c r="I43" s="60">
        <v>0.05</v>
      </c>
      <c r="J43" s="87">
        <v>3603</v>
      </c>
      <c r="K43" s="86">
        <f t="shared" si="13"/>
        <v>725.64</v>
      </c>
      <c r="L43" s="86">
        <f t="shared" si="14"/>
        <v>609.5376</v>
      </c>
      <c r="M43" s="86">
        <f t="shared" si="15"/>
        <v>7382.1776</v>
      </c>
      <c r="N43" s="86">
        <f t="shared" si="16"/>
        <v>7382.1776</v>
      </c>
      <c r="O43" s="86" t="str">
        <f t="shared" si="11"/>
        <v>国产优质</v>
      </c>
      <c r="Q43" s="105"/>
      <c r="S43" s="105"/>
      <c r="U43" s="105"/>
      <c r="W43" s="105"/>
      <c r="Y43" s="109"/>
      <c r="AA43" s="109"/>
      <c r="AE43" s="105"/>
    </row>
    <row r="44" ht="51" customHeight="1" outlineLevel="1" spans="1:15">
      <c r="A44" s="34">
        <v>38</v>
      </c>
      <c r="B44" s="36" t="s">
        <v>103</v>
      </c>
      <c r="C44" s="36" t="s">
        <v>104</v>
      </c>
      <c r="D44" s="34" t="s">
        <v>55</v>
      </c>
      <c r="E44" s="37">
        <v>12.04</v>
      </c>
      <c r="F44" s="35">
        <f t="shared" ref="F44:J44" si="18">F35</f>
        <v>18</v>
      </c>
      <c r="G44" s="35">
        <f t="shared" si="12"/>
        <v>19.57</v>
      </c>
      <c r="H44" s="35">
        <f t="shared" si="18"/>
        <v>19</v>
      </c>
      <c r="I44" s="60">
        <f t="shared" si="18"/>
        <v>0.03</v>
      </c>
      <c r="J44" s="35">
        <f t="shared" si="18"/>
        <v>4.5</v>
      </c>
      <c r="K44" s="37">
        <f t="shared" si="13"/>
        <v>5.0484</v>
      </c>
      <c r="L44" s="37">
        <f t="shared" si="14"/>
        <v>4.240656</v>
      </c>
      <c r="M44" s="37">
        <f t="shared" si="15"/>
        <v>51.359056</v>
      </c>
      <c r="N44" s="37">
        <f t="shared" si="16"/>
        <v>618.36303424</v>
      </c>
      <c r="O44" s="86" t="str">
        <f t="shared" si="11"/>
        <v>国产优质</v>
      </c>
    </row>
    <row r="45" ht="40" customHeight="1" outlineLevel="1" spans="1:15">
      <c r="A45" s="34">
        <v>39</v>
      </c>
      <c r="B45" s="36" t="s">
        <v>97</v>
      </c>
      <c r="C45" s="36" t="s">
        <v>120</v>
      </c>
      <c r="D45" s="34" t="s">
        <v>46</v>
      </c>
      <c r="E45" s="37">
        <f>5.85+1.33</f>
        <v>7.18</v>
      </c>
      <c r="F45" s="35">
        <f t="shared" ref="F45:J45" si="19">F32</f>
        <v>115</v>
      </c>
      <c r="G45" s="35">
        <f t="shared" si="12"/>
        <v>288.4</v>
      </c>
      <c r="H45" s="35">
        <f t="shared" si="19"/>
        <v>280</v>
      </c>
      <c r="I45" s="60">
        <f t="shared" si="19"/>
        <v>0.03</v>
      </c>
      <c r="J45" s="35">
        <f t="shared" si="19"/>
        <v>96</v>
      </c>
      <c r="K45" s="37">
        <f t="shared" si="13"/>
        <v>59.928</v>
      </c>
      <c r="L45" s="37">
        <f t="shared" si="14"/>
        <v>50.33952</v>
      </c>
      <c r="M45" s="37">
        <f t="shared" si="15"/>
        <v>609.66752</v>
      </c>
      <c r="N45" s="37">
        <f t="shared" si="16"/>
        <v>4377.4127936</v>
      </c>
      <c r="O45" s="86" t="str">
        <f t="shared" si="11"/>
        <v>国产优质</v>
      </c>
    </row>
    <row r="46" ht="48" customHeight="1" spans="1:15">
      <c r="A46" s="34">
        <v>40</v>
      </c>
      <c r="B46" s="85" t="s">
        <v>121</v>
      </c>
      <c r="C46" s="82" t="s">
        <v>122</v>
      </c>
      <c r="D46" s="34"/>
      <c r="E46" s="37"/>
      <c r="F46" s="35"/>
      <c r="G46" s="35"/>
      <c r="H46" s="35"/>
      <c r="I46" s="60"/>
      <c r="J46" s="35"/>
      <c r="K46" s="37"/>
      <c r="L46" s="37"/>
      <c r="M46" s="95"/>
      <c r="N46" s="37">
        <f>SUM(N47:N52)</f>
        <v>20918.1198912</v>
      </c>
      <c r="O46" s="86"/>
    </row>
    <row r="47" ht="94" customHeight="1" outlineLevel="1" spans="1:15">
      <c r="A47" s="34">
        <v>41</v>
      </c>
      <c r="B47" s="88" t="s">
        <v>123</v>
      </c>
      <c r="C47" s="89" t="s">
        <v>124</v>
      </c>
      <c r="D47" s="34" t="s">
        <v>46</v>
      </c>
      <c r="E47" s="37">
        <v>17.25</v>
      </c>
      <c r="F47" s="35">
        <v>80</v>
      </c>
      <c r="G47" s="35">
        <f t="shared" ref="G47:G52" si="20">H47*(1+I47)</f>
        <v>194.25</v>
      </c>
      <c r="H47" s="35">
        <f>H8</f>
        <v>185</v>
      </c>
      <c r="I47" s="60">
        <f>I8</f>
        <v>0.05</v>
      </c>
      <c r="J47" s="35">
        <v>32.5</v>
      </c>
      <c r="K47" s="37">
        <f>(F47+G47+J47)*$K$5</f>
        <v>36.81</v>
      </c>
      <c r="L47" s="37">
        <f>(F47+G47+J47+K47)*$L$5</f>
        <v>30.9204</v>
      </c>
      <c r="M47" s="37">
        <f t="shared" ref="M47:M52" si="21">F47+G47+J47+K47+L47</f>
        <v>374.4804</v>
      </c>
      <c r="N47" s="37">
        <f t="shared" ref="N47:N52" si="22">M47*E47</f>
        <v>6459.7869</v>
      </c>
      <c r="O47" s="86" t="str">
        <f>O7</f>
        <v>诺贝尔</v>
      </c>
    </row>
    <row r="48" ht="70" customHeight="1" outlineLevel="1" spans="1:15">
      <c r="A48" s="34">
        <v>42</v>
      </c>
      <c r="B48" s="88" t="s">
        <v>99</v>
      </c>
      <c r="C48" s="89" t="s">
        <v>100</v>
      </c>
      <c r="D48" s="34" t="s">
        <v>46</v>
      </c>
      <c r="E48" s="37">
        <v>1.08</v>
      </c>
      <c r="F48" s="35">
        <f t="shared" ref="F48:J48" si="23">F33</f>
        <v>144</v>
      </c>
      <c r="G48" s="35">
        <f t="shared" si="20"/>
        <v>352.8</v>
      </c>
      <c r="H48" s="35">
        <f t="shared" si="23"/>
        <v>336</v>
      </c>
      <c r="I48" s="60">
        <f t="shared" si="23"/>
        <v>0.05</v>
      </c>
      <c r="J48" s="35">
        <f t="shared" si="23"/>
        <v>215</v>
      </c>
      <c r="K48" s="37">
        <f>(F48+G48+J48)*$K$5</f>
        <v>85.416</v>
      </c>
      <c r="L48" s="37">
        <f>(F48+G48+J48+K48)*$L$5</f>
        <v>71.74944</v>
      </c>
      <c r="M48" s="37">
        <f t="shared" si="21"/>
        <v>868.96544</v>
      </c>
      <c r="N48" s="37">
        <f t="shared" si="22"/>
        <v>938.4826752</v>
      </c>
      <c r="O48" s="86" t="str">
        <f t="shared" ref="O48:O52" si="24">$O$26</f>
        <v>国产优质</v>
      </c>
    </row>
    <row r="49" ht="67" customHeight="1" outlineLevel="1" spans="1:17">
      <c r="A49" s="34">
        <v>43</v>
      </c>
      <c r="B49" s="88" t="s">
        <v>114</v>
      </c>
      <c r="C49" s="89" t="s">
        <v>115</v>
      </c>
      <c r="D49" s="34" t="s">
        <v>46</v>
      </c>
      <c r="E49" s="37">
        <v>0.36</v>
      </c>
      <c r="F49" s="35">
        <v>84.6</v>
      </c>
      <c r="G49" s="35">
        <f t="shared" si="20"/>
        <v>300.245</v>
      </c>
      <c r="H49" s="35">
        <v>291.5</v>
      </c>
      <c r="I49" s="60">
        <f>I40</f>
        <v>0.03</v>
      </c>
      <c r="J49" s="35">
        <v>40.88</v>
      </c>
      <c r="K49" s="37">
        <f>(F49+G49+J49)*$K$5</f>
        <v>51.087</v>
      </c>
      <c r="L49" s="37">
        <f>(F49+G49+J49+K49)*$L$5</f>
        <v>42.91308</v>
      </c>
      <c r="M49" s="37">
        <f t="shared" si="21"/>
        <v>519.72508</v>
      </c>
      <c r="N49" s="37">
        <f t="shared" si="22"/>
        <v>187.1010288</v>
      </c>
      <c r="O49" s="86" t="str">
        <f t="shared" si="24"/>
        <v>国产优质</v>
      </c>
      <c r="Q49" s="20"/>
    </row>
    <row r="50" s="71" customFormat="1" ht="80" customHeight="1" outlineLevel="1" spans="1:26">
      <c r="A50" s="34">
        <v>44</v>
      </c>
      <c r="B50" s="88" t="s">
        <v>125</v>
      </c>
      <c r="C50" s="89" t="s">
        <v>126</v>
      </c>
      <c r="D50" s="34" t="s">
        <v>46</v>
      </c>
      <c r="E50" s="37">
        <v>0.63</v>
      </c>
      <c r="F50" s="35">
        <v>580</v>
      </c>
      <c r="G50" s="35">
        <f t="shared" si="20"/>
        <v>694.05</v>
      </c>
      <c r="H50" s="35">
        <v>661</v>
      </c>
      <c r="I50" s="60">
        <f>I12</f>
        <v>0.05</v>
      </c>
      <c r="J50" s="35">
        <v>709</v>
      </c>
      <c r="K50" s="37">
        <f>(F50+G50+J50)*$K$5</f>
        <v>237.966</v>
      </c>
      <c r="L50" s="37">
        <f>(F50+G50+J50+K50)*$L$5</f>
        <v>199.89144</v>
      </c>
      <c r="M50" s="37">
        <f t="shared" si="21"/>
        <v>2420.90744</v>
      </c>
      <c r="N50" s="37">
        <f t="shared" si="22"/>
        <v>1525.1716872</v>
      </c>
      <c r="O50" s="86" t="str">
        <f t="shared" si="24"/>
        <v>国产优质</v>
      </c>
      <c r="P50" s="76"/>
      <c r="Q50" s="4"/>
      <c r="R50" s="4"/>
      <c r="S50" s="4"/>
      <c r="T50" s="76"/>
      <c r="U50" s="4"/>
      <c r="V50" s="4"/>
      <c r="W50" s="4"/>
      <c r="X50" s="76"/>
      <c r="Y50" s="4"/>
      <c r="Z50" s="4"/>
    </row>
    <row r="51" s="71" customFormat="1" ht="80" customHeight="1" outlineLevel="1" spans="1:26">
      <c r="A51" s="34">
        <v>45</v>
      </c>
      <c r="B51" s="88" t="s">
        <v>127</v>
      </c>
      <c r="C51" s="89" t="s">
        <v>128</v>
      </c>
      <c r="D51" s="34" t="s">
        <v>94</v>
      </c>
      <c r="E51" s="37">
        <v>1</v>
      </c>
      <c r="F51" s="35">
        <v>654</v>
      </c>
      <c r="G51" s="35">
        <f t="shared" si="20"/>
        <v>2415</v>
      </c>
      <c r="H51" s="35">
        <v>2300</v>
      </c>
      <c r="I51" s="60">
        <f>I50</f>
        <v>0.05</v>
      </c>
      <c r="J51" s="35">
        <v>3865</v>
      </c>
      <c r="K51" s="37">
        <f>(F51+G51+J51)*$K$5</f>
        <v>832.08</v>
      </c>
      <c r="L51" s="37">
        <f>(F51+G51+J51+K51)*$L$5</f>
        <v>698.9472</v>
      </c>
      <c r="M51" s="37">
        <f t="shared" si="21"/>
        <v>8465.0272</v>
      </c>
      <c r="N51" s="37">
        <f t="shared" si="22"/>
        <v>8465.0272</v>
      </c>
      <c r="O51" s="86" t="str">
        <f t="shared" si="24"/>
        <v>国产优质</v>
      </c>
      <c r="P51" s="76"/>
      <c r="Q51" s="20"/>
      <c r="R51" s="4"/>
      <c r="S51" s="4"/>
      <c r="T51" s="76"/>
      <c r="U51" s="20"/>
      <c r="V51" s="4"/>
      <c r="W51" s="4"/>
      <c r="X51" s="76"/>
      <c r="Y51" s="20"/>
      <c r="Z51" s="4"/>
    </row>
    <row r="52" ht="80" customHeight="1" outlineLevel="1" spans="1:17">
      <c r="A52" s="34">
        <v>46</v>
      </c>
      <c r="B52" s="88" t="s">
        <v>129</v>
      </c>
      <c r="C52" s="89" t="s">
        <v>130</v>
      </c>
      <c r="D52" s="34" t="s">
        <v>94</v>
      </c>
      <c r="E52" s="37">
        <v>1</v>
      </c>
      <c r="F52" s="35">
        <v>343</v>
      </c>
      <c r="G52" s="35">
        <f t="shared" si="20"/>
        <v>2300</v>
      </c>
      <c r="H52" s="35">
        <v>2300</v>
      </c>
      <c r="I52" s="60">
        <v>0</v>
      </c>
      <c r="J52" s="35">
        <v>95</v>
      </c>
      <c r="K52" s="37">
        <f>(F52+G52+J52)*$K$5</f>
        <v>328.56</v>
      </c>
      <c r="L52" s="37">
        <f>(F52+G52+J52+K52)*$L$5</f>
        <v>275.9904</v>
      </c>
      <c r="M52" s="37">
        <f t="shared" si="21"/>
        <v>3342.5504</v>
      </c>
      <c r="N52" s="37">
        <f t="shared" si="22"/>
        <v>3342.5504</v>
      </c>
      <c r="O52" s="86" t="str">
        <f t="shared" si="24"/>
        <v>国产优质</v>
      </c>
      <c r="Q52" s="76"/>
    </row>
    <row r="53" ht="32" customHeight="1" spans="1:15">
      <c r="A53" s="34">
        <v>47</v>
      </c>
      <c r="B53" s="85" t="s">
        <v>131</v>
      </c>
      <c r="C53" s="82" t="s">
        <v>132</v>
      </c>
      <c r="D53" s="34"/>
      <c r="E53" s="37"/>
      <c r="F53" s="35"/>
      <c r="G53" s="35"/>
      <c r="H53" s="35"/>
      <c r="I53" s="60"/>
      <c r="J53" s="35"/>
      <c r="K53" s="37"/>
      <c r="L53" s="37"/>
      <c r="M53" s="95"/>
      <c r="N53" s="37">
        <f>SUM(N54:N58)</f>
        <v>14620.8269648</v>
      </c>
      <c r="O53" s="86"/>
    </row>
    <row r="54" ht="45" customHeight="1" outlineLevel="1" spans="1:15">
      <c r="A54" s="34">
        <v>48</v>
      </c>
      <c r="B54" s="36" t="s">
        <v>123</v>
      </c>
      <c r="C54" s="36" t="s">
        <v>133</v>
      </c>
      <c r="D54" s="34" t="s">
        <v>46</v>
      </c>
      <c r="E54" s="37">
        <v>17.88</v>
      </c>
      <c r="F54" s="35">
        <f>F47</f>
        <v>80</v>
      </c>
      <c r="G54" s="35">
        <f t="shared" ref="G54:G58" si="25">H54*(1+I54)</f>
        <v>194.25</v>
      </c>
      <c r="H54" s="35">
        <f>H47</f>
        <v>185</v>
      </c>
      <c r="I54" s="60">
        <f t="shared" ref="F54:J54" si="26">I47</f>
        <v>0.05</v>
      </c>
      <c r="J54" s="35">
        <f t="shared" si="26"/>
        <v>32.5</v>
      </c>
      <c r="K54" s="37">
        <f>(F54+G54+J54)*$K$5</f>
        <v>36.81</v>
      </c>
      <c r="L54" s="37">
        <f>(F54+G54+J54+K54)*$L$5</f>
        <v>30.9204</v>
      </c>
      <c r="M54" s="37">
        <f t="shared" ref="M54:M58" si="27">F54+G54+J54+K54+L54</f>
        <v>374.4804</v>
      </c>
      <c r="N54" s="37">
        <f t="shared" ref="N54:N58" si="28">M54*E54</f>
        <v>6695.709552</v>
      </c>
      <c r="O54" s="86" t="str">
        <f>O47</f>
        <v>诺贝尔</v>
      </c>
    </row>
    <row r="55" ht="64" customHeight="1" outlineLevel="1" spans="1:24">
      <c r="A55" s="34">
        <v>49</v>
      </c>
      <c r="B55" s="36" t="s">
        <v>134</v>
      </c>
      <c r="C55" s="36" t="s">
        <v>135</v>
      </c>
      <c r="D55" s="34" t="s">
        <v>94</v>
      </c>
      <c r="E55" s="37">
        <v>1</v>
      </c>
      <c r="F55" s="35">
        <v>497</v>
      </c>
      <c r="G55" s="35">
        <f t="shared" si="25"/>
        <v>3000</v>
      </c>
      <c r="H55" s="35">
        <v>3000</v>
      </c>
      <c r="I55" s="60">
        <v>0</v>
      </c>
      <c r="J55" s="35">
        <v>1000</v>
      </c>
      <c r="K55" s="37">
        <f>(F55+G55+J55)*$K$5</f>
        <v>539.64</v>
      </c>
      <c r="L55" s="37">
        <f>(F55+G55+J55+K55)*$L$5</f>
        <v>453.2976</v>
      </c>
      <c r="M55" s="37">
        <f t="shared" si="27"/>
        <v>5489.9376</v>
      </c>
      <c r="N55" s="37">
        <f t="shared" si="28"/>
        <v>5489.9376</v>
      </c>
      <c r="O55" s="86" t="str">
        <f t="shared" ref="O55:O58" si="29">$O$26</f>
        <v>国产优质</v>
      </c>
      <c r="Q55" s="94"/>
      <c r="R55" s="76"/>
      <c r="S55" s="106"/>
      <c r="T55" s="76"/>
      <c r="U55" s="106"/>
      <c r="V55" s="76"/>
      <c r="W55" s="94"/>
      <c r="X55" s="76"/>
    </row>
    <row r="56" ht="48" customHeight="1" outlineLevel="1" spans="1:28">
      <c r="A56" s="34">
        <v>50</v>
      </c>
      <c r="B56" s="36" t="s">
        <v>136</v>
      </c>
      <c r="C56" s="36" t="s">
        <v>137</v>
      </c>
      <c r="D56" s="34" t="s">
        <v>46</v>
      </c>
      <c r="E56" s="37">
        <v>0.54</v>
      </c>
      <c r="F56" s="35">
        <v>290</v>
      </c>
      <c r="G56" s="35">
        <f t="shared" si="25"/>
        <v>922.95</v>
      </c>
      <c r="H56" s="35">
        <v>879</v>
      </c>
      <c r="I56" s="60">
        <v>0.05</v>
      </c>
      <c r="J56" s="35">
        <v>530</v>
      </c>
      <c r="K56" s="37">
        <f>(F56+G56+J56)*$K$5</f>
        <v>209.154</v>
      </c>
      <c r="L56" s="37">
        <f>(F56+G56+J56+K56)*$L$5</f>
        <v>175.68936</v>
      </c>
      <c r="M56" s="37">
        <f t="shared" si="27"/>
        <v>2127.79336</v>
      </c>
      <c r="N56" s="37">
        <f t="shared" si="28"/>
        <v>1149.0084144</v>
      </c>
      <c r="O56" s="86" t="str">
        <f t="shared" si="29"/>
        <v>国产优质</v>
      </c>
      <c r="Q56" s="54"/>
      <c r="R56" s="107"/>
      <c r="S56" s="107"/>
      <c r="T56" s="107"/>
      <c r="U56" s="107"/>
      <c r="V56" s="107"/>
      <c r="W56" s="108"/>
      <c r="X56" s="107"/>
      <c r="Y56" s="107"/>
      <c r="Z56" s="20"/>
      <c r="AB56" s="107"/>
    </row>
    <row r="57" ht="48" customHeight="1" outlineLevel="1" spans="1:15">
      <c r="A57" s="34">
        <v>51</v>
      </c>
      <c r="B57" s="36" t="s">
        <v>138</v>
      </c>
      <c r="C57" s="89" t="s">
        <v>139</v>
      </c>
      <c r="D57" s="34" t="s">
        <v>46</v>
      </c>
      <c r="E57" s="37">
        <f>0.5*2.4</f>
        <v>1.2</v>
      </c>
      <c r="F57" s="35">
        <v>105</v>
      </c>
      <c r="G57" s="35">
        <f t="shared" si="25"/>
        <v>147</v>
      </c>
      <c r="H57" s="35">
        <v>140</v>
      </c>
      <c r="I57" s="60">
        <v>0.05</v>
      </c>
      <c r="J57" s="35">
        <v>35</v>
      </c>
      <c r="K57" s="37">
        <f>(F57+G57+J57)*$K$5</f>
        <v>34.44</v>
      </c>
      <c r="L57" s="37">
        <f>(F57+G57+J57+K57)*$L$5</f>
        <v>28.9296</v>
      </c>
      <c r="M57" s="37">
        <f t="shared" si="27"/>
        <v>350.3696</v>
      </c>
      <c r="N57" s="37">
        <f t="shared" si="28"/>
        <v>420.44352</v>
      </c>
      <c r="O57" s="86" t="str">
        <f t="shared" si="29"/>
        <v>国产优质</v>
      </c>
    </row>
    <row r="58" ht="43" customHeight="1" outlineLevel="1" spans="1:15">
      <c r="A58" s="34">
        <v>52</v>
      </c>
      <c r="B58" s="36" t="s">
        <v>97</v>
      </c>
      <c r="C58" s="36" t="s">
        <v>98</v>
      </c>
      <c r="D58" s="34" t="s">
        <v>46</v>
      </c>
      <c r="E58" s="37">
        <v>1.42</v>
      </c>
      <c r="F58" s="35">
        <f t="shared" ref="F58:J58" si="30">F45</f>
        <v>115</v>
      </c>
      <c r="G58" s="35">
        <f t="shared" si="25"/>
        <v>288.4</v>
      </c>
      <c r="H58" s="35">
        <f t="shared" si="30"/>
        <v>280</v>
      </c>
      <c r="I58" s="35">
        <f t="shared" si="30"/>
        <v>0.03</v>
      </c>
      <c r="J58" s="35">
        <f t="shared" si="30"/>
        <v>96</v>
      </c>
      <c r="K58" s="37">
        <f>(F58+G58+J58)*$K$5</f>
        <v>59.928</v>
      </c>
      <c r="L58" s="37">
        <f>(F58+G58+J58+K58)*$L$5</f>
        <v>50.33952</v>
      </c>
      <c r="M58" s="37">
        <f t="shared" si="27"/>
        <v>609.66752</v>
      </c>
      <c r="N58" s="37">
        <f t="shared" si="28"/>
        <v>865.7278784</v>
      </c>
      <c r="O58" s="86" t="str">
        <f t="shared" si="29"/>
        <v>国产优质</v>
      </c>
    </row>
    <row r="59" ht="31" customHeight="1" spans="1:15">
      <c r="A59" s="34">
        <v>53</v>
      </c>
      <c r="B59" s="82" t="s">
        <v>140</v>
      </c>
      <c r="C59" s="82" t="s">
        <v>141</v>
      </c>
      <c r="D59" s="34"/>
      <c r="E59" s="37"/>
      <c r="F59" s="35"/>
      <c r="G59" s="35"/>
      <c r="H59" s="35"/>
      <c r="I59" s="60"/>
      <c r="J59" s="35"/>
      <c r="K59" s="37"/>
      <c r="L59" s="37"/>
      <c r="M59" s="95"/>
      <c r="N59" s="37">
        <f>SUM(N60:N66)</f>
        <v>18027.65456016</v>
      </c>
      <c r="O59" s="86"/>
    </row>
    <row r="60" ht="42" customHeight="1" outlineLevel="1" spans="1:15">
      <c r="A60" s="34">
        <v>54</v>
      </c>
      <c r="B60" s="36" t="s">
        <v>95</v>
      </c>
      <c r="C60" s="36" t="s">
        <v>96</v>
      </c>
      <c r="D60" s="34" t="s">
        <v>46</v>
      </c>
      <c r="E60" s="37">
        <v>13.88</v>
      </c>
      <c r="F60" s="35">
        <f t="shared" ref="F60:J60" si="31">F42</f>
        <v>68</v>
      </c>
      <c r="G60" s="35">
        <f t="shared" ref="G60:G66" si="32">H60*(1+I60)</f>
        <v>42</v>
      </c>
      <c r="H60" s="35">
        <v>40</v>
      </c>
      <c r="I60" s="60">
        <f t="shared" si="31"/>
        <v>0.05</v>
      </c>
      <c r="J60" s="35">
        <f t="shared" si="31"/>
        <v>90</v>
      </c>
      <c r="K60" s="37">
        <f>(F60+G60+J60)*$K$5</f>
        <v>24</v>
      </c>
      <c r="L60" s="37">
        <f>(F60+G60+J60+K60)*$L$5</f>
        <v>20.16</v>
      </c>
      <c r="M60" s="37">
        <f t="shared" ref="M60:M66" si="33">F60+G60+J60+K60+L60</f>
        <v>244.16</v>
      </c>
      <c r="N60" s="37">
        <f t="shared" ref="N60:N66" si="34">M60*E60</f>
        <v>3388.9408</v>
      </c>
      <c r="O60" s="86" t="str">
        <f t="shared" ref="O60:O66" si="35">$O$26</f>
        <v>国产优质</v>
      </c>
    </row>
    <row r="61" ht="39" customHeight="1" outlineLevel="1" spans="1:15">
      <c r="A61" s="34">
        <v>55</v>
      </c>
      <c r="B61" s="36" t="s">
        <v>142</v>
      </c>
      <c r="C61" s="36" t="s">
        <v>143</v>
      </c>
      <c r="D61" s="34" t="s">
        <v>46</v>
      </c>
      <c r="E61" s="37">
        <v>7.2</v>
      </c>
      <c r="F61" s="35">
        <v>96.5</v>
      </c>
      <c r="G61" s="35">
        <f t="shared" si="32"/>
        <v>210</v>
      </c>
      <c r="H61" s="35">
        <v>200</v>
      </c>
      <c r="I61" s="60">
        <v>0.05</v>
      </c>
      <c r="J61" s="35">
        <v>90.7</v>
      </c>
      <c r="K61" s="37">
        <f>(F61+G61+J61)*$K$5</f>
        <v>47.664</v>
      </c>
      <c r="L61" s="37">
        <f>(F61+G61+J61+K61)*$L$5</f>
        <v>40.03776</v>
      </c>
      <c r="M61" s="37">
        <f t="shared" si="33"/>
        <v>484.90176</v>
      </c>
      <c r="N61" s="37">
        <f t="shared" si="34"/>
        <v>3491.292672</v>
      </c>
      <c r="O61" s="86" t="str">
        <f t="shared" si="35"/>
        <v>国产优质</v>
      </c>
    </row>
    <row r="62" ht="37" customHeight="1" outlineLevel="1" spans="1:15">
      <c r="A62" s="34">
        <v>56</v>
      </c>
      <c r="B62" s="36" t="s">
        <v>103</v>
      </c>
      <c r="C62" s="36" t="s">
        <v>104</v>
      </c>
      <c r="D62" s="34" t="s">
        <v>55</v>
      </c>
      <c r="E62" s="37">
        <v>6.81</v>
      </c>
      <c r="F62" s="35">
        <f t="shared" ref="F62:J62" si="36">F44</f>
        <v>18</v>
      </c>
      <c r="G62" s="35">
        <f t="shared" si="32"/>
        <v>19.57</v>
      </c>
      <c r="H62" s="35">
        <f t="shared" si="36"/>
        <v>19</v>
      </c>
      <c r="I62" s="60">
        <f t="shared" si="36"/>
        <v>0.03</v>
      </c>
      <c r="J62" s="35">
        <f t="shared" si="36"/>
        <v>4.5</v>
      </c>
      <c r="K62" s="37">
        <f>(F62+G62+J62)*$K$5</f>
        <v>5.0484</v>
      </c>
      <c r="L62" s="37">
        <f>(F62+G62+J62+K62)*$L$5</f>
        <v>4.240656</v>
      </c>
      <c r="M62" s="37">
        <f t="shared" si="33"/>
        <v>51.359056</v>
      </c>
      <c r="N62" s="37">
        <f t="shared" si="34"/>
        <v>349.75517136</v>
      </c>
      <c r="O62" s="86" t="str">
        <f t="shared" si="35"/>
        <v>国产优质</v>
      </c>
    </row>
    <row r="63" ht="36" customHeight="1" outlineLevel="1" spans="1:17">
      <c r="A63" s="34">
        <v>57</v>
      </c>
      <c r="B63" s="36" t="s">
        <v>144</v>
      </c>
      <c r="C63" s="36" t="s">
        <v>145</v>
      </c>
      <c r="D63" s="34" t="s">
        <v>94</v>
      </c>
      <c r="E63" s="37">
        <v>1</v>
      </c>
      <c r="F63" s="35">
        <v>729</v>
      </c>
      <c r="G63" s="35">
        <f t="shared" si="32"/>
        <v>4700</v>
      </c>
      <c r="H63" s="35">
        <v>4700</v>
      </c>
      <c r="I63" s="60">
        <v>0</v>
      </c>
      <c r="J63" s="35">
        <v>168</v>
      </c>
      <c r="K63" s="37">
        <f>(F63+G63+J63)*$K$5</f>
        <v>671.64</v>
      </c>
      <c r="L63" s="37">
        <f>(F63+G63+J63+K63)*$L$5</f>
        <v>564.1776</v>
      </c>
      <c r="M63" s="37">
        <f t="shared" si="33"/>
        <v>6832.8176</v>
      </c>
      <c r="N63" s="37">
        <f t="shared" si="34"/>
        <v>6832.8176</v>
      </c>
      <c r="O63" s="86" t="str">
        <f t="shared" si="35"/>
        <v>国产优质</v>
      </c>
      <c r="P63" s="96"/>
      <c r="Q63" s="97"/>
    </row>
    <row r="64" ht="48" customHeight="1" outlineLevel="1" spans="1:16">
      <c r="A64" s="34">
        <v>58</v>
      </c>
      <c r="B64" s="36" t="s">
        <v>146</v>
      </c>
      <c r="C64" s="36" t="s">
        <v>147</v>
      </c>
      <c r="D64" s="34" t="s">
        <v>94</v>
      </c>
      <c r="E64" s="37">
        <v>1</v>
      </c>
      <c r="F64" s="35">
        <v>239</v>
      </c>
      <c r="G64" s="35">
        <f t="shared" si="32"/>
        <v>2100</v>
      </c>
      <c r="H64" s="35">
        <v>2100</v>
      </c>
      <c r="I64" s="60">
        <v>0</v>
      </c>
      <c r="J64" s="35">
        <v>234</v>
      </c>
      <c r="K64" s="37">
        <f>(F64+G64+J64)*$K$5</f>
        <v>308.76</v>
      </c>
      <c r="L64" s="37">
        <f>(F64+G64+J64+K64)*$L$5</f>
        <v>259.3584</v>
      </c>
      <c r="M64" s="37">
        <f t="shared" si="33"/>
        <v>3141.1184</v>
      </c>
      <c r="N64" s="37">
        <f t="shared" si="34"/>
        <v>3141.1184</v>
      </c>
      <c r="O64" s="86" t="str">
        <f t="shared" si="35"/>
        <v>国产优质</v>
      </c>
      <c r="P64" s="97"/>
    </row>
    <row r="65" ht="49" customHeight="1" outlineLevel="1" spans="1:16">
      <c r="A65" s="34">
        <v>59</v>
      </c>
      <c r="B65" s="36" t="s">
        <v>148</v>
      </c>
      <c r="C65" s="36" t="s">
        <v>149</v>
      </c>
      <c r="D65" s="34" t="s">
        <v>94</v>
      </c>
      <c r="E65" s="37">
        <v>1</v>
      </c>
      <c r="F65" s="35">
        <v>85</v>
      </c>
      <c r="G65" s="35">
        <f t="shared" si="32"/>
        <v>120.75</v>
      </c>
      <c r="H65" s="35">
        <v>115</v>
      </c>
      <c r="I65" s="60">
        <v>0.05</v>
      </c>
      <c r="J65" s="35">
        <v>49.5</v>
      </c>
      <c r="K65" s="37">
        <f>(F65+G65+J65)*$K$5</f>
        <v>30.63</v>
      </c>
      <c r="L65" s="37">
        <f>(F65+G65+J65+K65)*$L$5</f>
        <v>25.7292</v>
      </c>
      <c r="M65" s="37">
        <f t="shared" si="33"/>
        <v>311.6092</v>
      </c>
      <c r="N65" s="37">
        <f t="shared" si="34"/>
        <v>311.6092</v>
      </c>
      <c r="O65" s="86" t="str">
        <f t="shared" si="35"/>
        <v>国产优质</v>
      </c>
      <c r="P65" s="96"/>
    </row>
    <row r="66" ht="50" customHeight="1" outlineLevel="1" spans="1:15">
      <c r="A66" s="34">
        <v>60</v>
      </c>
      <c r="B66" s="36" t="s">
        <v>97</v>
      </c>
      <c r="C66" s="36" t="s">
        <v>98</v>
      </c>
      <c r="D66" s="34" t="s">
        <v>46</v>
      </c>
      <c r="E66" s="37">
        <v>0.84</v>
      </c>
      <c r="F66" s="35">
        <f t="shared" ref="F66:J66" si="37">F58</f>
        <v>115</v>
      </c>
      <c r="G66" s="35">
        <f t="shared" si="32"/>
        <v>288.4</v>
      </c>
      <c r="H66" s="35">
        <f t="shared" si="37"/>
        <v>280</v>
      </c>
      <c r="I66" s="60">
        <f t="shared" si="37"/>
        <v>0.03</v>
      </c>
      <c r="J66" s="35">
        <f t="shared" si="37"/>
        <v>96</v>
      </c>
      <c r="K66" s="37">
        <f>(F66+G66+J66)*$K$5</f>
        <v>59.928</v>
      </c>
      <c r="L66" s="37">
        <f>(F66+G66+J66+K66)*$L$5</f>
        <v>50.33952</v>
      </c>
      <c r="M66" s="37">
        <f t="shared" si="33"/>
        <v>609.66752</v>
      </c>
      <c r="N66" s="37">
        <f t="shared" si="34"/>
        <v>512.1207168</v>
      </c>
      <c r="O66" s="86" t="str">
        <f t="shared" si="35"/>
        <v>国产优质</v>
      </c>
    </row>
    <row r="67" ht="33" customHeight="1" spans="1:15">
      <c r="A67" s="34">
        <v>61</v>
      </c>
      <c r="B67" s="82" t="s">
        <v>150</v>
      </c>
      <c r="C67" s="82" t="s">
        <v>151</v>
      </c>
      <c r="D67" s="34"/>
      <c r="E67" s="37"/>
      <c r="F67" s="35"/>
      <c r="G67" s="35"/>
      <c r="H67" s="35"/>
      <c r="I67" s="60"/>
      <c r="J67" s="35"/>
      <c r="K67" s="37"/>
      <c r="L67" s="37"/>
      <c r="M67" s="95"/>
      <c r="N67" s="37">
        <f>SUM(N68:N81)</f>
        <v>61130.5735276768</v>
      </c>
      <c r="O67" s="86"/>
    </row>
    <row r="68" ht="48" customHeight="1" outlineLevel="1" spans="1:15">
      <c r="A68" s="34">
        <v>62</v>
      </c>
      <c r="B68" s="110" t="s">
        <v>95</v>
      </c>
      <c r="C68" s="111" t="s">
        <v>96</v>
      </c>
      <c r="D68" s="112" t="s">
        <v>46</v>
      </c>
      <c r="E68" s="111">
        <v>47.95</v>
      </c>
      <c r="F68" s="35">
        <f t="shared" ref="F68:J68" si="38">F60</f>
        <v>68</v>
      </c>
      <c r="G68" s="35">
        <f t="shared" ref="G68:G74" si="39">H68*(1+I68)</f>
        <v>42</v>
      </c>
      <c r="H68" s="35">
        <f t="shared" si="38"/>
        <v>40</v>
      </c>
      <c r="I68" s="60">
        <f t="shared" si="38"/>
        <v>0.05</v>
      </c>
      <c r="J68" s="35">
        <f t="shared" si="38"/>
        <v>90</v>
      </c>
      <c r="K68" s="37">
        <f>(F68+G68+J68)*$K$5</f>
        <v>24</v>
      </c>
      <c r="L68" s="37">
        <f>(F68+G68+J68+K68)*$L$5</f>
        <v>20.16</v>
      </c>
      <c r="M68" s="37">
        <f t="shared" ref="M68:M74" si="40">F68+G68+J68+K68+L68</f>
        <v>244.16</v>
      </c>
      <c r="N68" s="37">
        <f t="shared" ref="N68:N74" si="41">M68*E68</f>
        <v>11707.472</v>
      </c>
      <c r="O68" s="86" t="str">
        <f t="shared" ref="O68:O73" si="42">$O$26</f>
        <v>国产优质</v>
      </c>
    </row>
    <row r="69" ht="48" customHeight="1" outlineLevel="1" spans="1:21">
      <c r="A69" s="34">
        <v>63</v>
      </c>
      <c r="B69" s="110" t="s">
        <v>114</v>
      </c>
      <c r="C69" s="111" t="s">
        <v>115</v>
      </c>
      <c r="D69" s="112" t="s">
        <v>46</v>
      </c>
      <c r="E69" s="111">
        <v>2.37</v>
      </c>
      <c r="F69" s="35">
        <v>140</v>
      </c>
      <c r="G69" s="35">
        <f t="shared" si="39"/>
        <v>388.1658</v>
      </c>
      <c r="H69" s="35">
        <v>376.86</v>
      </c>
      <c r="I69" s="60">
        <f>I66</f>
        <v>0.03</v>
      </c>
      <c r="J69" s="35">
        <v>70.5</v>
      </c>
      <c r="K69" s="37">
        <f>(F69+G69+J69)*$K$5</f>
        <v>71.839896</v>
      </c>
      <c r="L69" s="37">
        <f>(F69+G69+J69+K69)*$L$5</f>
        <v>60.34551264</v>
      </c>
      <c r="M69" s="37">
        <f t="shared" si="40"/>
        <v>730.85120864</v>
      </c>
      <c r="N69" s="37">
        <f t="shared" si="41"/>
        <v>1732.1173644768</v>
      </c>
      <c r="O69" s="86" t="str">
        <f t="shared" si="42"/>
        <v>国产优质</v>
      </c>
      <c r="P69" s="97"/>
      <c r="Q69" s="126"/>
      <c r="R69" s="127"/>
      <c r="S69" s="128"/>
      <c r="T69" s="127"/>
      <c r="U69" s="99"/>
    </row>
    <row r="70" ht="48" customHeight="1" outlineLevel="1" spans="1:22">
      <c r="A70" s="34">
        <v>64</v>
      </c>
      <c r="B70" s="110" t="s">
        <v>95</v>
      </c>
      <c r="C70" s="111" t="s">
        <v>152</v>
      </c>
      <c r="D70" s="112" t="s">
        <v>46</v>
      </c>
      <c r="E70" s="111">
        <v>3.32</v>
      </c>
      <c r="F70" s="35">
        <v>96.5</v>
      </c>
      <c r="G70" s="35">
        <f t="shared" si="39"/>
        <v>199.5</v>
      </c>
      <c r="H70" s="35">
        <v>190</v>
      </c>
      <c r="I70" s="60">
        <f>I31</f>
        <v>0.05</v>
      </c>
      <c r="J70" s="35">
        <v>102</v>
      </c>
      <c r="K70" s="37">
        <f>(F70+G70+J70)*$K$5</f>
        <v>47.76</v>
      </c>
      <c r="L70" s="37">
        <f>(F70+G70+J70+K70)*$L$5</f>
        <v>40.1184</v>
      </c>
      <c r="M70" s="37">
        <f t="shared" si="40"/>
        <v>485.8784</v>
      </c>
      <c r="N70" s="37">
        <f t="shared" si="41"/>
        <v>1613.116288</v>
      </c>
      <c r="O70" s="86" t="str">
        <f t="shared" si="42"/>
        <v>国产优质</v>
      </c>
      <c r="R70" s="129"/>
      <c r="S70" s="129"/>
      <c r="T70" s="129"/>
      <c r="U70" s="129"/>
      <c r="V70" s="129"/>
    </row>
    <row r="71" ht="45" customHeight="1" outlineLevel="1" spans="1:16">
      <c r="A71" s="34">
        <v>65</v>
      </c>
      <c r="B71" s="110" t="s">
        <v>142</v>
      </c>
      <c r="C71" s="111" t="s">
        <v>153</v>
      </c>
      <c r="D71" s="112" t="s">
        <v>46</v>
      </c>
      <c r="E71" s="111">
        <v>5.12</v>
      </c>
      <c r="F71" s="35">
        <v>123</v>
      </c>
      <c r="G71" s="35">
        <f t="shared" si="39"/>
        <v>210</v>
      </c>
      <c r="H71" s="35">
        <f>H61</f>
        <v>200</v>
      </c>
      <c r="I71" s="60">
        <f>I70</f>
        <v>0.05</v>
      </c>
      <c r="J71" s="35">
        <v>136</v>
      </c>
      <c r="K71" s="37">
        <f>(F71+G71+J71)*$K$5</f>
        <v>56.28</v>
      </c>
      <c r="L71" s="37">
        <f>(F71+G71+J71+K71)*$L$5</f>
        <v>47.2752</v>
      </c>
      <c r="M71" s="37">
        <f t="shared" si="40"/>
        <v>572.5552</v>
      </c>
      <c r="N71" s="37">
        <f t="shared" si="41"/>
        <v>2931.482624</v>
      </c>
      <c r="O71" s="86" t="str">
        <f t="shared" si="42"/>
        <v>国产优质</v>
      </c>
      <c r="P71" s="124"/>
    </row>
    <row r="72" ht="51" customHeight="1" outlineLevel="1" spans="1:17">
      <c r="A72" s="34">
        <v>66</v>
      </c>
      <c r="B72" s="110" t="s">
        <v>142</v>
      </c>
      <c r="C72" s="111" t="s">
        <v>154</v>
      </c>
      <c r="D72" s="112" t="s">
        <v>46</v>
      </c>
      <c r="E72" s="111">
        <v>3.39</v>
      </c>
      <c r="F72" s="35">
        <v>112</v>
      </c>
      <c r="G72" s="35">
        <f t="shared" si="39"/>
        <v>210</v>
      </c>
      <c r="H72" s="35">
        <f>H71</f>
        <v>200</v>
      </c>
      <c r="I72" s="60">
        <f>I71</f>
        <v>0.05</v>
      </c>
      <c r="J72" s="35">
        <v>75.7</v>
      </c>
      <c r="K72" s="37">
        <f>(F72+G72+J72)*$K$5</f>
        <v>47.724</v>
      </c>
      <c r="L72" s="37">
        <f>(F72+G72+J72+K72)*$L$5</f>
        <v>40.08816</v>
      </c>
      <c r="M72" s="37">
        <f t="shared" si="40"/>
        <v>485.51216</v>
      </c>
      <c r="N72" s="37">
        <f t="shared" si="41"/>
        <v>1645.8862224</v>
      </c>
      <c r="O72" s="86" t="str">
        <f t="shared" si="42"/>
        <v>国产优质</v>
      </c>
      <c r="P72" s="96"/>
      <c r="Q72" s="96"/>
    </row>
    <row r="73" ht="48" customHeight="1" outlineLevel="1" spans="1:16">
      <c r="A73" s="34">
        <v>67</v>
      </c>
      <c r="B73" s="110" t="s">
        <v>155</v>
      </c>
      <c r="C73" s="111" t="s">
        <v>156</v>
      </c>
      <c r="D73" s="112" t="s">
        <v>46</v>
      </c>
      <c r="E73" s="111">
        <v>2</v>
      </c>
      <c r="F73" s="35">
        <v>95</v>
      </c>
      <c r="G73" s="35">
        <f t="shared" si="39"/>
        <v>615</v>
      </c>
      <c r="H73" s="35">
        <v>615</v>
      </c>
      <c r="I73" s="60">
        <v>0</v>
      </c>
      <c r="J73" s="35">
        <v>25</v>
      </c>
      <c r="K73" s="37">
        <f>(F73+G73+J73)*$K$5</f>
        <v>88.2</v>
      </c>
      <c r="L73" s="37">
        <f>(F73+G73+J73+K73)*$L$5</f>
        <v>74.088</v>
      </c>
      <c r="M73" s="37">
        <f t="shared" si="40"/>
        <v>897.288</v>
      </c>
      <c r="N73" s="37">
        <f t="shared" si="41"/>
        <v>1794.576</v>
      </c>
      <c r="O73" s="86" t="str">
        <f t="shared" si="42"/>
        <v>国产优质</v>
      </c>
      <c r="P73" s="96"/>
    </row>
    <row r="74" ht="50" customHeight="1" outlineLevel="1" spans="1:15">
      <c r="A74" s="34">
        <v>68</v>
      </c>
      <c r="B74" s="110" t="s">
        <v>123</v>
      </c>
      <c r="C74" s="111" t="s">
        <v>133</v>
      </c>
      <c r="D74" s="112" t="s">
        <v>46</v>
      </c>
      <c r="E74" s="111">
        <v>14.95</v>
      </c>
      <c r="F74" s="35">
        <f t="shared" ref="F74:J74" si="43">F54</f>
        <v>80</v>
      </c>
      <c r="G74" s="35">
        <f t="shared" si="39"/>
        <v>194.25</v>
      </c>
      <c r="H74" s="35">
        <f>H54</f>
        <v>185</v>
      </c>
      <c r="I74" s="35">
        <f>I54</f>
        <v>0.05</v>
      </c>
      <c r="J74" s="35">
        <f t="shared" si="43"/>
        <v>32.5</v>
      </c>
      <c r="K74" s="37">
        <f>(F74+G74+J74)*$K$5</f>
        <v>36.81</v>
      </c>
      <c r="L74" s="37">
        <f>(F74+G74+J74+K74)*$L$5</f>
        <v>30.9204</v>
      </c>
      <c r="M74" s="37">
        <f t="shared" si="40"/>
        <v>374.4804</v>
      </c>
      <c r="N74" s="37">
        <f t="shared" si="41"/>
        <v>5598.48198</v>
      </c>
      <c r="O74" s="86" t="str">
        <f>O54</f>
        <v>诺贝尔</v>
      </c>
    </row>
    <row r="75" ht="30" customHeight="1" outlineLevel="1" spans="1:15">
      <c r="A75" s="34">
        <v>69</v>
      </c>
      <c r="B75" s="110" t="s">
        <v>103</v>
      </c>
      <c r="C75" s="111" t="s">
        <v>104</v>
      </c>
      <c r="D75" s="34" t="s">
        <v>55</v>
      </c>
      <c r="E75" s="37">
        <v>27.35</v>
      </c>
      <c r="F75" s="35">
        <f t="shared" ref="F75:J75" si="44">F62</f>
        <v>18</v>
      </c>
      <c r="G75" s="35">
        <f t="shared" ref="G69:G81" si="45">H75*(1+I75)</f>
        <v>19.57</v>
      </c>
      <c r="H75" s="35">
        <f t="shared" si="44"/>
        <v>19</v>
      </c>
      <c r="I75" s="60">
        <f t="shared" si="44"/>
        <v>0.03</v>
      </c>
      <c r="J75" s="35">
        <f t="shared" si="44"/>
        <v>4.5</v>
      </c>
      <c r="K75" s="37">
        <f t="shared" ref="K69:K81" si="46">(F75+G75+J75)*$K$5</f>
        <v>5.0484</v>
      </c>
      <c r="L75" s="37">
        <f t="shared" ref="L69:L81" si="47">(F75+G75+J75+K75)*$L$5</f>
        <v>4.240656</v>
      </c>
      <c r="M75" s="37">
        <f t="shared" ref="M69:M81" si="48">F75+G75+J75+K75+L75</f>
        <v>51.359056</v>
      </c>
      <c r="N75" s="37">
        <f t="shared" ref="N69:N81" si="49">M75*E75</f>
        <v>1404.6701816</v>
      </c>
      <c r="O75" s="86" t="str">
        <f t="shared" ref="O75:O79" si="50">$O$26</f>
        <v>国产优质</v>
      </c>
    </row>
    <row r="76" ht="48" customHeight="1" outlineLevel="1" spans="1:15">
      <c r="A76" s="34">
        <v>70</v>
      </c>
      <c r="B76" s="110" t="s">
        <v>157</v>
      </c>
      <c r="C76" s="111" t="s">
        <v>158</v>
      </c>
      <c r="D76" s="34" t="s">
        <v>94</v>
      </c>
      <c r="E76" s="37">
        <v>1</v>
      </c>
      <c r="F76" s="35">
        <v>168</v>
      </c>
      <c r="G76" s="35">
        <f t="shared" si="45"/>
        <v>800</v>
      </c>
      <c r="H76" s="35">
        <v>800</v>
      </c>
      <c r="I76" s="60">
        <v>0</v>
      </c>
      <c r="J76" s="35">
        <v>30</v>
      </c>
      <c r="K76" s="37">
        <f t="shared" si="46"/>
        <v>119.76</v>
      </c>
      <c r="L76" s="37">
        <f t="shared" si="47"/>
        <v>100.5984</v>
      </c>
      <c r="M76" s="37">
        <f t="shared" si="48"/>
        <v>1218.3584</v>
      </c>
      <c r="N76" s="37">
        <f t="shared" si="49"/>
        <v>1218.3584</v>
      </c>
      <c r="O76" s="86" t="str">
        <f t="shared" si="50"/>
        <v>国产优质</v>
      </c>
    </row>
    <row r="77" ht="50" customHeight="1" outlineLevel="1" spans="1:17">
      <c r="A77" s="34">
        <v>71</v>
      </c>
      <c r="B77" s="110" t="s">
        <v>159</v>
      </c>
      <c r="C77" s="111" t="s">
        <v>160</v>
      </c>
      <c r="D77" s="34" t="s">
        <v>94</v>
      </c>
      <c r="E77" s="37">
        <v>1</v>
      </c>
      <c r="F77" s="35">
        <v>220</v>
      </c>
      <c r="G77" s="35">
        <f t="shared" si="45"/>
        <v>2100</v>
      </c>
      <c r="H77" s="35">
        <v>2100</v>
      </c>
      <c r="I77" s="60">
        <v>0</v>
      </c>
      <c r="J77" s="35">
        <v>240</v>
      </c>
      <c r="K77" s="37">
        <f t="shared" si="46"/>
        <v>307.2</v>
      </c>
      <c r="L77" s="37">
        <f t="shared" si="47"/>
        <v>258.048</v>
      </c>
      <c r="M77" s="37">
        <f t="shared" si="48"/>
        <v>3125.248</v>
      </c>
      <c r="N77" s="37">
        <f t="shared" si="49"/>
        <v>3125.248</v>
      </c>
      <c r="O77" s="86" t="str">
        <f t="shared" si="50"/>
        <v>国产优质</v>
      </c>
      <c r="Q77" s="99"/>
    </row>
    <row r="78" s="4" customFormat="1" ht="64" customHeight="1" outlineLevel="1" spans="1:16">
      <c r="A78" s="34">
        <v>72</v>
      </c>
      <c r="B78" s="110" t="s">
        <v>161</v>
      </c>
      <c r="C78" s="111" t="s">
        <v>162</v>
      </c>
      <c r="D78" s="34" t="s">
        <v>94</v>
      </c>
      <c r="E78" s="37">
        <v>1</v>
      </c>
      <c r="F78" s="35">
        <v>1638</v>
      </c>
      <c r="G78" s="35">
        <f t="shared" si="45"/>
        <v>15000</v>
      </c>
      <c r="H78" s="35">
        <v>15000</v>
      </c>
      <c r="I78" s="60">
        <v>0</v>
      </c>
      <c r="J78" s="35">
        <v>1000</v>
      </c>
      <c r="K78" s="37">
        <f t="shared" si="46"/>
        <v>2116.56</v>
      </c>
      <c r="L78" s="37">
        <f t="shared" si="47"/>
        <v>1777.9104</v>
      </c>
      <c r="M78" s="37">
        <f t="shared" si="48"/>
        <v>21532.4704</v>
      </c>
      <c r="N78" s="37">
        <f t="shared" si="49"/>
        <v>21532.4704</v>
      </c>
      <c r="O78" s="86" t="str">
        <f t="shared" si="50"/>
        <v>国产优质</v>
      </c>
      <c r="P78" s="76"/>
    </row>
    <row r="79" ht="48" customHeight="1" outlineLevel="1" spans="1:15">
      <c r="A79" s="34">
        <v>73</v>
      </c>
      <c r="B79" s="110" t="s">
        <v>136</v>
      </c>
      <c r="C79" s="111" t="s">
        <v>163</v>
      </c>
      <c r="D79" s="34" t="s">
        <v>94</v>
      </c>
      <c r="E79" s="37">
        <v>1</v>
      </c>
      <c r="F79" s="35">
        <f t="shared" ref="F79:J79" si="51">F56</f>
        <v>290</v>
      </c>
      <c r="G79" s="35">
        <f t="shared" si="45"/>
        <v>922.95</v>
      </c>
      <c r="H79" s="35">
        <f>H56</f>
        <v>879</v>
      </c>
      <c r="I79" s="60">
        <f t="shared" si="51"/>
        <v>0.05</v>
      </c>
      <c r="J79" s="35">
        <f t="shared" si="51"/>
        <v>530</v>
      </c>
      <c r="K79" s="37">
        <f t="shared" si="46"/>
        <v>209.154</v>
      </c>
      <c r="L79" s="37">
        <f t="shared" si="47"/>
        <v>175.68936</v>
      </c>
      <c r="M79" s="37">
        <f t="shared" si="48"/>
        <v>2127.79336</v>
      </c>
      <c r="N79" s="37">
        <f t="shared" si="49"/>
        <v>2127.79336</v>
      </c>
      <c r="O79" s="86" t="str">
        <f t="shared" si="50"/>
        <v>国产优质</v>
      </c>
    </row>
    <row r="80" ht="83" customHeight="1" outlineLevel="1" spans="1:20">
      <c r="A80" s="34">
        <v>74</v>
      </c>
      <c r="B80" s="110" t="s">
        <v>164</v>
      </c>
      <c r="C80" s="111" t="s">
        <v>165</v>
      </c>
      <c r="D80" s="34" t="s">
        <v>94</v>
      </c>
      <c r="E80" s="37">
        <v>1</v>
      </c>
      <c r="F80" s="35">
        <v>445</v>
      </c>
      <c r="G80" s="35">
        <f t="shared" si="45"/>
        <v>2000</v>
      </c>
      <c r="H80" s="35">
        <v>2000</v>
      </c>
      <c r="I80" s="60">
        <v>0</v>
      </c>
      <c r="J80" s="35">
        <v>600</v>
      </c>
      <c r="K80" s="37">
        <f t="shared" si="46"/>
        <v>365.4</v>
      </c>
      <c r="L80" s="37">
        <f t="shared" si="47"/>
        <v>306.936</v>
      </c>
      <c r="M80" s="37">
        <f t="shared" si="48"/>
        <v>3717.336</v>
      </c>
      <c r="N80" s="37">
        <f t="shared" si="49"/>
        <v>3717.336</v>
      </c>
      <c r="O80" s="86" t="s">
        <v>111</v>
      </c>
      <c r="P80" s="94"/>
      <c r="R80" s="99"/>
      <c r="T80" s="99"/>
    </row>
    <row r="81" ht="46" customHeight="1" outlineLevel="1" spans="1:15">
      <c r="A81" s="34">
        <v>75</v>
      </c>
      <c r="B81" s="36" t="s">
        <v>97</v>
      </c>
      <c r="C81" s="36" t="s">
        <v>98</v>
      </c>
      <c r="D81" s="34" t="s">
        <v>46</v>
      </c>
      <c r="E81" s="37">
        <v>1.61</v>
      </c>
      <c r="F81" s="35">
        <f t="shared" ref="F81:J81" si="52">F66</f>
        <v>115</v>
      </c>
      <c r="G81" s="35">
        <f t="shared" si="45"/>
        <v>288.4</v>
      </c>
      <c r="H81" s="35">
        <f t="shared" si="52"/>
        <v>280</v>
      </c>
      <c r="I81" s="35">
        <f t="shared" si="52"/>
        <v>0.03</v>
      </c>
      <c r="J81" s="35">
        <f t="shared" si="52"/>
        <v>96</v>
      </c>
      <c r="K81" s="37">
        <f t="shared" si="46"/>
        <v>59.928</v>
      </c>
      <c r="L81" s="37">
        <f t="shared" si="47"/>
        <v>50.33952</v>
      </c>
      <c r="M81" s="37">
        <f t="shared" si="48"/>
        <v>609.66752</v>
      </c>
      <c r="N81" s="37">
        <f t="shared" si="49"/>
        <v>981.5647072</v>
      </c>
      <c r="O81" s="86" t="str">
        <f t="shared" ref="O81:O90" si="53">$O$26</f>
        <v>国产优质</v>
      </c>
    </row>
    <row r="82" ht="32" customHeight="1" spans="1:15">
      <c r="A82" s="34">
        <v>76</v>
      </c>
      <c r="B82" s="113" t="s">
        <v>166</v>
      </c>
      <c r="C82" s="114" t="s">
        <v>167</v>
      </c>
      <c r="D82" s="34"/>
      <c r="E82" s="37"/>
      <c r="F82" s="35"/>
      <c r="G82" s="35"/>
      <c r="H82" s="35"/>
      <c r="I82" s="60"/>
      <c r="J82" s="35"/>
      <c r="K82" s="37"/>
      <c r="L82" s="37"/>
      <c r="M82" s="95"/>
      <c r="N82" s="37">
        <f>SUM(N83:N90)</f>
        <v>23128.12613496</v>
      </c>
      <c r="O82" s="86"/>
    </row>
    <row r="83" ht="51" customHeight="1" outlineLevel="1" spans="1:15">
      <c r="A83" s="34">
        <v>77</v>
      </c>
      <c r="B83" s="110" t="s">
        <v>95</v>
      </c>
      <c r="C83" s="111" t="s">
        <v>168</v>
      </c>
      <c r="D83" s="34" t="s">
        <v>46</v>
      </c>
      <c r="E83" s="37">
        <f>26.79-6.02+0.2*2.4</f>
        <v>21.25</v>
      </c>
      <c r="F83" s="35">
        <f t="shared" ref="F83:J83" si="54">F31</f>
        <v>68</v>
      </c>
      <c r="G83" s="35">
        <f>H83*(1+I83)</f>
        <v>47.25</v>
      </c>
      <c r="H83" s="35">
        <f t="shared" si="54"/>
        <v>45</v>
      </c>
      <c r="I83" s="60">
        <f t="shared" si="54"/>
        <v>0.05</v>
      </c>
      <c r="J83" s="35">
        <f t="shared" si="54"/>
        <v>90</v>
      </c>
      <c r="K83" s="37">
        <f>(F83+G83+J83)*$K$5</f>
        <v>24.63</v>
      </c>
      <c r="L83" s="37">
        <f>(F83+G83+J83+K83)*$L$5</f>
        <v>20.6892</v>
      </c>
      <c r="M83" s="37">
        <f>F83+G83+J83+K83+L83</f>
        <v>250.5692</v>
      </c>
      <c r="N83" s="37">
        <f>M83*E83</f>
        <v>5324.5955</v>
      </c>
      <c r="O83" s="86" t="str">
        <f t="shared" si="53"/>
        <v>国产优质</v>
      </c>
    </row>
    <row r="84" ht="51" customHeight="1" outlineLevel="1" spans="1:15">
      <c r="A84" s="34">
        <v>78</v>
      </c>
      <c r="B84" s="115" t="s">
        <v>95</v>
      </c>
      <c r="C84" s="115" t="s">
        <v>169</v>
      </c>
      <c r="D84" s="34" t="s">
        <v>46</v>
      </c>
      <c r="E84" s="37">
        <v>6.02</v>
      </c>
      <c r="F84" s="35">
        <f>F31</f>
        <v>68</v>
      </c>
      <c r="G84" s="35">
        <f>H84*(1+I84)</f>
        <v>57.75</v>
      </c>
      <c r="H84" s="35">
        <v>55</v>
      </c>
      <c r="I84" s="60">
        <f>I31</f>
        <v>0.05</v>
      </c>
      <c r="J84" s="35">
        <f>J31</f>
        <v>90</v>
      </c>
      <c r="K84" s="37">
        <f>(F84+G84+J84)*$K$5</f>
        <v>25.89</v>
      </c>
      <c r="L84" s="37">
        <f>(F84+G84+J84+K84)*$L$5</f>
        <v>21.7476</v>
      </c>
      <c r="M84" s="37">
        <f>F84+G84+J84+K84+L84</f>
        <v>263.3876</v>
      </c>
      <c r="N84" s="37">
        <f>M84*E84</f>
        <v>1585.593352</v>
      </c>
      <c r="O84" s="86" t="str">
        <f t="shared" si="53"/>
        <v>国产优质</v>
      </c>
    </row>
    <row r="85" ht="50" customHeight="1" outlineLevel="1" spans="1:15">
      <c r="A85" s="34">
        <v>79</v>
      </c>
      <c r="B85" s="36" t="s">
        <v>103</v>
      </c>
      <c r="C85" s="36" t="s">
        <v>104</v>
      </c>
      <c r="D85" s="34" t="s">
        <v>55</v>
      </c>
      <c r="E85" s="37">
        <v>23.82</v>
      </c>
      <c r="F85" s="35">
        <f t="shared" ref="F85:J85" si="55">F35</f>
        <v>18</v>
      </c>
      <c r="G85" s="35">
        <f t="shared" ref="G85:G90" si="56">H85*(1+I85)</f>
        <v>19.57</v>
      </c>
      <c r="H85" s="35">
        <f>H35</f>
        <v>19</v>
      </c>
      <c r="I85" s="60">
        <f t="shared" si="55"/>
        <v>0.03</v>
      </c>
      <c r="J85" s="35">
        <f t="shared" si="55"/>
        <v>4.5</v>
      </c>
      <c r="K85" s="37">
        <f>(F85+G85+J85)*$K$5</f>
        <v>5.0484</v>
      </c>
      <c r="L85" s="37">
        <f>(F85+G85+J85+K85)*$L$5</f>
        <v>4.240656</v>
      </c>
      <c r="M85" s="37">
        <f t="shared" ref="M85:M90" si="57">F85+G85+J85+K85+L85</f>
        <v>51.359056</v>
      </c>
      <c r="N85" s="37">
        <f t="shared" ref="N85:N90" si="58">M85*E85</f>
        <v>1223.37271392</v>
      </c>
      <c r="O85" s="86" t="str">
        <f t="shared" si="53"/>
        <v>国产优质</v>
      </c>
    </row>
    <row r="86" ht="50" customHeight="1" outlineLevel="1" spans="1:19">
      <c r="A86" s="34">
        <v>80</v>
      </c>
      <c r="B86" s="36" t="s">
        <v>142</v>
      </c>
      <c r="C86" s="36" t="s">
        <v>170</v>
      </c>
      <c r="D86" s="34" t="s">
        <v>46</v>
      </c>
      <c r="E86" s="37">
        <v>3.96</v>
      </c>
      <c r="F86" s="35">
        <v>110</v>
      </c>
      <c r="G86" s="35">
        <f t="shared" si="56"/>
        <v>210</v>
      </c>
      <c r="H86" s="35">
        <f>H71</f>
        <v>200</v>
      </c>
      <c r="I86" s="60">
        <f>I83</f>
        <v>0.05</v>
      </c>
      <c r="J86" s="35">
        <v>125</v>
      </c>
      <c r="K86" s="37">
        <f>(F86+G86+J86)*$K$5</f>
        <v>53.4</v>
      </c>
      <c r="L86" s="37">
        <f>(F86+G86+J86+K86)*$L$5</f>
        <v>44.856</v>
      </c>
      <c r="M86" s="37">
        <f t="shared" si="57"/>
        <v>543.256</v>
      </c>
      <c r="N86" s="37">
        <f t="shared" si="58"/>
        <v>2151.29376</v>
      </c>
      <c r="O86" s="86" t="str">
        <f t="shared" si="53"/>
        <v>国产优质</v>
      </c>
      <c r="P86" s="94"/>
      <c r="S86" s="20"/>
    </row>
    <row r="87" ht="50" customHeight="1" outlineLevel="1" spans="1:19">
      <c r="A87" s="34">
        <v>81</v>
      </c>
      <c r="B87" s="36" t="s">
        <v>114</v>
      </c>
      <c r="C87" s="36" t="s">
        <v>115</v>
      </c>
      <c r="D87" s="34" t="s">
        <v>46</v>
      </c>
      <c r="E87" s="37">
        <v>2.37</v>
      </c>
      <c r="F87" s="35">
        <v>76</v>
      </c>
      <c r="G87" s="35">
        <f t="shared" si="56"/>
        <v>299.215</v>
      </c>
      <c r="H87" s="35">
        <v>290.5</v>
      </c>
      <c r="I87" s="60">
        <f>I85</f>
        <v>0.03</v>
      </c>
      <c r="J87" s="35">
        <v>44.5</v>
      </c>
      <c r="K87" s="37">
        <f>(F87+G87+J87)*$K$5</f>
        <v>50.3658</v>
      </c>
      <c r="L87" s="37">
        <f>(F87+G87+J87+K87)*$L$5</f>
        <v>42.307272</v>
      </c>
      <c r="M87" s="37">
        <f t="shared" si="57"/>
        <v>512.388072</v>
      </c>
      <c r="N87" s="37">
        <f t="shared" si="58"/>
        <v>1214.35973064</v>
      </c>
      <c r="O87" s="86" t="str">
        <f t="shared" si="53"/>
        <v>国产优质</v>
      </c>
      <c r="P87" s="94"/>
      <c r="Q87" s="99"/>
      <c r="S87" s="20"/>
    </row>
    <row r="88" ht="50" customHeight="1" outlineLevel="1" spans="1:20">
      <c r="A88" s="34">
        <v>82</v>
      </c>
      <c r="B88" s="36" t="s">
        <v>171</v>
      </c>
      <c r="C88" s="36" t="s">
        <v>172</v>
      </c>
      <c r="D88" s="34" t="s">
        <v>94</v>
      </c>
      <c r="E88" s="37">
        <v>1</v>
      </c>
      <c r="F88" s="35">
        <v>566</v>
      </c>
      <c r="G88" s="35">
        <f t="shared" si="56"/>
        <v>1700</v>
      </c>
      <c r="H88" s="35">
        <v>1700</v>
      </c>
      <c r="I88" s="60">
        <v>0</v>
      </c>
      <c r="J88" s="35">
        <v>137.5</v>
      </c>
      <c r="K88" s="37">
        <f>(F88+G88+J88)*$K$5</f>
        <v>288.42</v>
      </c>
      <c r="L88" s="37">
        <f>(F88+G88+J88+K88)*$L$5</f>
        <v>242.2728</v>
      </c>
      <c r="M88" s="37">
        <f t="shared" si="57"/>
        <v>2934.1928</v>
      </c>
      <c r="N88" s="37">
        <f t="shared" si="58"/>
        <v>2934.1928</v>
      </c>
      <c r="O88" s="86" t="str">
        <f t="shared" si="53"/>
        <v>国产优质</v>
      </c>
      <c r="R88" s="99"/>
      <c r="T88" s="99"/>
    </row>
    <row r="89" ht="50" customHeight="1" outlineLevel="1" spans="1:18">
      <c r="A89" s="34">
        <v>83</v>
      </c>
      <c r="B89" s="36" t="s">
        <v>173</v>
      </c>
      <c r="C89" s="36" t="s">
        <v>174</v>
      </c>
      <c r="D89" s="34" t="s">
        <v>94</v>
      </c>
      <c r="E89" s="37">
        <v>1</v>
      </c>
      <c r="F89" s="35">
        <v>829</v>
      </c>
      <c r="G89" s="35">
        <f t="shared" si="56"/>
        <v>5100</v>
      </c>
      <c r="H89" s="35">
        <v>5100</v>
      </c>
      <c r="I89" s="60">
        <v>0</v>
      </c>
      <c r="J89" s="35">
        <v>484</v>
      </c>
      <c r="K89" s="37">
        <f>(F89+G89+J89)*$K$5</f>
        <v>769.56</v>
      </c>
      <c r="L89" s="37">
        <f>(F89+G89+J89+K89)*$L$5</f>
        <v>646.4304</v>
      </c>
      <c r="M89" s="37">
        <f t="shared" si="57"/>
        <v>7828.9904</v>
      </c>
      <c r="N89" s="37">
        <f t="shared" si="58"/>
        <v>7828.9904</v>
      </c>
      <c r="O89" s="86" t="str">
        <f t="shared" si="53"/>
        <v>国产优质</v>
      </c>
      <c r="R89" s="99"/>
    </row>
    <row r="90" ht="50" customHeight="1" outlineLevel="1" spans="1:15">
      <c r="A90" s="34">
        <v>84</v>
      </c>
      <c r="B90" s="36" t="s">
        <v>97</v>
      </c>
      <c r="C90" s="36" t="s">
        <v>175</v>
      </c>
      <c r="D90" s="34" t="s">
        <v>46</v>
      </c>
      <c r="E90" s="37">
        <v>1.42</v>
      </c>
      <c r="F90" s="35">
        <f t="shared" ref="F90:J90" si="59">F81</f>
        <v>115</v>
      </c>
      <c r="G90" s="35">
        <f t="shared" si="56"/>
        <v>288.4</v>
      </c>
      <c r="H90" s="35">
        <f t="shared" si="59"/>
        <v>280</v>
      </c>
      <c r="I90" s="60">
        <f t="shared" si="59"/>
        <v>0.03</v>
      </c>
      <c r="J90" s="35">
        <f t="shared" si="59"/>
        <v>96</v>
      </c>
      <c r="K90" s="37">
        <f>(F90+G90+J90)*$K$5</f>
        <v>59.928</v>
      </c>
      <c r="L90" s="37">
        <f>(F90+G90+J90+K90)*$L$5</f>
        <v>50.33952</v>
      </c>
      <c r="M90" s="37">
        <f t="shared" si="57"/>
        <v>609.66752</v>
      </c>
      <c r="N90" s="37">
        <f t="shared" si="58"/>
        <v>865.7278784</v>
      </c>
      <c r="O90" s="86" t="str">
        <f t="shared" si="53"/>
        <v>国产优质</v>
      </c>
    </row>
    <row r="91" ht="50" customHeight="1" spans="1:15">
      <c r="A91" s="34">
        <v>85</v>
      </c>
      <c r="B91" s="113" t="s">
        <v>176</v>
      </c>
      <c r="C91" s="114" t="s">
        <v>177</v>
      </c>
      <c r="D91" s="34"/>
      <c r="E91" s="37"/>
      <c r="F91" s="35"/>
      <c r="G91" s="35"/>
      <c r="H91" s="35"/>
      <c r="I91" s="60"/>
      <c r="J91" s="35"/>
      <c r="K91" s="37"/>
      <c r="L91" s="37"/>
      <c r="M91" s="95"/>
      <c r="N91" s="37">
        <f>SUM(N92:N96)</f>
        <v>18088.73802064</v>
      </c>
      <c r="O91" s="86"/>
    </row>
    <row r="92" ht="50" customHeight="1" outlineLevel="1" spans="1:15">
      <c r="A92" s="34">
        <v>86</v>
      </c>
      <c r="B92" s="36" t="s">
        <v>95</v>
      </c>
      <c r="C92" s="36" t="s">
        <v>168</v>
      </c>
      <c r="D92" s="34" t="s">
        <v>46</v>
      </c>
      <c r="E92" s="37">
        <v>14.77</v>
      </c>
      <c r="F92" s="35">
        <f t="shared" ref="F92:J92" si="60">F31</f>
        <v>68</v>
      </c>
      <c r="G92" s="35">
        <f t="shared" ref="G92:G96" si="61">H92*(1+I92)</f>
        <v>47.25</v>
      </c>
      <c r="H92" s="35">
        <f t="shared" si="60"/>
        <v>45</v>
      </c>
      <c r="I92" s="60">
        <f t="shared" si="60"/>
        <v>0.05</v>
      </c>
      <c r="J92" s="35">
        <f t="shared" si="60"/>
        <v>90</v>
      </c>
      <c r="K92" s="37">
        <f>(F92+G92+J92)*$K$5</f>
        <v>24.63</v>
      </c>
      <c r="L92" s="37">
        <f>(F92+G92+J92+K92)*$L$5</f>
        <v>20.6892</v>
      </c>
      <c r="M92" s="37">
        <f t="shared" ref="M92:M96" si="62">F92+G92+J92+K92+L92</f>
        <v>250.5692</v>
      </c>
      <c r="N92" s="37">
        <f t="shared" ref="N92:N96" si="63">M92*E92</f>
        <v>3700.907084</v>
      </c>
      <c r="O92" s="86" t="str">
        <f t="shared" ref="O92:O96" si="64">$O$26</f>
        <v>国产优质</v>
      </c>
    </row>
    <row r="93" ht="50" customHeight="1" outlineLevel="1" spans="1:15">
      <c r="A93" s="34">
        <v>87</v>
      </c>
      <c r="B93" s="36" t="s">
        <v>103</v>
      </c>
      <c r="C93" s="36" t="s">
        <v>104</v>
      </c>
      <c r="D93" s="34" t="s">
        <v>46</v>
      </c>
      <c r="E93" s="37">
        <v>3.74</v>
      </c>
      <c r="F93" s="35">
        <f t="shared" ref="F93:J93" si="65">F35</f>
        <v>18</v>
      </c>
      <c r="G93" s="35">
        <f t="shared" si="61"/>
        <v>19.57</v>
      </c>
      <c r="H93" s="35">
        <f t="shared" si="65"/>
        <v>19</v>
      </c>
      <c r="I93" s="60">
        <f t="shared" si="65"/>
        <v>0.03</v>
      </c>
      <c r="J93" s="35">
        <f t="shared" si="65"/>
        <v>4.5</v>
      </c>
      <c r="K93" s="37">
        <f>(F93+G93+J93)*$K$5</f>
        <v>5.0484</v>
      </c>
      <c r="L93" s="37">
        <f>(F93+G93+J93+K93)*$L$5</f>
        <v>4.240656</v>
      </c>
      <c r="M93" s="37">
        <f t="shared" si="62"/>
        <v>51.359056</v>
      </c>
      <c r="N93" s="37">
        <f t="shared" si="63"/>
        <v>192.08286944</v>
      </c>
      <c r="O93" s="86" t="str">
        <f t="shared" si="64"/>
        <v>国产优质</v>
      </c>
    </row>
    <row r="94" ht="50" customHeight="1" outlineLevel="1" spans="1:16">
      <c r="A94" s="34">
        <v>88</v>
      </c>
      <c r="B94" s="36" t="s">
        <v>144</v>
      </c>
      <c r="C94" s="36" t="s">
        <v>178</v>
      </c>
      <c r="D94" s="34" t="s">
        <v>94</v>
      </c>
      <c r="E94" s="37">
        <v>1</v>
      </c>
      <c r="F94" s="35">
        <v>465.7</v>
      </c>
      <c r="G94" s="35">
        <f t="shared" si="61"/>
        <v>134.5</v>
      </c>
      <c r="H94" s="35">
        <v>134.5</v>
      </c>
      <c r="I94" s="60">
        <v>0</v>
      </c>
      <c r="J94" s="35">
        <v>1185</v>
      </c>
      <c r="K94" s="37">
        <f>(F94+G94+J94)*$K$5</f>
        <v>214.224</v>
      </c>
      <c r="L94" s="37">
        <f>(F94+G94+J94+K94)*$L$5</f>
        <v>179.94816</v>
      </c>
      <c r="M94" s="37">
        <f t="shared" si="62"/>
        <v>2179.37216</v>
      </c>
      <c r="N94" s="37">
        <f t="shared" si="63"/>
        <v>2179.37216</v>
      </c>
      <c r="O94" s="86" t="str">
        <f t="shared" si="64"/>
        <v>国产优质</v>
      </c>
      <c r="P94" s="94"/>
    </row>
    <row r="95" ht="66" customHeight="1" outlineLevel="1" spans="1:18">
      <c r="A95" s="34">
        <v>89</v>
      </c>
      <c r="B95" s="36" t="s">
        <v>144</v>
      </c>
      <c r="C95" s="36" t="s">
        <v>179</v>
      </c>
      <c r="D95" s="34" t="s">
        <v>94</v>
      </c>
      <c r="E95" s="37">
        <v>1</v>
      </c>
      <c r="F95" s="35">
        <v>982</v>
      </c>
      <c r="G95" s="35">
        <f t="shared" si="61"/>
        <v>6300</v>
      </c>
      <c r="H95" s="35">
        <v>6300</v>
      </c>
      <c r="I95" s="60">
        <v>0</v>
      </c>
      <c r="J95" s="35">
        <v>1757</v>
      </c>
      <c r="K95" s="37">
        <f>(F95+G95+J95)*$K$5</f>
        <v>1084.68</v>
      </c>
      <c r="L95" s="37">
        <f>(F95+G95+J95+K95)*$L$5</f>
        <v>911.1312</v>
      </c>
      <c r="M95" s="37">
        <f t="shared" si="62"/>
        <v>11034.8112</v>
      </c>
      <c r="N95" s="37">
        <f t="shared" si="63"/>
        <v>11034.8112</v>
      </c>
      <c r="O95" s="86" t="str">
        <f t="shared" si="64"/>
        <v>国产优质</v>
      </c>
      <c r="P95" s="94"/>
      <c r="R95" s="99"/>
    </row>
    <row r="96" ht="50" customHeight="1" outlineLevel="1" spans="1:15">
      <c r="A96" s="34">
        <v>90</v>
      </c>
      <c r="B96" s="36" t="s">
        <v>97</v>
      </c>
      <c r="C96" s="36" t="s">
        <v>120</v>
      </c>
      <c r="D96" s="34" t="s">
        <v>46</v>
      </c>
      <c r="E96" s="37">
        <v>1.61</v>
      </c>
      <c r="F96" s="35">
        <f t="shared" ref="F96:J96" si="66">F90</f>
        <v>115</v>
      </c>
      <c r="G96" s="35">
        <f t="shared" si="61"/>
        <v>288.4</v>
      </c>
      <c r="H96" s="35">
        <f t="shared" si="66"/>
        <v>280</v>
      </c>
      <c r="I96" s="35">
        <f t="shared" si="66"/>
        <v>0.03</v>
      </c>
      <c r="J96" s="35">
        <f t="shared" si="66"/>
        <v>96</v>
      </c>
      <c r="K96" s="37">
        <f>(F96+G96+J96)*$K$5</f>
        <v>59.928</v>
      </c>
      <c r="L96" s="37">
        <f>(F96+G96+J96+K96)*$L$5</f>
        <v>50.33952</v>
      </c>
      <c r="M96" s="37">
        <f t="shared" si="62"/>
        <v>609.66752</v>
      </c>
      <c r="N96" s="37">
        <f t="shared" si="63"/>
        <v>981.5647072</v>
      </c>
      <c r="O96" s="86" t="str">
        <f t="shared" si="64"/>
        <v>国产优质</v>
      </c>
    </row>
    <row r="97" ht="70" customHeight="1" spans="1:15">
      <c r="A97" s="34">
        <v>91</v>
      </c>
      <c r="B97" s="82" t="s">
        <v>180</v>
      </c>
      <c r="C97" s="116"/>
      <c r="D97" s="117"/>
      <c r="E97" s="117"/>
      <c r="F97" s="35"/>
      <c r="G97" s="35"/>
      <c r="H97" s="35"/>
      <c r="I97" s="60"/>
      <c r="J97" s="35"/>
      <c r="K97" s="37"/>
      <c r="L97" s="37"/>
      <c r="M97" s="95"/>
      <c r="N97" s="37">
        <f>SUM(N98:N104)</f>
        <v>4786.59980512</v>
      </c>
      <c r="O97" s="117"/>
    </row>
    <row r="98" ht="49" customHeight="1" outlineLevel="1" spans="1:15">
      <c r="A98" s="34">
        <v>92</v>
      </c>
      <c r="B98" s="118" t="s">
        <v>181</v>
      </c>
      <c r="C98" s="111" t="s">
        <v>182</v>
      </c>
      <c r="D98" s="83" t="s">
        <v>183</v>
      </c>
      <c r="E98" s="83">
        <f>2.32*0.08</f>
        <v>0.1856</v>
      </c>
      <c r="F98" s="35">
        <v>680</v>
      </c>
      <c r="G98" s="35">
        <f t="shared" ref="G98:G104" si="67">H98*(1+I98)</f>
        <v>0</v>
      </c>
      <c r="H98" s="35">
        <v>0</v>
      </c>
      <c r="I98" s="60">
        <v>0</v>
      </c>
      <c r="J98" s="35">
        <v>39</v>
      </c>
      <c r="K98" s="37">
        <f>(F98+G98+J98)*$K$5</f>
        <v>86.28</v>
      </c>
      <c r="L98" s="37">
        <f>(F98+G98+J98+K98)*$L$5</f>
        <v>72.4752</v>
      </c>
      <c r="M98" s="37">
        <f t="shared" ref="M98:M104" si="68">F98+G98+J98+K98+L98</f>
        <v>877.7552</v>
      </c>
      <c r="N98" s="37">
        <f t="shared" ref="N98:N104" si="69">M98*E98</f>
        <v>162.91136512</v>
      </c>
      <c r="O98" s="117"/>
    </row>
    <row r="99" ht="46" customHeight="1" outlineLevel="1" spans="1:15">
      <c r="A99" s="34">
        <v>93</v>
      </c>
      <c r="B99" s="118" t="s">
        <v>184</v>
      </c>
      <c r="C99" s="111" t="s">
        <v>185</v>
      </c>
      <c r="D99" s="83" t="s">
        <v>183</v>
      </c>
      <c r="E99" s="83">
        <v>2.73</v>
      </c>
      <c r="F99" s="35">
        <v>300</v>
      </c>
      <c r="G99" s="35">
        <f t="shared" si="67"/>
        <v>0</v>
      </c>
      <c r="H99" s="35">
        <v>0</v>
      </c>
      <c r="I99" s="60">
        <v>0</v>
      </c>
      <c r="J99" s="35">
        <v>34</v>
      </c>
      <c r="K99" s="37">
        <f>(F99+G99+J99)*$K$5</f>
        <v>40.08</v>
      </c>
      <c r="L99" s="37">
        <f>(F99+G99+J99+K99)*$L$5</f>
        <v>33.6672</v>
      </c>
      <c r="M99" s="37">
        <f t="shared" si="68"/>
        <v>407.7472</v>
      </c>
      <c r="N99" s="37">
        <f t="shared" si="69"/>
        <v>1113.149856</v>
      </c>
      <c r="O99" s="117"/>
    </row>
    <row r="100" ht="56" customHeight="1" outlineLevel="1" spans="1:15">
      <c r="A100" s="34">
        <v>94</v>
      </c>
      <c r="B100" s="118" t="s">
        <v>186</v>
      </c>
      <c r="C100" s="111" t="s">
        <v>187</v>
      </c>
      <c r="D100" s="83" t="s">
        <v>46</v>
      </c>
      <c r="E100" s="83">
        <f>(1.05+0.8*2+0.4)*2.7</f>
        <v>8.235</v>
      </c>
      <c r="F100" s="35">
        <v>17</v>
      </c>
      <c r="G100" s="35">
        <f t="shared" si="67"/>
        <v>0</v>
      </c>
      <c r="H100" s="35">
        <v>0</v>
      </c>
      <c r="I100" s="60">
        <v>0</v>
      </c>
      <c r="J100" s="35">
        <v>0</v>
      </c>
      <c r="K100" s="37">
        <f>(F100+G100+J100)*$K$5</f>
        <v>2.04</v>
      </c>
      <c r="L100" s="37">
        <f>(F100+G100+J100+K100)*$L$5</f>
        <v>1.7136</v>
      </c>
      <c r="M100" s="37">
        <f t="shared" si="68"/>
        <v>20.7536</v>
      </c>
      <c r="N100" s="37">
        <f t="shared" si="69"/>
        <v>170.905896</v>
      </c>
      <c r="O100" s="117"/>
    </row>
    <row r="101" ht="56" customHeight="1" outlineLevel="1" spans="1:17">
      <c r="A101" s="34">
        <v>95</v>
      </c>
      <c r="B101" s="118" t="s">
        <v>188</v>
      </c>
      <c r="C101" s="111" t="s">
        <v>189</v>
      </c>
      <c r="D101" s="83" t="s">
        <v>10</v>
      </c>
      <c r="E101" s="84">
        <v>1</v>
      </c>
      <c r="F101" s="35">
        <v>891</v>
      </c>
      <c r="G101" s="35">
        <f t="shared" si="67"/>
        <v>1090</v>
      </c>
      <c r="H101" s="35">
        <v>1090</v>
      </c>
      <c r="I101" s="60">
        <v>0</v>
      </c>
      <c r="J101" s="35">
        <v>200</v>
      </c>
      <c r="K101" s="37">
        <f>(F101+G101+J101)*$K$5</f>
        <v>261.72</v>
      </c>
      <c r="L101" s="37">
        <f>(F101+G101+J101+K101)*$L$5</f>
        <v>219.8448</v>
      </c>
      <c r="M101" s="37">
        <f t="shared" si="68"/>
        <v>2662.5648</v>
      </c>
      <c r="N101" s="37">
        <f t="shared" si="69"/>
        <v>2662.5648</v>
      </c>
      <c r="O101" s="86" t="str">
        <f>$O$26</f>
        <v>国产优质</v>
      </c>
      <c r="P101" s="96" t="s">
        <v>190</v>
      </c>
      <c r="Q101" s="100"/>
    </row>
    <row r="102" ht="75" customHeight="1" outlineLevel="1" spans="1:18">
      <c r="A102" s="34">
        <v>96</v>
      </c>
      <c r="B102" s="119" t="s">
        <v>191</v>
      </c>
      <c r="C102" s="120" t="s">
        <v>192</v>
      </c>
      <c r="D102" s="83" t="s">
        <v>46</v>
      </c>
      <c r="E102" s="84">
        <f>5.4*2.3</f>
        <v>12.42</v>
      </c>
      <c r="F102" s="35"/>
      <c r="G102" s="35"/>
      <c r="H102" s="35"/>
      <c r="I102" s="60"/>
      <c r="J102" s="35"/>
      <c r="K102" s="37">
        <f>(F102+G102+J102)*$K$5</f>
        <v>0</v>
      </c>
      <c r="L102" s="37">
        <f>(F102+G102+J102+K102)*$L$5</f>
        <v>0</v>
      </c>
      <c r="M102" s="37">
        <f t="shared" si="68"/>
        <v>0</v>
      </c>
      <c r="N102" s="37">
        <f t="shared" si="69"/>
        <v>0</v>
      </c>
      <c r="O102" s="86" t="str">
        <f>$O$26</f>
        <v>国产优质</v>
      </c>
      <c r="P102" s="96" t="s">
        <v>193</v>
      </c>
      <c r="R102" s="100"/>
    </row>
    <row r="103" ht="51" customHeight="1" outlineLevel="1" spans="1:15">
      <c r="A103" s="34">
        <v>97</v>
      </c>
      <c r="B103" s="121" t="s">
        <v>194</v>
      </c>
      <c r="C103" s="115" t="s">
        <v>195</v>
      </c>
      <c r="D103" s="122" t="s">
        <v>94</v>
      </c>
      <c r="E103" s="123">
        <v>2</v>
      </c>
      <c r="F103" s="35">
        <v>15</v>
      </c>
      <c r="G103" s="35">
        <f t="shared" si="67"/>
        <v>169.87</v>
      </c>
      <c r="H103" s="35">
        <v>169.87</v>
      </c>
      <c r="I103" s="60">
        <v>0</v>
      </c>
      <c r="J103" s="35">
        <v>0</v>
      </c>
      <c r="K103" s="37">
        <f>(F103+G103+J103)*$K$5</f>
        <v>22.1844</v>
      </c>
      <c r="L103" s="37">
        <f>(F103+G103+J103+K103)*$L$5</f>
        <v>18.634896</v>
      </c>
      <c r="M103" s="37">
        <f t="shared" si="68"/>
        <v>225.689296</v>
      </c>
      <c r="N103" s="37">
        <f t="shared" si="69"/>
        <v>451.378592</v>
      </c>
      <c r="O103" s="125" t="s">
        <v>196</v>
      </c>
    </row>
    <row r="104" ht="57" customHeight="1" outlineLevel="1" spans="1:15">
      <c r="A104" s="34">
        <v>98</v>
      </c>
      <c r="B104" s="121" t="s">
        <v>197</v>
      </c>
      <c r="C104" s="115" t="s">
        <v>198</v>
      </c>
      <c r="D104" s="122" t="s">
        <v>94</v>
      </c>
      <c r="E104" s="123">
        <v>1</v>
      </c>
      <c r="F104" s="35">
        <f>F103</f>
        <v>15</v>
      </c>
      <c r="G104" s="35">
        <f t="shared" si="67"/>
        <v>169.87</v>
      </c>
      <c r="H104" s="35">
        <f>H103</f>
        <v>169.87</v>
      </c>
      <c r="I104" s="60">
        <v>0</v>
      </c>
      <c r="J104" s="35">
        <v>0</v>
      </c>
      <c r="K104" s="37">
        <f>(F104+G104+J104)*$K$5</f>
        <v>22.1844</v>
      </c>
      <c r="L104" s="37">
        <f>(F104+G104+J104+K104)*$L$5</f>
        <v>18.634896</v>
      </c>
      <c r="M104" s="37">
        <f t="shared" si="68"/>
        <v>225.689296</v>
      </c>
      <c r="N104" s="37">
        <f t="shared" si="69"/>
        <v>225.689296</v>
      </c>
      <c r="O104" s="125" t="s">
        <v>196</v>
      </c>
    </row>
    <row r="105" ht="70" customHeight="1" spans="1:15">
      <c r="A105" s="34">
        <v>99</v>
      </c>
      <c r="B105" s="118"/>
      <c r="C105" s="118" t="s">
        <v>21</v>
      </c>
      <c r="D105" s="83"/>
      <c r="E105" s="83"/>
      <c r="F105" s="35"/>
      <c r="G105" s="35"/>
      <c r="H105" s="35"/>
      <c r="I105" s="60"/>
      <c r="J105" s="35"/>
      <c r="K105" s="37"/>
      <c r="L105" s="37"/>
      <c r="M105" s="37"/>
      <c r="N105" s="37">
        <f>N97+N28+N15+N6</f>
        <v>274789.370917757</v>
      </c>
      <c r="O105" s="117"/>
    </row>
  </sheetData>
  <autoFilter ref="A4:O105">
    <extLst/>
  </autoFilter>
  <mergeCells count="15">
    <mergeCell ref="A1:O1"/>
    <mergeCell ref="A2:F2"/>
    <mergeCell ref="G2:M2"/>
    <mergeCell ref="N2:O2"/>
    <mergeCell ref="F3:L3"/>
    <mergeCell ref="A3:A5"/>
    <mergeCell ref="B3:B5"/>
    <mergeCell ref="C3:C5"/>
    <mergeCell ref="D3:D5"/>
    <mergeCell ref="E3:E5"/>
    <mergeCell ref="F4:F5"/>
    <mergeCell ref="J4:J5"/>
    <mergeCell ref="M3:M5"/>
    <mergeCell ref="N3:N5"/>
    <mergeCell ref="O3:O5"/>
  </mergeCells>
  <printOptions horizontalCentered="1"/>
  <pageMargins left="0.393055555555556" right="0.393055555555556" top="0.393055555555556" bottom="0.393055555555556" header="0.5" footer="0.5"/>
  <pageSetup paperSize="9" scale="51" fitToHeight="0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3"/>
  <sheetViews>
    <sheetView view="pageBreakPreview" zoomScaleNormal="100" workbookViewId="0">
      <pane ySplit="5" topLeftCell="A6" activePane="bottomLeft" state="frozen"/>
      <selection/>
      <selection pane="bottomLeft" activeCell="T10" sqref="$A1:$XFD1048576"/>
    </sheetView>
  </sheetViews>
  <sheetFormatPr defaultColWidth="9.00952380952381" defaultRowHeight="11.25"/>
  <cols>
    <col min="1" max="1" width="5.59047619047619" style="22" customWidth="1"/>
    <col min="2" max="2" width="9.35238095238095" style="23" customWidth="1"/>
    <col min="3" max="3" width="31.647619047619" style="24" customWidth="1"/>
    <col min="4" max="4" width="6.23809523809524" style="25" customWidth="1"/>
    <col min="5" max="5" width="7.11428571428571" style="25" customWidth="1"/>
    <col min="6" max="6" width="11.5333333333333" style="26" customWidth="1"/>
    <col min="7" max="7" width="9.11428571428571" style="24" customWidth="1"/>
    <col min="8" max="8" width="9.11428571428571" style="26" customWidth="1"/>
    <col min="9" max="10" width="7.27619047619048" style="24" customWidth="1"/>
    <col min="11" max="11" width="11.4285714285714" style="24" customWidth="1"/>
    <col min="12" max="12" width="9.11428571428571" style="24" customWidth="1"/>
    <col min="13" max="13" width="9.43809523809524" style="25" customWidth="1"/>
    <col min="14" max="14" width="9.99047619047619" style="25" customWidth="1"/>
    <col min="15" max="15" width="9" style="27" customWidth="1"/>
    <col min="16" max="17" width="9.00952380952381" style="28" customWidth="1"/>
    <col min="18" max="18" width="11" style="19" customWidth="1"/>
    <col min="19" max="19" width="9.00952380952381" style="19"/>
    <col min="20" max="20" width="11" style="19"/>
    <col min="21" max="16384" width="9.00952380952381" style="19"/>
  </cols>
  <sheetData>
    <row r="1" s="19" customFormat="1" ht="25.5" spans="1:17">
      <c r="A1" s="29" t="s">
        <v>199</v>
      </c>
      <c r="B1" s="30"/>
      <c r="C1" s="31"/>
      <c r="D1" s="31"/>
      <c r="E1" s="31"/>
      <c r="F1" s="32"/>
      <c r="G1" s="31"/>
      <c r="H1" s="32"/>
      <c r="I1" s="31"/>
      <c r="J1" s="31"/>
      <c r="K1" s="31"/>
      <c r="L1" s="31"/>
      <c r="M1" s="31"/>
      <c r="N1" s="31"/>
      <c r="O1" s="27"/>
      <c r="P1" s="28"/>
      <c r="Q1" s="28"/>
    </row>
    <row r="2" s="20" customFormat="1" ht="19" customHeight="1" spans="1:17">
      <c r="A2" s="33" t="s">
        <v>25</v>
      </c>
      <c r="B2" s="34" t="s">
        <v>26</v>
      </c>
      <c r="C2" s="34" t="s">
        <v>27</v>
      </c>
      <c r="D2" s="34" t="s">
        <v>3</v>
      </c>
      <c r="E2" s="34" t="s">
        <v>28</v>
      </c>
      <c r="F2" s="35" t="s">
        <v>29</v>
      </c>
      <c r="G2" s="34"/>
      <c r="H2" s="35"/>
      <c r="I2" s="34"/>
      <c r="J2" s="34"/>
      <c r="K2" s="34"/>
      <c r="L2" s="34"/>
      <c r="M2" s="34" t="s">
        <v>30</v>
      </c>
      <c r="N2" s="53" t="s">
        <v>31</v>
      </c>
      <c r="O2" s="53" t="s">
        <v>32</v>
      </c>
      <c r="P2" s="54"/>
      <c r="Q2" s="54"/>
    </row>
    <row r="3" s="20" customFormat="1" ht="29" customHeight="1" spans="1:17">
      <c r="A3" s="34"/>
      <c r="B3" s="36"/>
      <c r="C3" s="36"/>
      <c r="D3" s="34"/>
      <c r="E3" s="37"/>
      <c r="F3" s="35" t="s">
        <v>33</v>
      </c>
      <c r="G3" s="34" t="s">
        <v>34</v>
      </c>
      <c r="H3" s="35" t="s">
        <v>35</v>
      </c>
      <c r="I3" s="34" t="s">
        <v>36</v>
      </c>
      <c r="J3" s="55" t="s">
        <v>37</v>
      </c>
      <c r="K3" s="34" t="s">
        <v>38</v>
      </c>
      <c r="L3" s="34" t="s">
        <v>39</v>
      </c>
      <c r="M3" s="56"/>
      <c r="N3" s="36"/>
      <c r="O3" s="36"/>
      <c r="P3" s="54"/>
      <c r="Q3" s="54"/>
    </row>
    <row r="4" s="20" customFormat="1" ht="39" customHeight="1" spans="1:17">
      <c r="A4" s="34"/>
      <c r="B4" s="36"/>
      <c r="C4" s="36"/>
      <c r="D4" s="34"/>
      <c r="E4" s="37"/>
      <c r="F4" s="35"/>
      <c r="G4" s="34" t="s">
        <v>40</v>
      </c>
      <c r="H4" s="35" t="s">
        <v>41</v>
      </c>
      <c r="I4" s="34" t="s">
        <v>42</v>
      </c>
      <c r="J4" s="57"/>
      <c r="K4" s="34"/>
      <c r="L4" s="34"/>
      <c r="M4" s="56"/>
      <c r="N4" s="36"/>
      <c r="O4" s="36"/>
      <c r="P4" s="54"/>
      <c r="Q4" s="54"/>
    </row>
    <row r="5" s="19" customFormat="1" ht="20" customHeight="1" spans="1:17">
      <c r="A5" s="33"/>
      <c r="B5" s="34"/>
      <c r="C5" s="34"/>
      <c r="D5" s="34"/>
      <c r="E5" s="34"/>
      <c r="F5" s="38" t="s">
        <v>200</v>
      </c>
      <c r="G5" s="39" t="s">
        <v>201</v>
      </c>
      <c r="H5" s="38" t="s">
        <v>202</v>
      </c>
      <c r="I5" s="58"/>
      <c r="J5" s="59"/>
      <c r="K5" s="60">
        <f>'02、样板间装饰工程'!K5</f>
        <v>0.12</v>
      </c>
      <c r="L5" s="60">
        <f>'02、样板间装饰工程'!L5</f>
        <v>0.09</v>
      </c>
      <c r="M5" s="61"/>
      <c r="N5" s="53"/>
      <c r="O5" s="53"/>
      <c r="P5" s="28"/>
      <c r="Q5" s="28"/>
    </row>
    <row r="6" s="19" customFormat="1" ht="19" customHeight="1" spans="1:17">
      <c r="A6" s="33" t="s">
        <v>7</v>
      </c>
      <c r="B6" s="36" t="s">
        <v>203</v>
      </c>
      <c r="C6" s="36"/>
      <c r="D6" s="34"/>
      <c r="E6" s="34"/>
      <c r="F6" s="40"/>
      <c r="G6" s="41"/>
      <c r="H6" s="40"/>
      <c r="I6" s="41"/>
      <c r="J6" s="41"/>
      <c r="K6" s="41"/>
      <c r="L6" s="41"/>
      <c r="M6" s="37"/>
      <c r="N6" s="37">
        <f>N7+N43</f>
        <v>53541.046605088</v>
      </c>
      <c r="O6" s="41"/>
      <c r="P6" s="28"/>
      <c r="Q6" s="28"/>
    </row>
    <row r="7" s="19" customFormat="1" ht="19" customHeight="1" spans="1:17">
      <c r="A7" s="33" t="s">
        <v>204</v>
      </c>
      <c r="B7" s="42" t="s">
        <v>205</v>
      </c>
      <c r="C7" s="43"/>
      <c r="D7" s="34"/>
      <c r="E7" s="34"/>
      <c r="F7" s="40"/>
      <c r="G7" s="41"/>
      <c r="H7" s="40"/>
      <c r="I7" s="41"/>
      <c r="J7" s="41"/>
      <c r="K7" s="41"/>
      <c r="L7" s="41"/>
      <c r="M7" s="37"/>
      <c r="N7" s="37">
        <f>SUM(N8:N42)</f>
        <v>42015.742381088</v>
      </c>
      <c r="O7" s="41"/>
      <c r="P7" s="28"/>
      <c r="Q7" s="28"/>
    </row>
    <row r="8" s="19" customFormat="1" ht="45" spans="1:17">
      <c r="A8" s="33" t="s">
        <v>206</v>
      </c>
      <c r="B8" s="44" t="s">
        <v>207</v>
      </c>
      <c r="C8" s="44" t="s">
        <v>208</v>
      </c>
      <c r="D8" s="45" t="s">
        <v>55</v>
      </c>
      <c r="E8" s="34">
        <f>188+40</f>
        <v>228</v>
      </c>
      <c r="F8" s="35">
        <v>9.8</v>
      </c>
      <c r="G8" s="37">
        <f t="shared" ref="G8:G13" si="0">H8*(1+I8)</f>
        <v>1.2</v>
      </c>
      <c r="H8" s="35">
        <v>1.2</v>
      </c>
      <c r="I8" s="60">
        <v>0</v>
      </c>
      <c r="J8" s="37">
        <v>0</v>
      </c>
      <c r="K8" s="37">
        <f>(F8+G8+J8)*$K$5</f>
        <v>1.32</v>
      </c>
      <c r="L8" s="37">
        <f>(F8+G8+J8+K8)*$L$5</f>
        <v>1.1088</v>
      </c>
      <c r="M8" s="37">
        <f t="shared" ref="M8:M13" si="1">F8+G8+J8+K8+L8</f>
        <v>13.4288</v>
      </c>
      <c r="N8" s="37">
        <f t="shared" ref="N8:N13" si="2">M8*E8</f>
        <v>3061.7664</v>
      </c>
      <c r="O8" s="62" t="s">
        <v>209</v>
      </c>
      <c r="P8" s="28"/>
      <c r="Q8" s="28"/>
    </row>
    <row r="9" s="19" customFormat="1" ht="48" customHeight="1" spans="1:17">
      <c r="A9" s="33" t="s">
        <v>210</v>
      </c>
      <c r="B9" s="44" t="s">
        <v>207</v>
      </c>
      <c r="C9" s="44" t="s">
        <v>211</v>
      </c>
      <c r="D9" s="45" t="s">
        <v>55</v>
      </c>
      <c r="E9" s="34">
        <f>E12/3</f>
        <v>137.9</v>
      </c>
      <c r="F9" s="35">
        <f>F8</f>
        <v>9.8</v>
      </c>
      <c r="G9" s="37">
        <f t="shared" si="0"/>
        <v>1.7</v>
      </c>
      <c r="H9" s="35">
        <v>1.7</v>
      </c>
      <c r="I9" s="60">
        <v>0</v>
      </c>
      <c r="J9" s="37">
        <v>0</v>
      </c>
      <c r="K9" s="37">
        <f>(F9+G9+J9)*$K$5</f>
        <v>1.38</v>
      </c>
      <c r="L9" s="37">
        <f>(F9+G9+J9+K9)*$L$5</f>
        <v>1.1592</v>
      </c>
      <c r="M9" s="37">
        <f t="shared" si="1"/>
        <v>14.0392</v>
      </c>
      <c r="N9" s="37">
        <f t="shared" si="2"/>
        <v>1936.00568</v>
      </c>
      <c r="O9" s="62" t="str">
        <f>O8</f>
        <v>联塑、保利</v>
      </c>
      <c r="P9" s="28"/>
      <c r="Q9" s="28"/>
    </row>
    <row r="10" s="19" customFormat="1" ht="48" customHeight="1" spans="1:17">
      <c r="A10" s="33" t="s">
        <v>212</v>
      </c>
      <c r="B10" s="44" t="s">
        <v>207</v>
      </c>
      <c r="C10" s="44" t="s">
        <v>213</v>
      </c>
      <c r="D10" s="45" t="s">
        <v>55</v>
      </c>
      <c r="E10" s="34">
        <f>10</f>
        <v>10</v>
      </c>
      <c r="F10" s="35">
        <f>F8</f>
        <v>9.8</v>
      </c>
      <c r="G10" s="37">
        <f t="shared" si="0"/>
        <v>2</v>
      </c>
      <c r="H10" s="35">
        <v>2</v>
      </c>
      <c r="I10" s="60">
        <v>0</v>
      </c>
      <c r="J10" s="37">
        <v>0</v>
      </c>
      <c r="K10" s="37">
        <f>(F10+G10+J10)*$K$5</f>
        <v>1.416</v>
      </c>
      <c r="L10" s="37">
        <f>(F10+G10+J10+K10)*$L$5</f>
        <v>1.18944</v>
      </c>
      <c r="M10" s="37">
        <f t="shared" si="1"/>
        <v>14.40544</v>
      </c>
      <c r="N10" s="37">
        <f t="shared" si="2"/>
        <v>144.0544</v>
      </c>
      <c r="O10" s="62" t="str">
        <f>O8</f>
        <v>联塑、保利</v>
      </c>
      <c r="P10" s="28"/>
      <c r="Q10" s="28"/>
    </row>
    <row r="11" s="19" customFormat="1" ht="41" customHeight="1" spans="1:17">
      <c r="A11" s="33" t="s">
        <v>214</v>
      </c>
      <c r="B11" s="36" t="s">
        <v>215</v>
      </c>
      <c r="C11" s="46" t="s">
        <v>216</v>
      </c>
      <c r="D11" s="45" t="s">
        <v>55</v>
      </c>
      <c r="E11" s="34">
        <f>565.6+119</f>
        <v>684.6</v>
      </c>
      <c r="F11" s="35">
        <v>1.57</v>
      </c>
      <c r="G11" s="37">
        <f t="shared" si="0"/>
        <v>2.583</v>
      </c>
      <c r="H11" s="35">
        <v>2.46</v>
      </c>
      <c r="I11" s="60">
        <v>0.05</v>
      </c>
      <c r="J11" s="37">
        <v>0</v>
      </c>
      <c r="K11" s="37">
        <f>(F11+G11+J11)*$K$5</f>
        <v>0.49836</v>
      </c>
      <c r="L11" s="37">
        <f>(F11+G11+J11+K11)*$L$5</f>
        <v>0.4186224</v>
      </c>
      <c r="M11" s="37">
        <f t="shared" si="1"/>
        <v>5.0699824</v>
      </c>
      <c r="N11" s="37">
        <f t="shared" si="2"/>
        <v>3470.90995104</v>
      </c>
      <c r="O11" s="62" t="s">
        <v>217</v>
      </c>
      <c r="P11" s="28"/>
      <c r="Q11" s="28"/>
    </row>
    <row r="12" s="19" customFormat="1" ht="41" customHeight="1" spans="1:17">
      <c r="A12" s="33" t="s">
        <v>218</v>
      </c>
      <c r="B12" s="36" t="s">
        <v>215</v>
      </c>
      <c r="C12" s="46" t="s">
        <v>219</v>
      </c>
      <c r="D12" s="45" t="s">
        <v>55</v>
      </c>
      <c r="E12" s="34">
        <v>413.7</v>
      </c>
      <c r="F12" s="35">
        <f>F11</f>
        <v>1.57</v>
      </c>
      <c r="G12" s="37">
        <f t="shared" si="0"/>
        <v>3.885</v>
      </c>
      <c r="H12" s="35">
        <v>3.7</v>
      </c>
      <c r="I12" s="60">
        <f>I11</f>
        <v>0.05</v>
      </c>
      <c r="J12" s="37">
        <v>0</v>
      </c>
      <c r="K12" s="37">
        <f>(F12+G12+J12)*$K$5</f>
        <v>0.6546</v>
      </c>
      <c r="L12" s="37">
        <f>(F12+G12+J12+K12)*$L$5</f>
        <v>0.549864</v>
      </c>
      <c r="M12" s="37">
        <f t="shared" si="1"/>
        <v>6.659464</v>
      </c>
      <c r="N12" s="37">
        <f t="shared" si="2"/>
        <v>2755.0202568</v>
      </c>
      <c r="O12" s="62" t="s">
        <v>217</v>
      </c>
      <c r="P12" s="28"/>
      <c r="Q12" s="28"/>
    </row>
    <row r="13" s="19" customFormat="1" ht="41" customHeight="1" spans="1:17">
      <c r="A13" s="33" t="s">
        <v>220</v>
      </c>
      <c r="B13" s="36" t="s">
        <v>215</v>
      </c>
      <c r="C13" s="46" t="s">
        <v>221</v>
      </c>
      <c r="D13" s="45" t="s">
        <v>55</v>
      </c>
      <c r="E13" s="34">
        <v>31.07</v>
      </c>
      <c r="F13" s="35">
        <f>F11</f>
        <v>1.57</v>
      </c>
      <c r="G13" s="37">
        <f t="shared" si="0"/>
        <v>9.828</v>
      </c>
      <c r="H13" s="35">
        <v>9.36</v>
      </c>
      <c r="I13" s="60">
        <f>I11</f>
        <v>0.05</v>
      </c>
      <c r="J13" s="37">
        <v>0</v>
      </c>
      <c r="K13" s="37">
        <f>(F13+G13+J13)*$K$5</f>
        <v>1.36776</v>
      </c>
      <c r="L13" s="37">
        <f>(F13+G13+J13+K13)*$L$5</f>
        <v>1.1489184</v>
      </c>
      <c r="M13" s="37">
        <f t="shared" si="1"/>
        <v>13.9146784</v>
      </c>
      <c r="N13" s="37">
        <f t="shared" si="2"/>
        <v>432.329057888</v>
      </c>
      <c r="O13" s="62" t="s">
        <v>217</v>
      </c>
      <c r="P13" s="28"/>
      <c r="Q13" s="28"/>
    </row>
    <row r="14" s="19" customFormat="1" ht="45" spans="1:17">
      <c r="A14" s="33" t="s">
        <v>222</v>
      </c>
      <c r="B14" s="36" t="s">
        <v>223</v>
      </c>
      <c r="C14" s="46" t="s">
        <v>224</v>
      </c>
      <c r="D14" s="34" t="s">
        <v>225</v>
      </c>
      <c r="E14" s="34">
        <v>5</v>
      </c>
      <c r="F14" s="35">
        <v>11</v>
      </c>
      <c r="G14" s="37">
        <f t="shared" ref="G14:G45" si="3">H14*(1+I14)</f>
        <v>133.2897</v>
      </c>
      <c r="H14" s="37">
        <v>131.97</v>
      </c>
      <c r="I14" s="60">
        <v>0.01</v>
      </c>
      <c r="J14" s="37">
        <v>0</v>
      </c>
      <c r="K14" s="37">
        <f t="shared" ref="K14:K45" si="4">(F14+G14+J14)*$K$5</f>
        <v>17.314764</v>
      </c>
      <c r="L14" s="37">
        <f t="shared" ref="L14:L45" si="5">(F14+G14+J14+K14)*$L$5</f>
        <v>14.54440176</v>
      </c>
      <c r="M14" s="37">
        <f t="shared" ref="M14:M45" si="6">F14+G14+J14+K14+L14</f>
        <v>176.14886576</v>
      </c>
      <c r="N14" s="37">
        <f t="shared" ref="N14:N45" si="7">M14*E14</f>
        <v>880.7443288</v>
      </c>
      <c r="O14" s="62" t="s">
        <v>226</v>
      </c>
      <c r="P14" s="28"/>
      <c r="Q14" s="28"/>
    </row>
    <row r="15" s="19" customFormat="1" ht="45" spans="1:17">
      <c r="A15" s="33" t="s">
        <v>227</v>
      </c>
      <c r="B15" s="36" t="s">
        <v>223</v>
      </c>
      <c r="C15" s="46" t="s">
        <v>228</v>
      </c>
      <c r="D15" s="34" t="s">
        <v>225</v>
      </c>
      <c r="E15" s="34">
        <v>2</v>
      </c>
      <c r="F15" s="35">
        <f t="shared" ref="F15:F29" si="8">$F$14</f>
        <v>11</v>
      </c>
      <c r="G15" s="37">
        <f t="shared" si="3"/>
        <v>150.0557</v>
      </c>
      <c r="H15" s="37">
        <v>148.57</v>
      </c>
      <c r="I15" s="60">
        <f t="shared" ref="I15:I29" si="9">$I$14</f>
        <v>0.01</v>
      </c>
      <c r="J15" s="37">
        <v>0</v>
      </c>
      <c r="K15" s="37">
        <f t="shared" si="4"/>
        <v>19.326684</v>
      </c>
      <c r="L15" s="37">
        <f t="shared" si="5"/>
        <v>16.23441456</v>
      </c>
      <c r="M15" s="37">
        <f t="shared" si="6"/>
        <v>196.61679856</v>
      </c>
      <c r="N15" s="37">
        <f t="shared" si="7"/>
        <v>393.23359712</v>
      </c>
      <c r="O15" s="62" t="str">
        <f t="shared" ref="O15:O18" si="10">$O$14</f>
        <v>易来，苏米</v>
      </c>
      <c r="P15" s="28"/>
      <c r="Q15" s="28"/>
    </row>
    <row r="16" s="19" customFormat="1" ht="45" spans="1:17">
      <c r="A16" s="33" t="s">
        <v>229</v>
      </c>
      <c r="B16" s="36" t="s">
        <v>223</v>
      </c>
      <c r="C16" s="46" t="s">
        <v>230</v>
      </c>
      <c r="D16" s="34" t="s">
        <v>225</v>
      </c>
      <c r="E16" s="34">
        <v>4</v>
      </c>
      <c r="F16" s="35">
        <f t="shared" si="8"/>
        <v>11</v>
      </c>
      <c r="G16" s="37">
        <f t="shared" si="3"/>
        <v>158.4387</v>
      </c>
      <c r="H16" s="37">
        <v>156.87</v>
      </c>
      <c r="I16" s="60">
        <f t="shared" si="9"/>
        <v>0.01</v>
      </c>
      <c r="J16" s="37">
        <v>0</v>
      </c>
      <c r="K16" s="37">
        <f t="shared" si="4"/>
        <v>20.332644</v>
      </c>
      <c r="L16" s="37">
        <f t="shared" si="5"/>
        <v>17.07942096</v>
      </c>
      <c r="M16" s="37">
        <f t="shared" si="6"/>
        <v>206.85076496</v>
      </c>
      <c r="N16" s="37">
        <f t="shared" si="7"/>
        <v>827.40305984</v>
      </c>
      <c r="O16" s="62" t="str">
        <f t="shared" si="10"/>
        <v>易来，苏米</v>
      </c>
      <c r="P16" s="28"/>
      <c r="Q16" s="28"/>
    </row>
    <row r="17" s="19" customFormat="1" ht="45" spans="1:17">
      <c r="A17" s="33" t="s">
        <v>231</v>
      </c>
      <c r="B17" s="36" t="s">
        <v>223</v>
      </c>
      <c r="C17" s="46" t="s">
        <v>232</v>
      </c>
      <c r="D17" s="34" t="s">
        <v>225</v>
      </c>
      <c r="E17" s="34">
        <v>2</v>
      </c>
      <c r="F17" s="35">
        <f t="shared" si="8"/>
        <v>11</v>
      </c>
      <c r="G17" s="37">
        <f t="shared" si="3"/>
        <v>150.0557</v>
      </c>
      <c r="H17" s="37">
        <f>H15</f>
        <v>148.57</v>
      </c>
      <c r="I17" s="60">
        <f t="shared" si="9"/>
        <v>0.01</v>
      </c>
      <c r="J17" s="37">
        <v>0</v>
      </c>
      <c r="K17" s="37">
        <f t="shared" si="4"/>
        <v>19.326684</v>
      </c>
      <c r="L17" s="37">
        <f t="shared" si="5"/>
        <v>16.23441456</v>
      </c>
      <c r="M17" s="37">
        <f t="shared" si="6"/>
        <v>196.61679856</v>
      </c>
      <c r="N17" s="37">
        <f t="shared" si="7"/>
        <v>393.23359712</v>
      </c>
      <c r="O17" s="62" t="str">
        <f t="shared" si="10"/>
        <v>易来，苏米</v>
      </c>
      <c r="P17" s="28"/>
      <c r="Q17" s="28"/>
    </row>
    <row r="18" s="19" customFormat="1" ht="45" spans="1:17">
      <c r="A18" s="33" t="s">
        <v>233</v>
      </c>
      <c r="B18" s="36" t="s">
        <v>223</v>
      </c>
      <c r="C18" s="46" t="s">
        <v>234</v>
      </c>
      <c r="D18" s="34" t="s">
        <v>225</v>
      </c>
      <c r="E18" s="34">
        <v>8</v>
      </c>
      <c r="F18" s="35">
        <f t="shared" si="8"/>
        <v>11</v>
      </c>
      <c r="G18" s="37">
        <f t="shared" si="3"/>
        <v>158.4387</v>
      </c>
      <c r="H18" s="37">
        <v>156.87</v>
      </c>
      <c r="I18" s="60">
        <f t="shared" si="9"/>
        <v>0.01</v>
      </c>
      <c r="J18" s="37">
        <v>0</v>
      </c>
      <c r="K18" s="37">
        <f t="shared" si="4"/>
        <v>20.332644</v>
      </c>
      <c r="L18" s="37">
        <f t="shared" si="5"/>
        <v>17.07942096</v>
      </c>
      <c r="M18" s="37">
        <f t="shared" si="6"/>
        <v>206.85076496</v>
      </c>
      <c r="N18" s="37">
        <f t="shared" si="7"/>
        <v>1654.80611968</v>
      </c>
      <c r="O18" s="62" t="str">
        <f t="shared" si="10"/>
        <v>易来，苏米</v>
      </c>
      <c r="P18" s="28"/>
      <c r="Q18" s="28"/>
    </row>
    <row r="19" s="19" customFormat="1" ht="45" spans="1:17">
      <c r="A19" s="33" t="s">
        <v>235</v>
      </c>
      <c r="B19" s="36" t="s">
        <v>223</v>
      </c>
      <c r="C19" s="46" t="s">
        <v>236</v>
      </c>
      <c r="D19" s="34" t="s">
        <v>225</v>
      </c>
      <c r="E19" s="34">
        <v>26</v>
      </c>
      <c r="F19" s="35">
        <f t="shared" si="8"/>
        <v>11</v>
      </c>
      <c r="G19" s="37">
        <f t="shared" si="3"/>
        <v>19.19</v>
      </c>
      <c r="H19" s="35">
        <v>19</v>
      </c>
      <c r="I19" s="60">
        <f t="shared" si="9"/>
        <v>0.01</v>
      </c>
      <c r="J19" s="37">
        <v>0</v>
      </c>
      <c r="K19" s="37">
        <f t="shared" si="4"/>
        <v>3.6228</v>
      </c>
      <c r="L19" s="37">
        <f t="shared" si="5"/>
        <v>3.043152</v>
      </c>
      <c r="M19" s="37">
        <f t="shared" si="6"/>
        <v>36.855952</v>
      </c>
      <c r="N19" s="37">
        <f t="shared" si="7"/>
        <v>958.254752</v>
      </c>
      <c r="O19" s="62" t="s">
        <v>237</v>
      </c>
      <c r="P19" s="28"/>
      <c r="Q19" s="28"/>
    </row>
    <row r="20" s="19" customFormat="1" ht="45" spans="1:17">
      <c r="A20" s="33" t="s">
        <v>238</v>
      </c>
      <c r="B20" s="36" t="s">
        <v>223</v>
      </c>
      <c r="C20" s="46" t="s">
        <v>239</v>
      </c>
      <c r="D20" s="34" t="s">
        <v>225</v>
      </c>
      <c r="E20" s="34">
        <v>1</v>
      </c>
      <c r="F20" s="35">
        <f t="shared" si="8"/>
        <v>11</v>
      </c>
      <c r="G20" s="37">
        <f t="shared" si="3"/>
        <v>93.526</v>
      </c>
      <c r="H20" s="35">
        <v>92.6</v>
      </c>
      <c r="I20" s="60">
        <f t="shared" si="9"/>
        <v>0.01</v>
      </c>
      <c r="J20" s="37">
        <v>0</v>
      </c>
      <c r="K20" s="37">
        <f t="shared" si="4"/>
        <v>12.54312</v>
      </c>
      <c r="L20" s="37">
        <f t="shared" si="5"/>
        <v>10.5362208</v>
      </c>
      <c r="M20" s="37">
        <f t="shared" si="6"/>
        <v>127.6053408</v>
      </c>
      <c r="N20" s="37">
        <f t="shared" si="7"/>
        <v>127.6053408</v>
      </c>
      <c r="O20" s="62" t="str">
        <f t="shared" ref="O20:O22" si="11">$O$19</f>
        <v>西蒙、西门子、罗格朗</v>
      </c>
      <c r="P20" s="28"/>
      <c r="Q20" s="28"/>
    </row>
    <row r="21" s="19" customFormat="1" ht="45" spans="1:17">
      <c r="A21" s="33" t="s">
        <v>240</v>
      </c>
      <c r="B21" s="36" t="s">
        <v>223</v>
      </c>
      <c r="C21" s="46" t="s">
        <v>241</v>
      </c>
      <c r="D21" s="34" t="s">
        <v>225</v>
      </c>
      <c r="E21" s="34">
        <v>6</v>
      </c>
      <c r="F21" s="35">
        <f t="shared" si="8"/>
        <v>11</v>
      </c>
      <c r="G21" s="37">
        <f t="shared" si="3"/>
        <v>36.158</v>
      </c>
      <c r="H21" s="35">
        <v>35.8</v>
      </c>
      <c r="I21" s="60">
        <f t="shared" si="9"/>
        <v>0.01</v>
      </c>
      <c r="J21" s="37">
        <v>0</v>
      </c>
      <c r="K21" s="37">
        <f t="shared" si="4"/>
        <v>5.65896</v>
      </c>
      <c r="L21" s="37">
        <f t="shared" si="5"/>
        <v>4.7535264</v>
      </c>
      <c r="M21" s="37">
        <f t="shared" si="6"/>
        <v>57.5704864</v>
      </c>
      <c r="N21" s="37">
        <f t="shared" si="7"/>
        <v>345.4229184</v>
      </c>
      <c r="O21" s="62" t="str">
        <f t="shared" si="11"/>
        <v>西蒙、西门子、罗格朗</v>
      </c>
      <c r="P21" s="28"/>
      <c r="Q21" s="28"/>
    </row>
    <row r="22" s="19" customFormat="1" ht="56.25" spans="1:17">
      <c r="A22" s="33" t="s">
        <v>242</v>
      </c>
      <c r="B22" s="36" t="s">
        <v>223</v>
      </c>
      <c r="C22" s="46" t="s">
        <v>243</v>
      </c>
      <c r="D22" s="34" t="s">
        <v>225</v>
      </c>
      <c r="E22" s="34">
        <v>2</v>
      </c>
      <c r="F22" s="35">
        <f t="shared" si="8"/>
        <v>11</v>
      </c>
      <c r="G22" s="37">
        <f t="shared" si="3"/>
        <v>46.662</v>
      </c>
      <c r="H22" s="35">
        <v>46.2</v>
      </c>
      <c r="I22" s="60">
        <f t="shared" si="9"/>
        <v>0.01</v>
      </c>
      <c r="J22" s="37">
        <v>0</v>
      </c>
      <c r="K22" s="37">
        <f t="shared" si="4"/>
        <v>6.91944</v>
      </c>
      <c r="L22" s="37">
        <f t="shared" si="5"/>
        <v>5.8123296</v>
      </c>
      <c r="M22" s="37">
        <f t="shared" si="6"/>
        <v>70.3937696</v>
      </c>
      <c r="N22" s="37">
        <f t="shared" si="7"/>
        <v>140.7875392</v>
      </c>
      <c r="O22" s="62" t="str">
        <f t="shared" si="11"/>
        <v>西蒙、西门子、罗格朗</v>
      </c>
      <c r="P22" s="28"/>
      <c r="Q22" s="28"/>
    </row>
    <row r="23" s="19" customFormat="1" ht="46" customHeight="1" spans="1:17">
      <c r="A23" s="33" t="s">
        <v>244</v>
      </c>
      <c r="B23" s="36" t="s">
        <v>223</v>
      </c>
      <c r="C23" s="46" t="s">
        <v>245</v>
      </c>
      <c r="D23" s="34" t="s">
        <v>225</v>
      </c>
      <c r="E23" s="34">
        <v>1</v>
      </c>
      <c r="F23" s="35">
        <f t="shared" si="8"/>
        <v>11</v>
      </c>
      <c r="G23" s="37">
        <f t="shared" si="3"/>
        <v>31.815</v>
      </c>
      <c r="H23" s="35">
        <v>31.5</v>
      </c>
      <c r="I23" s="60">
        <f t="shared" si="9"/>
        <v>0.01</v>
      </c>
      <c r="J23" s="37">
        <v>0</v>
      </c>
      <c r="K23" s="37">
        <f t="shared" si="4"/>
        <v>5.1378</v>
      </c>
      <c r="L23" s="37">
        <f t="shared" si="5"/>
        <v>4.315752</v>
      </c>
      <c r="M23" s="37">
        <f t="shared" si="6"/>
        <v>52.268552</v>
      </c>
      <c r="N23" s="37">
        <f t="shared" si="7"/>
        <v>52.268552</v>
      </c>
      <c r="O23" s="62" t="str">
        <f>$O$14</f>
        <v>易来，苏米</v>
      </c>
      <c r="P23" s="28"/>
      <c r="Q23" s="28"/>
    </row>
    <row r="24" s="19" customFormat="1" ht="45" spans="1:17">
      <c r="A24" s="33" t="s">
        <v>246</v>
      </c>
      <c r="B24" s="36" t="s">
        <v>223</v>
      </c>
      <c r="C24" s="46" t="s">
        <v>247</v>
      </c>
      <c r="D24" s="34" t="s">
        <v>225</v>
      </c>
      <c r="E24" s="34">
        <v>4</v>
      </c>
      <c r="F24" s="35">
        <f t="shared" si="8"/>
        <v>11</v>
      </c>
      <c r="G24" s="37">
        <f t="shared" si="3"/>
        <v>29.795</v>
      </c>
      <c r="H24" s="35">
        <v>29.5</v>
      </c>
      <c r="I24" s="60">
        <f t="shared" si="9"/>
        <v>0.01</v>
      </c>
      <c r="J24" s="37">
        <v>0</v>
      </c>
      <c r="K24" s="37">
        <f t="shared" si="4"/>
        <v>4.8954</v>
      </c>
      <c r="L24" s="37">
        <f t="shared" si="5"/>
        <v>4.112136</v>
      </c>
      <c r="M24" s="37">
        <f t="shared" si="6"/>
        <v>49.802536</v>
      </c>
      <c r="N24" s="37">
        <f t="shared" si="7"/>
        <v>199.210144</v>
      </c>
      <c r="O24" s="62" t="str">
        <f t="shared" ref="O24:O29" si="12">$O$19</f>
        <v>西蒙、西门子、罗格朗</v>
      </c>
      <c r="P24" s="28"/>
      <c r="Q24" s="28"/>
    </row>
    <row r="25" s="19" customFormat="1" ht="45" spans="1:17">
      <c r="A25" s="33" t="s">
        <v>248</v>
      </c>
      <c r="B25" s="36" t="s">
        <v>223</v>
      </c>
      <c r="C25" s="46" t="s">
        <v>249</v>
      </c>
      <c r="D25" s="34" t="s">
        <v>225</v>
      </c>
      <c r="E25" s="34">
        <v>1</v>
      </c>
      <c r="F25" s="35">
        <f t="shared" si="8"/>
        <v>11</v>
      </c>
      <c r="G25" s="37">
        <f t="shared" si="3"/>
        <v>29.795</v>
      </c>
      <c r="H25" s="35">
        <f>H24</f>
        <v>29.5</v>
      </c>
      <c r="I25" s="60">
        <f t="shared" si="9"/>
        <v>0.01</v>
      </c>
      <c r="J25" s="37">
        <v>0</v>
      </c>
      <c r="K25" s="37">
        <f t="shared" si="4"/>
        <v>4.8954</v>
      </c>
      <c r="L25" s="37">
        <f t="shared" si="5"/>
        <v>4.112136</v>
      </c>
      <c r="M25" s="37">
        <f t="shared" si="6"/>
        <v>49.802536</v>
      </c>
      <c r="N25" s="37">
        <f t="shared" si="7"/>
        <v>49.802536</v>
      </c>
      <c r="O25" s="62" t="str">
        <f t="shared" si="12"/>
        <v>西蒙、西门子、罗格朗</v>
      </c>
      <c r="P25" s="28"/>
      <c r="Q25" s="28"/>
    </row>
    <row r="26" s="19" customFormat="1" ht="45" spans="1:17">
      <c r="A26" s="33" t="s">
        <v>250</v>
      </c>
      <c r="B26" s="36" t="s">
        <v>223</v>
      </c>
      <c r="C26" s="46" t="s">
        <v>249</v>
      </c>
      <c r="D26" s="34" t="s">
        <v>225</v>
      </c>
      <c r="E26" s="34">
        <v>1</v>
      </c>
      <c r="F26" s="35">
        <f t="shared" si="8"/>
        <v>11</v>
      </c>
      <c r="G26" s="37">
        <f t="shared" si="3"/>
        <v>29.795</v>
      </c>
      <c r="H26" s="35">
        <f>H25</f>
        <v>29.5</v>
      </c>
      <c r="I26" s="60">
        <f t="shared" si="9"/>
        <v>0.01</v>
      </c>
      <c r="J26" s="37">
        <v>0</v>
      </c>
      <c r="K26" s="37">
        <f t="shared" si="4"/>
        <v>4.8954</v>
      </c>
      <c r="L26" s="37">
        <f t="shared" si="5"/>
        <v>4.112136</v>
      </c>
      <c r="M26" s="37">
        <f t="shared" si="6"/>
        <v>49.802536</v>
      </c>
      <c r="N26" s="37">
        <f t="shared" si="7"/>
        <v>49.802536</v>
      </c>
      <c r="O26" s="62" t="str">
        <f t="shared" si="12"/>
        <v>西蒙、西门子、罗格朗</v>
      </c>
      <c r="P26" s="28"/>
      <c r="Q26" s="28"/>
    </row>
    <row r="27" s="19" customFormat="1" ht="45" spans="1:17">
      <c r="A27" s="33" t="s">
        <v>251</v>
      </c>
      <c r="B27" s="36" t="s">
        <v>223</v>
      </c>
      <c r="C27" s="46" t="s">
        <v>252</v>
      </c>
      <c r="D27" s="34" t="s">
        <v>225</v>
      </c>
      <c r="E27" s="34">
        <v>1</v>
      </c>
      <c r="F27" s="35">
        <f t="shared" si="8"/>
        <v>11</v>
      </c>
      <c r="G27" s="37">
        <f t="shared" si="3"/>
        <v>36.158</v>
      </c>
      <c r="H27" s="35">
        <f>H21</f>
        <v>35.8</v>
      </c>
      <c r="I27" s="60">
        <f t="shared" si="9"/>
        <v>0.01</v>
      </c>
      <c r="J27" s="37">
        <v>0</v>
      </c>
      <c r="K27" s="37">
        <f t="shared" si="4"/>
        <v>5.65896</v>
      </c>
      <c r="L27" s="37">
        <f t="shared" si="5"/>
        <v>4.7535264</v>
      </c>
      <c r="M27" s="37">
        <f t="shared" si="6"/>
        <v>57.5704864</v>
      </c>
      <c r="N27" s="37">
        <f t="shared" si="7"/>
        <v>57.5704864</v>
      </c>
      <c r="O27" s="62" t="str">
        <f t="shared" si="12"/>
        <v>西蒙、西门子、罗格朗</v>
      </c>
      <c r="P27" s="27" t="s">
        <v>253</v>
      </c>
      <c r="Q27" s="28"/>
    </row>
    <row r="28" s="19" customFormat="1" ht="45" spans="1:17">
      <c r="A28" s="33" t="s">
        <v>254</v>
      </c>
      <c r="B28" s="36" t="s">
        <v>223</v>
      </c>
      <c r="C28" s="46" t="s">
        <v>255</v>
      </c>
      <c r="D28" s="34" t="s">
        <v>225</v>
      </c>
      <c r="E28" s="34">
        <v>1</v>
      </c>
      <c r="F28" s="35">
        <f t="shared" si="8"/>
        <v>11</v>
      </c>
      <c r="G28" s="37">
        <f t="shared" si="3"/>
        <v>31.815</v>
      </c>
      <c r="H28" s="35">
        <f>H23</f>
        <v>31.5</v>
      </c>
      <c r="I28" s="60">
        <f t="shared" si="9"/>
        <v>0.01</v>
      </c>
      <c r="J28" s="37">
        <v>0</v>
      </c>
      <c r="K28" s="37">
        <f t="shared" si="4"/>
        <v>5.1378</v>
      </c>
      <c r="L28" s="37">
        <f t="shared" si="5"/>
        <v>4.315752</v>
      </c>
      <c r="M28" s="37">
        <f t="shared" si="6"/>
        <v>52.268552</v>
      </c>
      <c r="N28" s="37">
        <f t="shared" si="7"/>
        <v>52.268552</v>
      </c>
      <c r="O28" s="62" t="str">
        <f t="shared" si="12"/>
        <v>西蒙、西门子、罗格朗</v>
      </c>
      <c r="P28" s="27"/>
      <c r="Q28" s="28"/>
    </row>
    <row r="29" s="19" customFormat="1" ht="45" spans="1:17">
      <c r="A29" s="33" t="s">
        <v>256</v>
      </c>
      <c r="B29" s="36" t="s">
        <v>223</v>
      </c>
      <c r="C29" s="46" t="s">
        <v>257</v>
      </c>
      <c r="D29" s="34" t="s">
        <v>225</v>
      </c>
      <c r="E29" s="34">
        <v>1</v>
      </c>
      <c r="F29" s="35">
        <f t="shared" si="8"/>
        <v>11</v>
      </c>
      <c r="G29" s="37">
        <f t="shared" si="3"/>
        <v>19.19</v>
      </c>
      <c r="H29" s="35">
        <f>H19</f>
        <v>19</v>
      </c>
      <c r="I29" s="60">
        <f t="shared" si="9"/>
        <v>0.01</v>
      </c>
      <c r="J29" s="37">
        <v>0</v>
      </c>
      <c r="K29" s="37">
        <f t="shared" si="4"/>
        <v>3.6228</v>
      </c>
      <c r="L29" s="37">
        <f t="shared" si="5"/>
        <v>3.043152</v>
      </c>
      <c r="M29" s="37">
        <f t="shared" si="6"/>
        <v>36.855952</v>
      </c>
      <c r="N29" s="37">
        <f t="shared" si="7"/>
        <v>36.855952</v>
      </c>
      <c r="O29" s="62" t="str">
        <f t="shared" si="12"/>
        <v>西蒙、西门子、罗格朗</v>
      </c>
      <c r="P29" s="27" t="s">
        <v>258</v>
      </c>
      <c r="Q29" s="28"/>
    </row>
    <row r="30" s="19" customFormat="1" ht="48" customHeight="1" spans="1:17">
      <c r="A30" s="33" t="s">
        <v>259</v>
      </c>
      <c r="B30" s="36" t="s">
        <v>223</v>
      </c>
      <c r="C30" s="44" t="s">
        <v>260</v>
      </c>
      <c r="D30" s="45" t="s">
        <v>225</v>
      </c>
      <c r="E30" s="34">
        <v>3</v>
      </c>
      <c r="F30" s="35">
        <v>15</v>
      </c>
      <c r="G30" s="37">
        <f t="shared" si="3"/>
        <v>58.5</v>
      </c>
      <c r="H30" s="35">
        <v>58.5</v>
      </c>
      <c r="I30" s="60">
        <v>0</v>
      </c>
      <c r="J30" s="37">
        <v>0</v>
      </c>
      <c r="K30" s="37">
        <f t="shared" si="4"/>
        <v>8.82</v>
      </c>
      <c r="L30" s="37">
        <f t="shared" si="5"/>
        <v>7.4088</v>
      </c>
      <c r="M30" s="37">
        <f t="shared" si="6"/>
        <v>89.7288</v>
      </c>
      <c r="N30" s="37">
        <f t="shared" si="7"/>
        <v>269.1864</v>
      </c>
      <c r="O30" s="62" t="s">
        <v>261</v>
      </c>
      <c r="P30" s="28"/>
      <c r="Q30" s="28"/>
    </row>
    <row r="31" s="19" customFormat="1" ht="71" customHeight="1" spans="1:17">
      <c r="A31" s="33" t="s">
        <v>262</v>
      </c>
      <c r="B31" s="36" t="s">
        <v>263</v>
      </c>
      <c r="C31" s="44" t="s">
        <v>264</v>
      </c>
      <c r="D31" s="45" t="s">
        <v>225</v>
      </c>
      <c r="E31" s="34">
        <v>11</v>
      </c>
      <c r="F31" s="35">
        <f t="shared" ref="F31:F35" si="13">$F$30</f>
        <v>15</v>
      </c>
      <c r="G31" s="37">
        <f t="shared" si="3"/>
        <v>128.8</v>
      </c>
      <c r="H31" s="35">
        <v>128.8</v>
      </c>
      <c r="I31" s="60">
        <v>0</v>
      </c>
      <c r="J31" s="37">
        <v>0</v>
      </c>
      <c r="K31" s="37">
        <f t="shared" si="4"/>
        <v>17.256</v>
      </c>
      <c r="L31" s="37">
        <f t="shared" si="5"/>
        <v>14.49504</v>
      </c>
      <c r="M31" s="37">
        <f t="shared" si="6"/>
        <v>175.55104</v>
      </c>
      <c r="N31" s="37">
        <f t="shared" si="7"/>
        <v>1931.06144</v>
      </c>
      <c r="O31" s="62" t="str">
        <f t="shared" ref="O31:O37" si="14">$O$30</f>
        <v>雷士、三雄极光、西顿</v>
      </c>
      <c r="P31" s="28"/>
      <c r="Q31" s="28"/>
    </row>
    <row r="32" s="19" customFormat="1" ht="33.75" spans="1:17">
      <c r="A32" s="33" t="s">
        <v>265</v>
      </c>
      <c r="B32" s="36" t="s">
        <v>263</v>
      </c>
      <c r="C32" s="44" t="s">
        <v>266</v>
      </c>
      <c r="D32" s="45" t="s">
        <v>225</v>
      </c>
      <c r="E32" s="34">
        <v>24</v>
      </c>
      <c r="F32" s="35">
        <f t="shared" si="13"/>
        <v>15</v>
      </c>
      <c r="G32" s="37">
        <f t="shared" si="3"/>
        <v>128.8</v>
      </c>
      <c r="H32" s="35">
        <f>H31</f>
        <v>128.8</v>
      </c>
      <c r="I32" s="60">
        <v>0</v>
      </c>
      <c r="J32" s="37">
        <v>0</v>
      </c>
      <c r="K32" s="37">
        <f t="shared" si="4"/>
        <v>17.256</v>
      </c>
      <c r="L32" s="37">
        <f t="shared" si="5"/>
        <v>14.49504</v>
      </c>
      <c r="M32" s="37">
        <f t="shared" si="6"/>
        <v>175.55104</v>
      </c>
      <c r="N32" s="37">
        <f t="shared" si="7"/>
        <v>4213.22496</v>
      </c>
      <c r="O32" s="62" t="str">
        <f t="shared" si="14"/>
        <v>雷士、三雄极光、西顿</v>
      </c>
      <c r="P32" s="28"/>
      <c r="Q32" s="28"/>
    </row>
    <row r="33" s="19" customFormat="1" ht="33.75" spans="1:17">
      <c r="A33" s="33" t="s">
        <v>267</v>
      </c>
      <c r="B33" s="36" t="s">
        <v>263</v>
      </c>
      <c r="C33" s="44" t="s">
        <v>268</v>
      </c>
      <c r="D33" s="45" t="s">
        <v>225</v>
      </c>
      <c r="E33" s="34">
        <v>6</v>
      </c>
      <c r="F33" s="35">
        <f t="shared" si="13"/>
        <v>15</v>
      </c>
      <c r="G33" s="37">
        <f t="shared" si="3"/>
        <v>123.5</v>
      </c>
      <c r="H33" s="35">
        <v>123.5</v>
      </c>
      <c r="I33" s="60">
        <v>0</v>
      </c>
      <c r="J33" s="37">
        <v>0</v>
      </c>
      <c r="K33" s="37">
        <f t="shared" si="4"/>
        <v>16.62</v>
      </c>
      <c r="L33" s="37">
        <f t="shared" si="5"/>
        <v>13.9608</v>
      </c>
      <c r="M33" s="37">
        <f t="shared" si="6"/>
        <v>169.0808</v>
      </c>
      <c r="N33" s="37">
        <f t="shared" si="7"/>
        <v>1014.4848</v>
      </c>
      <c r="O33" s="62" t="str">
        <f t="shared" si="14"/>
        <v>雷士、三雄极光、西顿</v>
      </c>
      <c r="P33" s="28"/>
      <c r="Q33" s="28"/>
    </row>
    <row r="34" s="19" customFormat="1" ht="33.75" spans="1:17">
      <c r="A34" s="33" t="s">
        <v>269</v>
      </c>
      <c r="B34" s="36" t="s">
        <v>270</v>
      </c>
      <c r="C34" s="44" t="s">
        <v>271</v>
      </c>
      <c r="D34" s="45" t="s">
        <v>225</v>
      </c>
      <c r="E34" s="34">
        <v>6</v>
      </c>
      <c r="F34" s="35">
        <f t="shared" si="13"/>
        <v>15</v>
      </c>
      <c r="G34" s="37">
        <f t="shared" si="3"/>
        <v>65</v>
      </c>
      <c r="H34" s="35">
        <v>65</v>
      </c>
      <c r="I34" s="60">
        <v>0</v>
      </c>
      <c r="J34" s="37">
        <v>0</v>
      </c>
      <c r="K34" s="37">
        <f t="shared" si="4"/>
        <v>9.6</v>
      </c>
      <c r="L34" s="37">
        <f t="shared" si="5"/>
        <v>8.064</v>
      </c>
      <c r="M34" s="37">
        <f t="shared" si="6"/>
        <v>97.664</v>
      </c>
      <c r="N34" s="37">
        <f t="shared" si="7"/>
        <v>585.984</v>
      </c>
      <c r="O34" s="62" t="str">
        <f t="shared" si="14"/>
        <v>雷士、三雄极光、西顿</v>
      </c>
      <c r="P34" s="28"/>
      <c r="Q34" s="28"/>
    </row>
    <row r="35" s="19" customFormat="1" ht="33.75" spans="1:17">
      <c r="A35" s="33" t="s">
        <v>272</v>
      </c>
      <c r="B35" s="36" t="s">
        <v>270</v>
      </c>
      <c r="C35" s="44" t="s">
        <v>273</v>
      </c>
      <c r="D35" s="45" t="s">
        <v>225</v>
      </c>
      <c r="E35" s="34">
        <v>4</v>
      </c>
      <c r="F35" s="35">
        <f t="shared" si="13"/>
        <v>15</v>
      </c>
      <c r="G35" s="37">
        <f t="shared" si="3"/>
        <v>72.8</v>
      </c>
      <c r="H35" s="35">
        <v>72.8</v>
      </c>
      <c r="I35" s="60">
        <v>0</v>
      </c>
      <c r="J35" s="37">
        <v>0</v>
      </c>
      <c r="K35" s="37">
        <f t="shared" si="4"/>
        <v>10.536</v>
      </c>
      <c r="L35" s="37">
        <f t="shared" si="5"/>
        <v>8.85024</v>
      </c>
      <c r="M35" s="37">
        <f t="shared" si="6"/>
        <v>107.18624</v>
      </c>
      <c r="N35" s="37">
        <f t="shared" si="7"/>
        <v>428.74496</v>
      </c>
      <c r="O35" s="62" t="str">
        <f t="shared" si="14"/>
        <v>雷士、三雄极光、西顿</v>
      </c>
      <c r="P35" s="28"/>
      <c r="Q35" s="28"/>
    </row>
    <row r="36" s="19" customFormat="1" ht="54" customHeight="1" spans="1:17">
      <c r="A36" s="33" t="s">
        <v>274</v>
      </c>
      <c r="B36" s="44" t="s">
        <v>275</v>
      </c>
      <c r="C36" s="44" t="s">
        <v>276</v>
      </c>
      <c r="D36" s="34" t="s">
        <v>55</v>
      </c>
      <c r="E36" s="34">
        <v>70.58</v>
      </c>
      <c r="F36" s="35">
        <v>13</v>
      </c>
      <c r="G36" s="37">
        <f t="shared" si="3"/>
        <v>28</v>
      </c>
      <c r="H36" s="35">
        <v>28</v>
      </c>
      <c r="I36" s="60">
        <v>0</v>
      </c>
      <c r="J36" s="37">
        <v>0</v>
      </c>
      <c r="K36" s="37">
        <f t="shared" si="4"/>
        <v>4.92</v>
      </c>
      <c r="L36" s="37">
        <f t="shared" si="5"/>
        <v>4.1328</v>
      </c>
      <c r="M36" s="37">
        <f t="shared" si="6"/>
        <v>50.0528</v>
      </c>
      <c r="N36" s="37">
        <f t="shared" si="7"/>
        <v>3532.726624</v>
      </c>
      <c r="O36" s="62" t="str">
        <f t="shared" si="14"/>
        <v>雷士、三雄极光、西顿</v>
      </c>
      <c r="P36" s="28"/>
      <c r="Q36" s="28"/>
    </row>
    <row r="37" s="19" customFormat="1" ht="54" customHeight="1" spans="1:17">
      <c r="A37" s="33" t="s">
        <v>277</v>
      </c>
      <c r="B37" s="44" t="s">
        <v>275</v>
      </c>
      <c r="C37" s="44" t="s">
        <v>278</v>
      </c>
      <c r="D37" s="34" t="s">
        <v>55</v>
      </c>
      <c r="E37" s="34">
        <v>6.4</v>
      </c>
      <c r="F37" s="35">
        <f>F36</f>
        <v>13</v>
      </c>
      <c r="G37" s="37">
        <f t="shared" si="3"/>
        <v>25</v>
      </c>
      <c r="H37" s="35">
        <v>25</v>
      </c>
      <c r="I37" s="60">
        <v>0</v>
      </c>
      <c r="J37" s="37">
        <v>0</v>
      </c>
      <c r="K37" s="37">
        <f t="shared" si="4"/>
        <v>4.56</v>
      </c>
      <c r="L37" s="37">
        <f t="shared" si="5"/>
        <v>3.8304</v>
      </c>
      <c r="M37" s="37">
        <f t="shared" si="6"/>
        <v>46.3904</v>
      </c>
      <c r="N37" s="37">
        <f t="shared" si="7"/>
        <v>296.89856</v>
      </c>
      <c r="O37" s="62" t="str">
        <f t="shared" si="14"/>
        <v>雷士、三雄极光、西顿</v>
      </c>
      <c r="P37" s="28"/>
      <c r="Q37" s="28"/>
    </row>
    <row r="38" s="19" customFormat="1" ht="54" customHeight="1" spans="1:17">
      <c r="A38" s="33" t="s">
        <v>279</v>
      </c>
      <c r="B38" s="44" t="s">
        <v>280</v>
      </c>
      <c r="C38" s="44" t="s">
        <v>281</v>
      </c>
      <c r="D38" s="45" t="s">
        <v>225</v>
      </c>
      <c r="E38" s="34">
        <v>70</v>
      </c>
      <c r="F38" s="35">
        <v>5</v>
      </c>
      <c r="G38" s="37">
        <f t="shared" si="3"/>
        <v>4.8</v>
      </c>
      <c r="H38" s="35">
        <v>4.8</v>
      </c>
      <c r="I38" s="60">
        <v>0</v>
      </c>
      <c r="J38" s="37">
        <v>0</v>
      </c>
      <c r="K38" s="37">
        <f t="shared" si="4"/>
        <v>1.176</v>
      </c>
      <c r="L38" s="37">
        <f t="shared" si="5"/>
        <v>0.98784</v>
      </c>
      <c r="M38" s="37">
        <f t="shared" si="6"/>
        <v>11.96384</v>
      </c>
      <c r="N38" s="37">
        <f t="shared" si="7"/>
        <v>837.4688</v>
      </c>
      <c r="O38" s="62" t="s">
        <v>52</v>
      </c>
      <c r="P38" s="28"/>
      <c r="Q38" s="28"/>
    </row>
    <row r="39" s="21" customFormat="1" ht="48" spans="1:23">
      <c r="A39" s="33" t="s">
        <v>282</v>
      </c>
      <c r="B39" s="47" t="s">
        <v>223</v>
      </c>
      <c r="C39" s="48" t="s">
        <v>283</v>
      </c>
      <c r="D39" s="49" t="s">
        <v>94</v>
      </c>
      <c r="E39" s="50">
        <v>1</v>
      </c>
      <c r="F39" s="35">
        <v>112</v>
      </c>
      <c r="G39" s="37">
        <f t="shared" si="3"/>
        <v>658.6</v>
      </c>
      <c r="H39" s="35">
        <v>658.6</v>
      </c>
      <c r="I39" s="60">
        <v>0</v>
      </c>
      <c r="J39" s="37">
        <v>0</v>
      </c>
      <c r="K39" s="37">
        <f t="shared" si="4"/>
        <v>92.472</v>
      </c>
      <c r="L39" s="37">
        <f t="shared" si="5"/>
        <v>77.67648</v>
      </c>
      <c r="M39" s="37">
        <f t="shared" si="6"/>
        <v>940.74848</v>
      </c>
      <c r="N39" s="37">
        <f t="shared" si="7"/>
        <v>940.74848</v>
      </c>
      <c r="O39" s="63" t="s">
        <v>284</v>
      </c>
      <c r="P39" s="64"/>
      <c r="Q39" s="64"/>
      <c r="T39" s="19"/>
      <c r="U39" s="19"/>
      <c r="V39" s="19"/>
      <c r="W39" s="19"/>
    </row>
    <row r="40" s="21" customFormat="1" ht="48" spans="1:23">
      <c r="A40" s="33" t="s">
        <v>285</v>
      </c>
      <c r="B40" s="47" t="s">
        <v>223</v>
      </c>
      <c r="C40" s="47" t="s">
        <v>286</v>
      </c>
      <c r="D40" s="49" t="s">
        <v>287</v>
      </c>
      <c r="E40" s="34">
        <v>1</v>
      </c>
      <c r="F40" s="35">
        <v>62</v>
      </c>
      <c r="G40" s="37">
        <f t="shared" si="3"/>
        <v>880</v>
      </c>
      <c r="H40" s="37">
        <v>880</v>
      </c>
      <c r="I40" s="60">
        <v>0</v>
      </c>
      <c r="J40" s="37">
        <v>0</v>
      </c>
      <c r="K40" s="37">
        <f t="shared" si="4"/>
        <v>113.04</v>
      </c>
      <c r="L40" s="37">
        <f t="shared" si="5"/>
        <v>94.9536</v>
      </c>
      <c r="M40" s="37">
        <f t="shared" si="6"/>
        <v>1149.9936</v>
      </c>
      <c r="N40" s="37">
        <f t="shared" si="7"/>
        <v>1149.9936</v>
      </c>
      <c r="O40" s="65" t="s">
        <v>288</v>
      </c>
      <c r="P40" s="66"/>
      <c r="Q40" s="64"/>
      <c r="T40" s="19"/>
      <c r="U40" s="19"/>
      <c r="V40" s="19"/>
      <c r="W40" s="19"/>
    </row>
    <row r="41" s="21" customFormat="1" ht="60" spans="1:23">
      <c r="A41" s="33" t="s">
        <v>289</v>
      </c>
      <c r="B41" s="47" t="s">
        <v>223</v>
      </c>
      <c r="C41" s="47" t="s">
        <v>290</v>
      </c>
      <c r="D41" s="49" t="s">
        <v>94</v>
      </c>
      <c r="E41" s="50">
        <v>1</v>
      </c>
      <c r="F41" s="35">
        <v>280</v>
      </c>
      <c r="G41" s="37">
        <f t="shared" si="3"/>
        <v>6380</v>
      </c>
      <c r="H41" s="37">
        <v>6380</v>
      </c>
      <c r="I41" s="60">
        <v>0</v>
      </c>
      <c r="J41" s="37">
        <v>0</v>
      </c>
      <c r="K41" s="37">
        <f t="shared" si="4"/>
        <v>799.2</v>
      </c>
      <c r="L41" s="37">
        <f t="shared" si="5"/>
        <v>671.328</v>
      </c>
      <c r="M41" s="37">
        <f t="shared" si="6"/>
        <v>8130.528</v>
      </c>
      <c r="N41" s="37">
        <f t="shared" si="7"/>
        <v>8130.528</v>
      </c>
      <c r="O41" s="65" t="s">
        <v>291</v>
      </c>
      <c r="P41" s="64"/>
      <c r="Q41" s="64"/>
      <c r="T41" s="19"/>
      <c r="U41" s="19"/>
      <c r="V41" s="19"/>
      <c r="W41" s="19"/>
    </row>
    <row r="42" s="21" customFormat="1" ht="48" spans="1:23">
      <c r="A42" s="33" t="s">
        <v>292</v>
      </c>
      <c r="B42" s="47" t="s">
        <v>223</v>
      </c>
      <c r="C42" s="47" t="s">
        <v>293</v>
      </c>
      <c r="D42" s="49" t="s">
        <v>94</v>
      </c>
      <c r="E42" s="50">
        <v>1</v>
      </c>
      <c r="F42" s="35">
        <v>65</v>
      </c>
      <c r="G42" s="37">
        <f t="shared" si="3"/>
        <v>480</v>
      </c>
      <c r="H42" s="37">
        <v>480</v>
      </c>
      <c r="I42" s="60">
        <v>0</v>
      </c>
      <c r="J42" s="37">
        <v>0</v>
      </c>
      <c r="K42" s="37">
        <f t="shared" si="4"/>
        <v>65.4</v>
      </c>
      <c r="L42" s="37">
        <f t="shared" si="5"/>
        <v>54.936</v>
      </c>
      <c r="M42" s="37">
        <f t="shared" si="6"/>
        <v>665.336</v>
      </c>
      <c r="N42" s="37">
        <f t="shared" si="7"/>
        <v>665.336</v>
      </c>
      <c r="O42" s="65" t="str">
        <f>O40</f>
        <v> 小米（米家）</v>
      </c>
      <c r="P42" s="64"/>
      <c r="Q42" s="64"/>
      <c r="T42" s="19"/>
      <c r="U42" s="19"/>
      <c r="V42" s="19"/>
      <c r="W42" s="19"/>
    </row>
    <row r="43" s="19" customFormat="1" ht="21" customHeight="1" spans="1:17">
      <c r="A43" s="33" t="s">
        <v>294</v>
      </c>
      <c r="B43" s="51" t="s">
        <v>295</v>
      </c>
      <c r="C43" s="52"/>
      <c r="D43" s="34"/>
      <c r="E43" s="34"/>
      <c r="F43" s="35"/>
      <c r="G43" s="37"/>
      <c r="H43" s="35"/>
      <c r="I43" s="60"/>
      <c r="J43" s="37"/>
      <c r="K43" s="37"/>
      <c r="L43" s="37"/>
      <c r="M43" s="37"/>
      <c r="N43" s="37">
        <f>SUM(N44:N51)</f>
        <v>11525.304224</v>
      </c>
      <c r="O43" s="62"/>
      <c r="P43" s="28"/>
      <c r="Q43" s="28"/>
    </row>
    <row r="44" s="19" customFormat="1" ht="45" spans="1:17">
      <c r="A44" s="33" t="s">
        <v>296</v>
      </c>
      <c r="B44" s="44" t="s">
        <v>207</v>
      </c>
      <c r="C44" s="44" t="s">
        <v>208</v>
      </c>
      <c r="D44" s="45" t="s">
        <v>55</v>
      </c>
      <c r="E44" s="37">
        <v>508</v>
      </c>
      <c r="F44" s="35">
        <f t="shared" ref="F44:J44" si="15">F8</f>
        <v>9.8</v>
      </c>
      <c r="G44" s="37">
        <f t="shared" ref="G44:G51" si="16">H44*(1+I44)</f>
        <v>1.2</v>
      </c>
      <c r="H44" s="35">
        <f>H8</f>
        <v>1.2</v>
      </c>
      <c r="I44" s="60">
        <f>I8</f>
        <v>0</v>
      </c>
      <c r="J44" s="35">
        <f t="shared" si="15"/>
        <v>0</v>
      </c>
      <c r="K44" s="37">
        <f>(F44+G44+J44)*$K$5</f>
        <v>1.32</v>
      </c>
      <c r="L44" s="37">
        <f>(F44+G44+J44+K44)*$L$5</f>
        <v>1.1088</v>
      </c>
      <c r="M44" s="37">
        <f t="shared" ref="M44:M51" si="17">F44+G44+J44+K44+L44</f>
        <v>13.4288</v>
      </c>
      <c r="N44" s="37">
        <f t="shared" ref="N44:N51" si="18">M44*E44</f>
        <v>6821.8304</v>
      </c>
      <c r="O44" s="62" t="str">
        <f>$O$8</f>
        <v>联塑、保利</v>
      </c>
      <c r="P44" s="28"/>
      <c r="Q44" s="28"/>
    </row>
    <row r="45" s="19" customFormat="1" ht="38" customHeight="1" spans="1:17">
      <c r="A45" s="33" t="s">
        <v>297</v>
      </c>
      <c r="B45" s="44" t="s">
        <v>215</v>
      </c>
      <c r="C45" s="44" t="s">
        <v>298</v>
      </c>
      <c r="D45" s="45" t="s">
        <v>55</v>
      </c>
      <c r="E45" s="37">
        <v>5</v>
      </c>
      <c r="F45" s="35">
        <f>F13</f>
        <v>1.57</v>
      </c>
      <c r="G45" s="37">
        <f t="shared" si="16"/>
        <v>5.67</v>
      </c>
      <c r="H45" s="35">
        <v>5.4</v>
      </c>
      <c r="I45" s="60">
        <v>0.05</v>
      </c>
      <c r="J45" s="37">
        <v>0.05</v>
      </c>
      <c r="K45" s="37">
        <f>(F45+G45+J45)*$K$5</f>
        <v>0.8748</v>
      </c>
      <c r="L45" s="37">
        <f>(F45+G45+J45+K45)*$L$5</f>
        <v>0.734832</v>
      </c>
      <c r="M45" s="37">
        <f t="shared" si="17"/>
        <v>8.899632</v>
      </c>
      <c r="N45" s="37">
        <f t="shared" si="18"/>
        <v>44.49816</v>
      </c>
      <c r="O45" s="62" t="s">
        <v>299</v>
      </c>
      <c r="P45" s="28"/>
      <c r="Q45" s="28"/>
    </row>
    <row r="46" s="19" customFormat="1" ht="33.75" spans="1:17">
      <c r="A46" s="33" t="s">
        <v>300</v>
      </c>
      <c r="B46" s="36" t="s">
        <v>215</v>
      </c>
      <c r="C46" s="46" t="s">
        <v>301</v>
      </c>
      <c r="D46" s="45" t="s">
        <v>55</v>
      </c>
      <c r="E46" s="37">
        <v>360</v>
      </c>
      <c r="F46" s="35">
        <f>F45</f>
        <v>1.57</v>
      </c>
      <c r="G46" s="37">
        <f t="shared" si="16"/>
        <v>2.7825</v>
      </c>
      <c r="H46" s="35">
        <v>2.65</v>
      </c>
      <c r="I46" s="60">
        <f>I45</f>
        <v>0.05</v>
      </c>
      <c r="J46" s="37">
        <f>J45</f>
        <v>0.05</v>
      </c>
      <c r="K46" s="37">
        <f>(F46+G46+J46)*$K$5</f>
        <v>0.5283</v>
      </c>
      <c r="L46" s="37">
        <f>(F46+G46+J46+K46)*$L$5</f>
        <v>0.443772</v>
      </c>
      <c r="M46" s="37">
        <f t="shared" si="17"/>
        <v>5.374572</v>
      </c>
      <c r="N46" s="37">
        <f t="shared" si="18"/>
        <v>1934.84592</v>
      </c>
      <c r="O46" s="62" t="str">
        <f>O45</f>
        <v>绿联</v>
      </c>
      <c r="P46" s="28"/>
      <c r="Q46" s="28"/>
    </row>
    <row r="47" s="19" customFormat="1" ht="33.75" spans="1:17">
      <c r="A47" s="33" t="s">
        <v>302</v>
      </c>
      <c r="B47" s="36" t="s">
        <v>215</v>
      </c>
      <c r="C47" s="46" t="s">
        <v>303</v>
      </c>
      <c r="D47" s="45" t="s">
        <v>55</v>
      </c>
      <c r="E47" s="37">
        <v>144</v>
      </c>
      <c r="F47" s="35">
        <f>F45</f>
        <v>1.57</v>
      </c>
      <c r="G47" s="37">
        <f t="shared" si="16"/>
        <v>2.2575</v>
      </c>
      <c r="H47" s="35">
        <v>2.15</v>
      </c>
      <c r="I47" s="60">
        <f>I45</f>
        <v>0.05</v>
      </c>
      <c r="J47" s="37">
        <f>J45</f>
        <v>0.05</v>
      </c>
      <c r="K47" s="37">
        <f>(F47+G47+J47)*$K$5</f>
        <v>0.4653</v>
      </c>
      <c r="L47" s="37">
        <f>(F47+G47+J47+K47)*$L$5</f>
        <v>0.390852</v>
      </c>
      <c r="M47" s="37">
        <f t="shared" si="17"/>
        <v>4.733652</v>
      </c>
      <c r="N47" s="37">
        <f t="shared" si="18"/>
        <v>681.645888</v>
      </c>
      <c r="O47" s="62" t="str">
        <f>O45</f>
        <v>绿联</v>
      </c>
      <c r="P47" s="28"/>
      <c r="Q47" s="28"/>
    </row>
    <row r="48" s="19" customFormat="1" ht="33.75" spans="1:17">
      <c r="A48" s="33" t="s">
        <v>304</v>
      </c>
      <c r="B48" s="36" t="s">
        <v>223</v>
      </c>
      <c r="C48" s="46" t="s">
        <v>305</v>
      </c>
      <c r="D48" s="34" t="s">
        <v>225</v>
      </c>
      <c r="E48" s="34">
        <v>2</v>
      </c>
      <c r="F48" s="35">
        <f t="shared" ref="F48:F50" si="19">$F$14</f>
        <v>11</v>
      </c>
      <c r="G48" s="37">
        <f t="shared" si="16"/>
        <v>54.54</v>
      </c>
      <c r="H48" s="35">
        <v>54</v>
      </c>
      <c r="I48" s="60">
        <v>0.01</v>
      </c>
      <c r="J48" s="37">
        <v>0</v>
      </c>
      <c r="K48" s="37">
        <f>(F48+G48+J48)*$K$5</f>
        <v>7.8648</v>
      </c>
      <c r="L48" s="37">
        <f>(F48+G48+J48+K48)*$L$5</f>
        <v>6.606432</v>
      </c>
      <c r="M48" s="37">
        <f t="shared" si="17"/>
        <v>80.011232</v>
      </c>
      <c r="N48" s="37">
        <f t="shared" si="18"/>
        <v>160.022464</v>
      </c>
      <c r="O48" s="62" t="str">
        <f>O22</f>
        <v>西蒙、西门子、罗格朗</v>
      </c>
      <c r="P48" s="28"/>
      <c r="Q48" s="28"/>
    </row>
    <row r="49" s="19" customFormat="1" ht="33.75" spans="1:17">
      <c r="A49" s="33" t="s">
        <v>306</v>
      </c>
      <c r="B49" s="36" t="s">
        <v>223</v>
      </c>
      <c r="C49" s="46" t="s">
        <v>307</v>
      </c>
      <c r="D49" s="34" t="s">
        <v>225</v>
      </c>
      <c r="E49" s="34">
        <v>3</v>
      </c>
      <c r="F49" s="35">
        <f t="shared" si="19"/>
        <v>11</v>
      </c>
      <c r="G49" s="37">
        <f t="shared" si="16"/>
        <v>73.73</v>
      </c>
      <c r="H49" s="35">
        <v>73</v>
      </c>
      <c r="I49" s="60">
        <v>0.01</v>
      </c>
      <c r="J49" s="37">
        <v>0</v>
      </c>
      <c r="K49" s="37">
        <f>(F49+G49+J49)*$K$5</f>
        <v>10.1676</v>
      </c>
      <c r="L49" s="37">
        <f>(F49+G49+J49+K49)*$L$5</f>
        <v>8.540784</v>
      </c>
      <c r="M49" s="37">
        <f t="shared" si="17"/>
        <v>103.438384</v>
      </c>
      <c r="N49" s="37">
        <f t="shared" si="18"/>
        <v>310.315152</v>
      </c>
      <c r="O49" s="62" t="str">
        <f>O48</f>
        <v>西蒙、西门子、罗格朗</v>
      </c>
      <c r="P49" s="28"/>
      <c r="Q49" s="28"/>
    </row>
    <row r="50" s="19" customFormat="1" ht="33.75" spans="1:17">
      <c r="A50" s="33" t="s">
        <v>308</v>
      </c>
      <c r="B50" s="36" t="s">
        <v>223</v>
      </c>
      <c r="C50" s="46" t="s">
        <v>309</v>
      </c>
      <c r="D50" s="34" t="s">
        <v>225</v>
      </c>
      <c r="E50" s="34">
        <v>4</v>
      </c>
      <c r="F50" s="35">
        <v>95</v>
      </c>
      <c r="G50" s="37">
        <f t="shared" si="16"/>
        <v>200</v>
      </c>
      <c r="H50" s="35">
        <v>200</v>
      </c>
      <c r="I50" s="60">
        <v>0</v>
      </c>
      <c r="J50" s="37">
        <v>0</v>
      </c>
      <c r="K50" s="37">
        <f>(F50+G50+J50)*$K$5</f>
        <v>35.4</v>
      </c>
      <c r="L50" s="37">
        <f>(F50+G50+J50+K50)*$L$5</f>
        <v>29.736</v>
      </c>
      <c r="M50" s="37">
        <f t="shared" si="17"/>
        <v>360.136</v>
      </c>
      <c r="N50" s="37">
        <f t="shared" si="18"/>
        <v>1440.544</v>
      </c>
      <c r="O50" s="62" t="s">
        <v>52</v>
      </c>
      <c r="P50" s="28"/>
      <c r="Q50" s="28"/>
    </row>
    <row r="51" s="19" customFormat="1" ht="48" customHeight="1" spans="1:17">
      <c r="A51" s="33" t="s">
        <v>310</v>
      </c>
      <c r="B51" s="44" t="s">
        <v>280</v>
      </c>
      <c r="C51" s="44" t="s">
        <v>311</v>
      </c>
      <c r="D51" s="45" t="s">
        <v>225</v>
      </c>
      <c r="E51" s="34">
        <v>11</v>
      </c>
      <c r="F51" s="35">
        <f t="shared" ref="F51:J51" si="20">F38</f>
        <v>5</v>
      </c>
      <c r="G51" s="37">
        <f t="shared" si="16"/>
        <v>4.8</v>
      </c>
      <c r="H51" s="35">
        <f t="shared" si="20"/>
        <v>4.8</v>
      </c>
      <c r="I51" s="60">
        <v>0</v>
      </c>
      <c r="J51" s="35">
        <f t="shared" si="20"/>
        <v>0</v>
      </c>
      <c r="K51" s="37">
        <f>(F51+G51+J51)*$K$5</f>
        <v>1.176</v>
      </c>
      <c r="L51" s="37">
        <f>(F51+G51+J51+K51)*$L$5</f>
        <v>0.98784</v>
      </c>
      <c r="M51" s="37">
        <f t="shared" si="17"/>
        <v>11.96384</v>
      </c>
      <c r="N51" s="37">
        <f t="shared" si="18"/>
        <v>131.60224</v>
      </c>
      <c r="O51" s="62" t="s">
        <v>52</v>
      </c>
      <c r="P51" s="28"/>
      <c r="Q51" s="28"/>
    </row>
    <row r="52" s="19" customFormat="1" ht="19" customHeight="1" spans="1:17">
      <c r="A52" s="33" t="s">
        <v>14</v>
      </c>
      <c r="B52" s="42" t="s">
        <v>312</v>
      </c>
      <c r="C52" s="43"/>
      <c r="D52" s="34"/>
      <c r="E52" s="34"/>
      <c r="F52" s="35"/>
      <c r="G52" s="37"/>
      <c r="H52" s="35"/>
      <c r="I52" s="60"/>
      <c r="J52" s="37"/>
      <c r="K52" s="37"/>
      <c r="L52" s="37"/>
      <c r="M52" s="37"/>
      <c r="N52" s="37">
        <f>SUM(N53:N72)</f>
        <v>39994.31969344</v>
      </c>
      <c r="O52" s="62"/>
      <c r="P52" s="28"/>
      <c r="Q52" s="28"/>
    </row>
    <row r="53" s="19" customFormat="1" ht="45" spans="1:17">
      <c r="A53" s="33" t="s">
        <v>296</v>
      </c>
      <c r="B53" s="36" t="s">
        <v>313</v>
      </c>
      <c r="C53" s="36" t="s">
        <v>314</v>
      </c>
      <c r="D53" s="34" t="s">
        <v>55</v>
      </c>
      <c r="E53" s="34">
        <v>20.5</v>
      </c>
      <c r="F53" s="35">
        <v>12</v>
      </c>
      <c r="G53" s="37">
        <f t="shared" ref="G52:G80" si="21">H53*(1+I53)</f>
        <v>3.92</v>
      </c>
      <c r="H53" s="35">
        <v>3.92</v>
      </c>
      <c r="I53" s="60">
        <v>0</v>
      </c>
      <c r="J53" s="37">
        <v>0</v>
      </c>
      <c r="K53" s="37">
        <f t="shared" ref="K52:K80" si="22">(F53+G53+J53)*$K$5</f>
        <v>1.9104</v>
      </c>
      <c r="L53" s="37">
        <f t="shared" ref="L52:L80" si="23">(F53+G53+J53+K53)*$L$5</f>
        <v>1.604736</v>
      </c>
      <c r="M53" s="37">
        <f t="shared" ref="M52:M80" si="24">F53+G53+J53+K53+L53</f>
        <v>19.435136</v>
      </c>
      <c r="N53" s="37">
        <f t="shared" ref="N52:N80" si="25">M53*E53</f>
        <v>398.420288</v>
      </c>
      <c r="O53" s="62" t="s">
        <v>315</v>
      </c>
      <c r="P53" s="28"/>
      <c r="Q53" s="28"/>
    </row>
    <row r="54" s="19" customFormat="1" ht="45" spans="1:17">
      <c r="A54" s="33" t="s">
        <v>297</v>
      </c>
      <c r="B54" s="36" t="s">
        <v>313</v>
      </c>
      <c r="C54" s="36" t="s">
        <v>316</v>
      </c>
      <c r="D54" s="34" t="s">
        <v>55</v>
      </c>
      <c r="E54" s="34">
        <v>19.1</v>
      </c>
      <c r="F54" s="35">
        <f>F53</f>
        <v>12</v>
      </c>
      <c r="G54" s="37">
        <f t="shared" si="21"/>
        <v>2.8</v>
      </c>
      <c r="H54" s="35">
        <v>2.8</v>
      </c>
      <c r="I54" s="60">
        <v>0</v>
      </c>
      <c r="J54" s="37">
        <v>0</v>
      </c>
      <c r="K54" s="37">
        <f t="shared" si="22"/>
        <v>1.776</v>
      </c>
      <c r="L54" s="37">
        <f t="shared" si="23"/>
        <v>1.49184</v>
      </c>
      <c r="M54" s="37">
        <f t="shared" si="24"/>
        <v>18.06784</v>
      </c>
      <c r="N54" s="37">
        <f t="shared" si="25"/>
        <v>345.095744</v>
      </c>
      <c r="O54" s="62" t="str">
        <f>O53</f>
        <v>金牛、保利</v>
      </c>
      <c r="P54" s="28"/>
      <c r="Q54" s="28"/>
    </row>
    <row r="55" s="19" customFormat="1" ht="45" spans="1:17">
      <c r="A55" s="33" t="s">
        <v>300</v>
      </c>
      <c r="B55" s="36" t="s">
        <v>313</v>
      </c>
      <c r="C55" s="36" t="s">
        <v>317</v>
      </c>
      <c r="D55" s="34" t="s">
        <v>55</v>
      </c>
      <c r="E55" s="34">
        <v>14.78</v>
      </c>
      <c r="F55" s="35">
        <f>F53</f>
        <v>12</v>
      </c>
      <c r="G55" s="37">
        <f t="shared" si="21"/>
        <v>5.05</v>
      </c>
      <c r="H55" s="35">
        <v>5.05</v>
      </c>
      <c r="I55" s="60">
        <v>0</v>
      </c>
      <c r="J55" s="37">
        <v>0</v>
      </c>
      <c r="K55" s="37">
        <f t="shared" si="22"/>
        <v>2.046</v>
      </c>
      <c r="L55" s="37">
        <f t="shared" si="23"/>
        <v>1.71864</v>
      </c>
      <c r="M55" s="37">
        <f t="shared" si="24"/>
        <v>20.81464</v>
      </c>
      <c r="N55" s="37">
        <f t="shared" si="25"/>
        <v>307.6403792</v>
      </c>
      <c r="O55" s="62" t="str">
        <f>O53</f>
        <v>金牛、保利</v>
      </c>
      <c r="P55" s="28"/>
      <c r="Q55" s="28"/>
    </row>
    <row r="56" s="19" customFormat="1" ht="45" spans="1:17">
      <c r="A56" s="33" t="s">
        <v>302</v>
      </c>
      <c r="B56" s="36" t="s">
        <v>313</v>
      </c>
      <c r="C56" s="36" t="s">
        <v>318</v>
      </c>
      <c r="D56" s="34" t="s">
        <v>55</v>
      </c>
      <c r="E56" s="34">
        <v>32.77</v>
      </c>
      <c r="F56" s="35">
        <f>F53</f>
        <v>12</v>
      </c>
      <c r="G56" s="37">
        <f t="shared" si="21"/>
        <v>3.14</v>
      </c>
      <c r="H56" s="35">
        <v>3.14</v>
      </c>
      <c r="I56" s="60">
        <v>0</v>
      </c>
      <c r="J56" s="37">
        <v>0</v>
      </c>
      <c r="K56" s="37">
        <f t="shared" si="22"/>
        <v>1.8168</v>
      </c>
      <c r="L56" s="37">
        <f t="shared" si="23"/>
        <v>1.526112</v>
      </c>
      <c r="M56" s="37">
        <f t="shared" si="24"/>
        <v>18.482912</v>
      </c>
      <c r="N56" s="37">
        <f t="shared" si="25"/>
        <v>605.68502624</v>
      </c>
      <c r="O56" s="62" t="str">
        <f>O53</f>
        <v>金牛、保利</v>
      </c>
      <c r="P56" s="28"/>
      <c r="Q56" s="28"/>
    </row>
    <row r="57" s="19" customFormat="1" ht="25" customHeight="1" spans="1:17">
      <c r="A57" s="33" t="s">
        <v>304</v>
      </c>
      <c r="B57" s="36" t="s">
        <v>319</v>
      </c>
      <c r="C57" s="36" t="s">
        <v>320</v>
      </c>
      <c r="D57" s="34" t="s">
        <v>225</v>
      </c>
      <c r="E57" s="34">
        <v>12</v>
      </c>
      <c r="F57" s="35">
        <v>5.5</v>
      </c>
      <c r="G57" s="37">
        <f t="shared" si="21"/>
        <v>3</v>
      </c>
      <c r="H57" s="35">
        <v>3</v>
      </c>
      <c r="I57" s="60">
        <v>0</v>
      </c>
      <c r="J57" s="37">
        <v>0</v>
      </c>
      <c r="K57" s="37">
        <f t="shared" si="22"/>
        <v>1.02</v>
      </c>
      <c r="L57" s="37">
        <f t="shared" si="23"/>
        <v>0.8568</v>
      </c>
      <c r="M57" s="37">
        <f t="shared" si="24"/>
        <v>10.3768</v>
      </c>
      <c r="N57" s="37">
        <f t="shared" si="25"/>
        <v>124.5216</v>
      </c>
      <c r="O57" s="62" t="str">
        <f>O53</f>
        <v>金牛、保利</v>
      </c>
      <c r="P57" s="28"/>
      <c r="Q57" s="28"/>
    </row>
    <row r="58" s="19" customFormat="1" ht="45" spans="1:17">
      <c r="A58" s="33" t="s">
        <v>306</v>
      </c>
      <c r="B58" s="36" t="s">
        <v>321</v>
      </c>
      <c r="C58" s="36" t="s">
        <v>322</v>
      </c>
      <c r="D58" s="34" t="s">
        <v>55</v>
      </c>
      <c r="E58" s="34">
        <v>3.8</v>
      </c>
      <c r="F58" s="35">
        <v>15</v>
      </c>
      <c r="G58" s="37">
        <f t="shared" si="21"/>
        <v>17.05</v>
      </c>
      <c r="H58" s="35">
        <v>17.05</v>
      </c>
      <c r="I58" s="60">
        <v>0</v>
      </c>
      <c r="J58" s="37">
        <v>0</v>
      </c>
      <c r="K58" s="37">
        <f t="shared" si="22"/>
        <v>3.846</v>
      </c>
      <c r="L58" s="37">
        <f t="shared" si="23"/>
        <v>3.23064</v>
      </c>
      <c r="M58" s="37">
        <f t="shared" si="24"/>
        <v>39.12664</v>
      </c>
      <c r="N58" s="37">
        <f t="shared" si="25"/>
        <v>148.681232</v>
      </c>
      <c r="O58" s="62" t="str">
        <f>O57</f>
        <v>金牛、保利</v>
      </c>
      <c r="P58" s="28"/>
      <c r="Q58" s="28"/>
    </row>
    <row r="59" s="19" customFormat="1" ht="45" spans="1:17">
      <c r="A59" s="33" t="s">
        <v>308</v>
      </c>
      <c r="B59" s="36" t="s">
        <v>321</v>
      </c>
      <c r="C59" s="36" t="s">
        <v>323</v>
      </c>
      <c r="D59" s="34" t="s">
        <v>55</v>
      </c>
      <c r="E59" s="34">
        <v>3.15</v>
      </c>
      <c r="F59" s="35">
        <v>13</v>
      </c>
      <c r="G59" s="37">
        <f t="shared" si="21"/>
        <v>10</v>
      </c>
      <c r="H59" s="35">
        <v>10</v>
      </c>
      <c r="I59" s="60">
        <v>0</v>
      </c>
      <c r="J59" s="37">
        <v>0</v>
      </c>
      <c r="K59" s="37">
        <f t="shared" si="22"/>
        <v>2.76</v>
      </c>
      <c r="L59" s="37">
        <f t="shared" si="23"/>
        <v>2.3184</v>
      </c>
      <c r="M59" s="37">
        <f t="shared" si="24"/>
        <v>28.0784</v>
      </c>
      <c r="N59" s="37">
        <f t="shared" si="25"/>
        <v>88.44696</v>
      </c>
      <c r="O59" s="62" t="str">
        <f>O57</f>
        <v>金牛、保利</v>
      </c>
      <c r="P59" s="28"/>
      <c r="Q59" s="28"/>
    </row>
    <row r="60" s="19" customFormat="1" ht="45" spans="1:17">
      <c r="A60" s="33" t="s">
        <v>310</v>
      </c>
      <c r="B60" s="36" t="s">
        <v>321</v>
      </c>
      <c r="C60" s="36" t="s">
        <v>324</v>
      </c>
      <c r="D60" s="34" t="s">
        <v>55</v>
      </c>
      <c r="E60" s="34">
        <v>6.5</v>
      </c>
      <c r="F60" s="35">
        <f>F59</f>
        <v>13</v>
      </c>
      <c r="G60" s="37">
        <f t="shared" si="21"/>
        <v>5.82</v>
      </c>
      <c r="H60" s="35">
        <v>5.82</v>
      </c>
      <c r="I60" s="60">
        <v>0</v>
      </c>
      <c r="J60" s="37">
        <v>0</v>
      </c>
      <c r="K60" s="37">
        <f t="shared" si="22"/>
        <v>2.2584</v>
      </c>
      <c r="L60" s="37">
        <f t="shared" si="23"/>
        <v>1.897056</v>
      </c>
      <c r="M60" s="37">
        <f t="shared" si="24"/>
        <v>22.975456</v>
      </c>
      <c r="N60" s="37">
        <f t="shared" si="25"/>
        <v>149.340464</v>
      </c>
      <c r="O60" s="62" t="str">
        <f>O57</f>
        <v>金牛、保利</v>
      </c>
      <c r="P60" s="28"/>
      <c r="Q60" s="28"/>
    </row>
    <row r="61" s="19" customFormat="1" ht="37" customHeight="1" spans="1:17">
      <c r="A61" s="33" t="s">
        <v>325</v>
      </c>
      <c r="B61" s="36" t="s">
        <v>326</v>
      </c>
      <c r="C61" s="36" t="s">
        <v>327</v>
      </c>
      <c r="D61" s="34" t="s">
        <v>225</v>
      </c>
      <c r="E61" s="34">
        <v>1</v>
      </c>
      <c r="F61" s="35">
        <v>12</v>
      </c>
      <c r="G61" s="37">
        <f t="shared" si="21"/>
        <v>30</v>
      </c>
      <c r="H61" s="35">
        <v>30</v>
      </c>
      <c r="I61" s="60">
        <v>0</v>
      </c>
      <c r="J61" s="37">
        <v>0</v>
      </c>
      <c r="K61" s="37">
        <f t="shared" si="22"/>
        <v>5.04</v>
      </c>
      <c r="L61" s="37">
        <f t="shared" si="23"/>
        <v>4.2336</v>
      </c>
      <c r="M61" s="37">
        <f t="shared" si="24"/>
        <v>51.2736</v>
      </c>
      <c r="N61" s="37">
        <f t="shared" si="25"/>
        <v>51.2736</v>
      </c>
      <c r="O61" s="62" t="str">
        <f>O57</f>
        <v>金牛、保利</v>
      </c>
      <c r="P61" s="28"/>
      <c r="Q61" s="28"/>
    </row>
    <row r="62" s="19" customFormat="1" ht="33.75" spans="1:17">
      <c r="A62" s="33" t="s">
        <v>328</v>
      </c>
      <c r="B62" s="36" t="s">
        <v>329</v>
      </c>
      <c r="C62" s="36" t="s">
        <v>330</v>
      </c>
      <c r="D62" s="34" t="s">
        <v>94</v>
      </c>
      <c r="E62" s="34">
        <v>1</v>
      </c>
      <c r="F62" s="35">
        <v>75</v>
      </c>
      <c r="G62" s="37">
        <f t="shared" si="21"/>
        <v>4340</v>
      </c>
      <c r="H62" s="35">
        <v>4340</v>
      </c>
      <c r="I62" s="60">
        <v>0</v>
      </c>
      <c r="J62" s="37">
        <v>28</v>
      </c>
      <c r="K62" s="37">
        <f t="shared" si="22"/>
        <v>533.16</v>
      </c>
      <c r="L62" s="37">
        <f t="shared" si="23"/>
        <v>447.8544</v>
      </c>
      <c r="M62" s="37">
        <f t="shared" si="24"/>
        <v>5424.0144</v>
      </c>
      <c r="N62" s="37">
        <f t="shared" si="25"/>
        <v>5424.0144</v>
      </c>
      <c r="O62" s="62" t="s">
        <v>331</v>
      </c>
      <c r="P62" s="28"/>
      <c r="Q62" s="28"/>
    </row>
    <row r="63" s="19" customFormat="1" ht="33.75" spans="1:17">
      <c r="A63" s="33" t="s">
        <v>332</v>
      </c>
      <c r="B63" s="36" t="s">
        <v>329</v>
      </c>
      <c r="C63" s="36" t="s">
        <v>333</v>
      </c>
      <c r="D63" s="34" t="s">
        <v>94</v>
      </c>
      <c r="E63" s="34">
        <v>1</v>
      </c>
      <c r="F63" s="35">
        <f>F62</f>
        <v>75</v>
      </c>
      <c r="G63" s="37">
        <f t="shared" si="21"/>
        <v>4340</v>
      </c>
      <c r="H63" s="35">
        <f>H62</f>
        <v>4340</v>
      </c>
      <c r="I63" s="60">
        <v>0</v>
      </c>
      <c r="J63" s="37">
        <f>J62</f>
        <v>28</v>
      </c>
      <c r="K63" s="37">
        <f t="shared" si="22"/>
        <v>533.16</v>
      </c>
      <c r="L63" s="37">
        <f t="shared" si="23"/>
        <v>447.8544</v>
      </c>
      <c r="M63" s="37">
        <f t="shared" si="24"/>
        <v>5424.0144</v>
      </c>
      <c r="N63" s="37">
        <f t="shared" si="25"/>
        <v>5424.0144</v>
      </c>
      <c r="O63" s="62" t="str">
        <f>O62</f>
        <v>摩恩</v>
      </c>
      <c r="P63" s="28"/>
      <c r="Q63" s="28"/>
    </row>
    <row r="64" s="19" customFormat="1" ht="28" customHeight="1" spans="1:17">
      <c r="A64" s="33" t="s">
        <v>334</v>
      </c>
      <c r="B64" s="36" t="s">
        <v>335</v>
      </c>
      <c r="C64" s="36" t="s">
        <v>336</v>
      </c>
      <c r="D64" s="34" t="s">
        <v>94</v>
      </c>
      <c r="E64" s="34">
        <v>1</v>
      </c>
      <c r="F64" s="35">
        <v>17</v>
      </c>
      <c r="G64" s="37">
        <f t="shared" si="21"/>
        <v>97</v>
      </c>
      <c r="H64" s="35">
        <v>97</v>
      </c>
      <c r="I64" s="60">
        <v>0</v>
      </c>
      <c r="J64" s="37">
        <v>0</v>
      </c>
      <c r="K64" s="37">
        <f t="shared" si="22"/>
        <v>13.68</v>
      </c>
      <c r="L64" s="37">
        <f t="shared" si="23"/>
        <v>11.4912</v>
      </c>
      <c r="M64" s="37">
        <f t="shared" si="24"/>
        <v>139.1712</v>
      </c>
      <c r="N64" s="37">
        <f t="shared" si="25"/>
        <v>139.1712</v>
      </c>
      <c r="O64" s="62" t="s">
        <v>196</v>
      </c>
      <c r="P64" s="28"/>
      <c r="Q64" s="28"/>
    </row>
    <row r="65" s="19" customFormat="1" ht="28" customHeight="1" spans="1:17">
      <c r="A65" s="33" t="s">
        <v>337</v>
      </c>
      <c r="B65" s="36" t="s">
        <v>335</v>
      </c>
      <c r="C65" s="36" t="s">
        <v>338</v>
      </c>
      <c r="D65" s="34" t="s">
        <v>94</v>
      </c>
      <c r="E65" s="34">
        <v>2</v>
      </c>
      <c r="F65" s="35">
        <f>F64</f>
        <v>17</v>
      </c>
      <c r="G65" s="37">
        <f t="shared" si="21"/>
        <v>97</v>
      </c>
      <c r="H65" s="35">
        <f>H64</f>
        <v>97</v>
      </c>
      <c r="I65" s="60">
        <v>0</v>
      </c>
      <c r="J65" s="37">
        <v>0</v>
      </c>
      <c r="K65" s="37">
        <f t="shared" si="22"/>
        <v>13.68</v>
      </c>
      <c r="L65" s="37">
        <f t="shared" si="23"/>
        <v>11.4912</v>
      </c>
      <c r="M65" s="37">
        <f t="shared" si="24"/>
        <v>139.1712</v>
      </c>
      <c r="N65" s="37">
        <f t="shared" si="25"/>
        <v>278.3424</v>
      </c>
      <c r="O65" s="62" t="s">
        <v>196</v>
      </c>
      <c r="P65" s="28"/>
      <c r="Q65" s="28"/>
    </row>
    <row r="66" s="19" customFormat="1" ht="28" customHeight="1" spans="1:17">
      <c r="A66" s="33" t="s">
        <v>339</v>
      </c>
      <c r="B66" s="36" t="s">
        <v>335</v>
      </c>
      <c r="C66" s="36" t="s">
        <v>340</v>
      </c>
      <c r="D66" s="34" t="s">
        <v>94</v>
      </c>
      <c r="E66" s="34">
        <v>1</v>
      </c>
      <c r="F66" s="35">
        <f>F64</f>
        <v>17</v>
      </c>
      <c r="G66" s="37">
        <f t="shared" si="21"/>
        <v>50</v>
      </c>
      <c r="H66" s="35">
        <v>50</v>
      </c>
      <c r="I66" s="60">
        <v>0</v>
      </c>
      <c r="J66" s="37">
        <v>0</v>
      </c>
      <c r="K66" s="37">
        <f t="shared" si="22"/>
        <v>8.04</v>
      </c>
      <c r="L66" s="37">
        <f t="shared" si="23"/>
        <v>6.7536</v>
      </c>
      <c r="M66" s="37">
        <f t="shared" si="24"/>
        <v>81.7936</v>
      </c>
      <c r="N66" s="37">
        <f t="shared" si="25"/>
        <v>81.7936</v>
      </c>
      <c r="O66" s="62" t="s">
        <v>196</v>
      </c>
      <c r="P66" s="28"/>
      <c r="Q66" s="28"/>
    </row>
    <row r="67" s="19" customFormat="1" ht="45" spans="1:17">
      <c r="A67" s="33" t="s">
        <v>341</v>
      </c>
      <c r="B67" s="36" t="s">
        <v>342</v>
      </c>
      <c r="C67" s="36" t="s">
        <v>343</v>
      </c>
      <c r="D67" s="34" t="s">
        <v>94</v>
      </c>
      <c r="E67" s="34">
        <v>1</v>
      </c>
      <c r="F67" s="35">
        <v>90</v>
      </c>
      <c r="G67" s="37">
        <f t="shared" si="21"/>
        <v>2000</v>
      </c>
      <c r="H67" s="35">
        <v>2000</v>
      </c>
      <c r="I67" s="60">
        <v>0</v>
      </c>
      <c r="J67" s="37">
        <v>28</v>
      </c>
      <c r="K67" s="37">
        <f t="shared" si="22"/>
        <v>254.16</v>
      </c>
      <c r="L67" s="37">
        <f t="shared" si="23"/>
        <v>213.4944</v>
      </c>
      <c r="M67" s="37">
        <f t="shared" si="24"/>
        <v>2585.6544</v>
      </c>
      <c r="N67" s="37">
        <f t="shared" si="25"/>
        <v>2585.6544</v>
      </c>
      <c r="O67" s="62" t="str">
        <f>O62</f>
        <v>摩恩</v>
      </c>
      <c r="P67" s="28"/>
      <c r="Q67" s="28"/>
    </row>
    <row r="68" s="19" customFormat="1" ht="45" spans="1:17">
      <c r="A68" s="33" t="s">
        <v>344</v>
      </c>
      <c r="B68" s="36" t="s">
        <v>342</v>
      </c>
      <c r="C68" s="36" t="s">
        <v>345</v>
      </c>
      <c r="D68" s="34" t="s">
        <v>94</v>
      </c>
      <c r="E68" s="34">
        <v>1</v>
      </c>
      <c r="F68" s="35">
        <f>F67</f>
        <v>90</v>
      </c>
      <c r="G68" s="37">
        <f t="shared" si="21"/>
        <v>2000</v>
      </c>
      <c r="H68" s="35">
        <f>H67</f>
        <v>2000</v>
      </c>
      <c r="I68" s="60">
        <v>0</v>
      </c>
      <c r="J68" s="37">
        <f>J67</f>
        <v>28</v>
      </c>
      <c r="K68" s="37">
        <f t="shared" si="22"/>
        <v>254.16</v>
      </c>
      <c r="L68" s="37">
        <f t="shared" si="23"/>
        <v>213.4944</v>
      </c>
      <c r="M68" s="37">
        <f t="shared" si="24"/>
        <v>2585.6544</v>
      </c>
      <c r="N68" s="37">
        <f t="shared" si="25"/>
        <v>2585.6544</v>
      </c>
      <c r="O68" s="62" t="str">
        <f>O67</f>
        <v>摩恩</v>
      </c>
      <c r="P68" s="28"/>
      <c r="Q68" s="28"/>
    </row>
    <row r="69" s="19" customFormat="1" ht="33.75" spans="1:17">
      <c r="A69" s="33" t="s">
        <v>346</v>
      </c>
      <c r="B69" s="36" t="s">
        <v>347</v>
      </c>
      <c r="C69" s="36" t="s">
        <v>348</v>
      </c>
      <c r="D69" s="34" t="s">
        <v>94</v>
      </c>
      <c r="E69" s="34">
        <v>1</v>
      </c>
      <c r="F69" s="35">
        <v>95</v>
      </c>
      <c r="G69" s="37">
        <f t="shared" si="21"/>
        <v>5300</v>
      </c>
      <c r="H69" s="35">
        <v>5300</v>
      </c>
      <c r="I69" s="60">
        <v>0</v>
      </c>
      <c r="J69" s="37">
        <f>J67</f>
        <v>28</v>
      </c>
      <c r="K69" s="37">
        <f t="shared" si="22"/>
        <v>650.76</v>
      </c>
      <c r="L69" s="37">
        <f t="shared" si="23"/>
        <v>546.6384</v>
      </c>
      <c r="M69" s="37">
        <f t="shared" si="24"/>
        <v>6620.3984</v>
      </c>
      <c r="N69" s="37">
        <f t="shared" si="25"/>
        <v>6620.3984</v>
      </c>
      <c r="O69" s="62" t="s">
        <v>196</v>
      </c>
      <c r="P69" s="28"/>
      <c r="Q69" s="28"/>
    </row>
    <row r="70" s="19" customFormat="1" ht="33.75" spans="1:17">
      <c r="A70" s="33" t="s">
        <v>349</v>
      </c>
      <c r="B70" s="36" t="s">
        <v>350</v>
      </c>
      <c r="C70" s="36" t="s">
        <v>351</v>
      </c>
      <c r="D70" s="34" t="s">
        <v>94</v>
      </c>
      <c r="E70" s="34">
        <v>1</v>
      </c>
      <c r="F70" s="35">
        <v>300</v>
      </c>
      <c r="G70" s="37">
        <f t="shared" si="21"/>
        <v>8000</v>
      </c>
      <c r="H70" s="35">
        <v>8000</v>
      </c>
      <c r="I70" s="60">
        <v>0</v>
      </c>
      <c r="J70" s="37">
        <v>0</v>
      </c>
      <c r="K70" s="37">
        <f t="shared" si="22"/>
        <v>996</v>
      </c>
      <c r="L70" s="37">
        <f t="shared" si="23"/>
        <v>836.64</v>
      </c>
      <c r="M70" s="37">
        <f t="shared" si="24"/>
        <v>10132.64</v>
      </c>
      <c r="N70" s="37">
        <f t="shared" si="25"/>
        <v>10132.64</v>
      </c>
      <c r="O70" s="62" t="str">
        <f>O67</f>
        <v>摩恩</v>
      </c>
      <c r="P70" s="28"/>
      <c r="Q70" s="28"/>
    </row>
    <row r="71" s="19" customFormat="1" ht="33.75" spans="1:17">
      <c r="A71" s="33" t="s">
        <v>352</v>
      </c>
      <c r="B71" s="36" t="s">
        <v>353</v>
      </c>
      <c r="C71" s="36" t="s">
        <v>354</v>
      </c>
      <c r="D71" s="34" t="s">
        <v>225</v>
      </c>
      <c r="E71" s="34">
        <v>1</v>
      </c>
      <c r="F71" s="35">
        <v>12</v>
      </c>
      <c r="G71" s="37">
        <f t="shared" si="21"/>
        <v>57</v>
      </c>
      <c r="H71" s="35">
        <v>57</v>
      </c>
      <c r="I71" s="60">
        <v>0</v>
      </c>
      <c r="J71" s="37">
        <v>2</v>
      </c>
      <c r="K71" s="37">
        <f t="shared" si="22"/>
        <v>8.52</v>
      </c>
      <c r="L71" s="37">
        <f t="shared" si="23"/>
        <v>7.1568</v>
      </c>
      <c r="M71" s="37">
        <f t="shared" si="24"/>
        <v>86.6768</v>
      </c>
      <c r="N71" s="37">
        <f t="shared" si="25"/>
        <v>86.6768</v>
      </c>
      <c r="O71" s="62" t="str">
        <f>O69</f>
        <v>九牧、箭牌</v>
      </c>
      <c r="P71" s="28"/>
      <c r="Q71" s="28"/>
    </row>
    <row r="72" s="19" customFormat="1" ht="33.75" spans="1:17">
      <c r="A72" s="33" t="s">
        <v>355</v>
      </c>
      <c r="B72" s="36" t="s">
        <v>356</v>
      </c>
      <c r="C72" s="36" t="s">
        <v>357</v>
      </c>
      <c r="D72" s="34" t="s">
        <v>94</v>
      </c>
      <c r="E72" s="34">
        <v>1</v>
      </c>
      <c r="F72" s="35">
        <f>F68</f>
        <v>90</v>
      </c>
      <c r="G72" s="37">
        <f t="shared" si="21"/>
        <v>3500</v>
      </c>
      <c r="H72" s="35">
        <v>3500</v>
      </c>
      <c r="I72" s="60">
        <v>0</v>
      </c>
      <c r="J72" s="37">
        <f>J68</f>
        <v>28</v>
      </c>
      <c r="K72" s="37">
        <f t="shared" si="22"/>
        <v>434.16</v>
      </c>
      <c r="L72" s="37">
        <f t="shared" si="23"/>
        <v>364.6944</v>
      </c>
      <c r="M72" s="37">
        <f t="shared" si="24"/>
        <v>4416.8544</v>
      </c>
      <c r="N72" s="37">
        <f t="shared" si="25"/>
        <v>4416.8544</v>
      </c>
      <c r="O72" s="62" t="s">
        <v>331</v>
      </c>
      <c r="P72" s="28"/>
      <c r="Q72" s="28"/>
    </row>
    <row r="73" s="19" customFormat="1" ht="19" customHeight="1" spans="1:17">
      <c r="A73" s="33" t="s">
        <v>20</v>
      </c>
      <c r="B73" s="42" t="s">
        <v>358</v>
      </c>
      <c r="C73" s="43"/>
      <c r="D73" s="34"/>
      <c r="E73" s="34"/>
      <c r="F73" s="35"/>
      <c r="G73" s="37"/>
      <c r="H73" s="35"/>
      <c r="I73" s="60"/>
      <c r="J73" s="37"/>
      <c r="K73" s="37"/>
      <c r="L73" s="37"/>
      <c r="M73" s="37"/>
      <c r="N73" s="37">
        <f>SUM(N74:N96)</f>
        <v>39679.777252864</v>
      </c>
      <c r="O73" s="62"/>
      <c r="P73" s="28"/>
      <c r="Q73" s="28"/>
    </row>
    <row r="74" s="19" customFormat="1" ht="56.25" spans="1:17">
      <c r="A74" s="33" t="s">
        <v>359</v>
      </c>
      <c r="B74" s="44" t="s">
        <v>360</v>
      </c>
      <c r="C74" s="44" t="s">
        <v>361</v>
      </c>
      <c r="D74" s="67" t="s">
        <v>362</v>
      </c>
      <c r="E74" s="34">
        <v>2</v>
      </c>
      <c r="F74" s="35">
        <v>290</v>
      </c>
      <c r="G74" s="37">
        <f t="shared" ref="G74:G79" si="26">H74*(1+I74)</f>
        <v>2053</v>
      </c>
      <c r="H74" s="35">
        <f>1853+200</f>
        <v>2053</v>
      </c>
      <c r="I74" s="60">
        <v>0</v>
      </c>
      <c r="J74" s="37">
        <v>95</v>
      </c>
      <c r="K74" s="37">
        <f>(F74+G74+J74)*$K$5</f>
        <v>292.56</v>
      </c>
      <c r="L74" s="37">
        <f>(F74+G74+J74+K74)*$L$5</f>
        <v>245.7504</v>
      </c>
      <c r="M74" s="37">
        <f t="shared" ref="M74:M79" si="27">F74+G74+J74+K74+L74</f>
        <v>2976.3104</v>
      </c>
      <c r="N74" s="37">
        <f t="shared" ref="N74:N79" si="28">M74*E74</f>
        <v>5952.6208</v>
      </c>
      <c r="O74" s="62" t="s">
        <v>363</v>
      </c>
      <c r="P74" s="28"/>
      <c r="Q74" s="28"/>
    </row>
    <row r="75" s="19" customFormat="1" ht="56.25" spans="1:17">
      <c r="A75" s="33" t="s">
        <v>364</v>
      </c>
      <c r="B75" s="44" t="s">
        <v>360</v>
      </c>
      <c r="C75" s="44" t="s">
        <v>365</v>
      </c>
      <c r="D75" s="67" t="s">
        <v>362</v>
      </c>
      <c r="E75" s="34">
        <v>1</v>
      </c>
      <c r="F75" s="35">
        <f>F74</f>
        <v>290</v>
      </c>
      <c r="G75" s="37">
        <f t="shared" si="26"/>
        <v>1933</v>
      </c>
      <c r="H75" s="35">
        <f>1733+200</f>
        <v>1933</v>
      </c>
      <c r="I75" s="60">
        <v>0</v>
      </c>
      <c r="J75" s="37">
        <f>J74</f>
        <v>95</v>
      </c>
      <c r="K75" s="37">
        <f>(F75+G75+J75)*$K$5</f>
        <v>278.16</v>
      </c>
      <c r="L75" s="37">
        <f>(F75+G75+J75+K75)*$L$5</f>
        <v>233.6544</v>
      </c>
      <c r="M75" s="37">
        <f t="shared" si="27"/>
        <v>2829.8144</v>
      </c>
      <c r="N75" s="37">
        <f t="shared" si="28"/>
        <v>2829.8144</v>
      </c>
      <c r="O75" s="62" t="str">
        <f t="shared" ref="O75:O96" si="29">$O$74</f>
        <v>海信</v>
      </c>
      <c r="P75" s="28"/>
      <c r="Q75" s="28"/>
    </row>
    <row r="76" s="19" customFormat="1" ht="56.25" spans="1:17">
      <c r="A76" s="33" t="s">
        <v>366</v>
      </c>
      <c r="B76" s="44" t="s">
        <v>360</v>
      </c>
      <c r="C76" s="44" t="s">
        <v>367</v>
      </c>
      <c r="D76" s="67" t="s">
        <v>362</v>
      </c>
      <c r="E76" s="34">
        <v>1</v>
      </c>
      <c r="F76" s="35">
        <f>F74</f>
        <v>290</v>
      </c>
      <c r="G76" s="37">
        <f t="shared" si="26"/>
        <v>1875</v>
      </c>
      <c r="H76" s="35">
        <f>1675+200</f>
        <v>1875</v>
      </c>
      <c r="I76" s="60">
        <v>0</v>
      </c>
      <c r="J76" s="37">
        <f>J74</f>
        <v>95</v>
      </c>
      <c r="K76" s="37">
        <f>(F76+G76+J76)*$K$5</f>
        <v>271.2</v>
      </c>
      <c r="L76" s="37">
        <f>(F76+G76+J76+K76)*$L$5</f>
        <v>227.808</v>
      </c>
      <c r="M76" s="37">
        <f t="shared" si="27"/>
        <v>2759.008</v>
      </c>
      <c r="N76" s="37">
        <f t="shared" si="28"/>
        <v>2759.008</v>
      </c>
      <c r="O76" s="62" t="str">
        <f t="shared" si="29"/>
        <v>海信</v>
      </c>
      <c r="P76" s="28"/>
      <c r="Q76" s="28"/>
    </row>
    <row r="77" s="19" customFormat="1" ht="56.25" spans="1:17">
      <c r="A77" s="33" t="s">
        <v>368</v>
      </c>
      <c r="B77" s="44" t="s">
        <v>360</v>
      </c>
      <c r="C77" s="44" t="s">
        <v>369</v>
      </c>
      <c r="D77" s="67" t="s">
        <v>362</v>
      </c>
      <c r="E77" s="34">
        <v>2</v>
      </c>
      <c r="F77" s="35">
        <f>F74</f>
        <v>290</v>
      </c>
      <c r="G77" s="37">
        <f t="shared" si="26"/>
        <v>1875</v>
      </c>
      <c r="H77" s="35">
        <f>1675+200</f>
        <v>1875</v>
      </c>
      <c r="I77" s="60">
        <v>0</v>
      </c>
      <c r="J77" s="37">
        <f>J74</f>
        <v>95</v>
      </c>
      <c r="K77" s="37">
        <f>(F77+G77+J77)*$K$5</f>
        <v>271.2</v>
      </c>
      <c r="L77" s="37">
        <f>(F77+G77+J77+K77)*$L$5</f>
        <v>227.808</v>
      </c>
      <c r="M77" s="37">
        <f t="shared" si="27"/>
        <v>2759.008</v>
      </c>
      <c r="N77" s="37">
        <f t="shared" si="28"/>
        <v>5518.016</v>
      </c>
      <c r="O77" s="62" t="str">
        <f t="shared" si="29"/>
        <v>海信</v>
      </c>
      <c r="P77" s="28"/>
      <c r="Q77" s="28"/>
    </row>
    <row r="78" s="19" customFormat="1" ht="56.25" spans="1:17">
      <c r="A78" s="33" t="s">
        <v>370</v>
      </c>
      <c r="B78" s="44" t="s">
        <v>371</v>
      </c>
      <c r="C78" s="44" t="s">
        <v>372</v>
      </c>
      <c r="D78" s="67" t="s">
        <v>362</v>
      </c>
      <c r="E78" s="34">
        <v>1</v>
      </c>
      <c r="F78" s="35">
        <v>400</v>
      </c>
      <c r="G78" s="37">
        <f t="shared" si="26"/>
        <v>9480</v>
      </c>
      <c r="H78" s="35">
        <f>9280+200</f>
        <v>9480</v>
      </c>
      <c r="I78" s="60">
        <v>0</v>
      </c>
      <c r="J78" s="37">
        <v>235</v>
      </c>
      <c r="K78" s="37">
        <f>(F78+G78+J78)*$K$5</f>
        <v>1213.8</v>
      </c>
      <c r="L78" s="37">
        <f>(F78+G78+J78+K78)*$L$5</f>
        <v>1019.592</v>
      </c>
      <c r="M78" s="37">
        <f t="shared" si="27"/>
        <v>12348.392</v>
      </c>
      <c r="N78" s="37">
        <f t="shared" si="28"/>
        <v>12348.392</v>
      </c>
      <c r="O78" s="62" t="str">
        <f t="shared" si="29"/>
        <v>海信</v>
      </c>
      <c r="P78" s="28"/>
      <c r="Q78" s="28"/>
    </row>
    <row r="79" s="19" customFormat="1" ht="45" spans="1:17">
      <c r="A79" s="33" t="s">
        <v>373</v>
      </c>
      <c r="B79" s="44" t="s">
        <v>374</v>
      </c>
      <c r="C79" s="44" t="s">
        <v>375</v>
      </c>
      <c r="D79" s="67" t="s">
        <v>225</v>
      </c>
      <c r="E79" s="34">
        <v>2</v>
      </c>
      <c r="F79" s="35">
        <v>2.2</v>
      </c>
      <c r="G79" s="37">
        <f t="shared" si="26"/>
        <v>2.9</v>
      </c>
      <c r="H79" s="35">
        <v>2.9</v>
      </c>
      <c r="I79" s="60">
        <v>0</v>
      </c>
      <c r="J79" s="37">
        <v>0</v>
      </c>
      <c r="K79" s="37">
        <f>(F79+G79+J79)*$K$5</f>
        <v>0.612</v>
      </c>
      <c r="L79" s="37">
        <f>(F79+G79+J79+K79)*$L$5</f>
        <v>0.51408</v>
      </c>
      <c r="M79" s="37">
        <f t="shared" si="27"/>
        <v>6.22608</v>
      </c>
      <c r="N79" s="37">
        <f t="shared" si="28"/>
        <v>12.45216</v>
      </c>
      <c r="O79" s="62" t="str">
        <f t="shared" si="29"/>
        <v>海信</v>
      </c>
      <c r="P79" s="28"/>
      <c r="Q79" s="28"/>
    </row>
    <row r="80" s="19" customFormat="1" ht="45" spans="1:17">
      <c r="A80" s="33" t="s">
        <v>376</v>
      </c>
      <c r="B80" s="44" t="s">
        <v>374</v>
      </c>
      <c r="C80" s="44" t="s">
        <v>377</v>
      </c>
      <c r="D80" s="67" t="s">
        <v>225</v>
      </c>
      <c r="E80" s="34">
        <v>1</v>
      </c>
      <c r="F80" s="35">
        <f>F79</f>
        <v>2.2</v>
      </c>
      <c r="G80" s="37">
        <f t="shared" ref="G80:G105" si="30">H80*(1+I80)</f>
        <v>1.5</v>
      </c>
      <c r="H80" s="35">
        <v>1.5</v>
      </c>
      <c r="I80" s="60">
        <v>0</v>
      </c>
      <c r="J80" s="37">
        <v>0</v>
      </c>
      <c r="K80" s="37">
        <f t="shared" ref="K80:K105" si="31">(F80+G80+J80)*$K$5</f>
        <v>0.444</v>
      </c>
      <c r="L80" s="37">
        <f t="shared" ref="L80:L105" si="32">(F80+G80+J80+K80)*$L$5</f>
        <v>0.37296</v>
      </c>
      <c r="M80" s="37">
        <f t="shared" ref="M80:M105" si="33">F80+G80+J80+K80+L80</f>
        <v>4.51696</v>
      </c>
      <c r="N80" s="37">
        <f t="shared" ref="N80:N105" si="34">M80*E80</f>
        <v>4.51696</v>
      </c>
      <c r="O80" s="62" t="str">
        <f t="shared" si="29"/>
        <v>海信</v>
      </c>
      <c r="P80" s="28"/>
      <c r="Q80" s="28"/>
    </row>
    <row r="81" s="19" customFormat="1" ht="45" spans="1:17">
      <c r="A81" s="33" t="s">
        <v>378</v>
      </c>
      <c r="B81" s="44" t="s">
        <v>374</v>
      </c>
      <c r="C81" s="44" t="s">
        <v>379</v>
      </c>
      <c r="D81" s="67" t="s">
        <v>225</v>
      </c>
      <c r="E81" s="34">
        <v>3</v>
      </c>
      <c r="F81" s="35">
        <f>F79</f>
        <v>2.2</v>
      </c>
      <c r="G81" s="37">
        <f t="shared" si="30"/>
        <v>1.23</v>
      </c>
      <c r="H81" s="35">
        <v>1.23</v>
      </c>
      <c r="I81" s="60">
        <v>0</v>
      </c>
      <c r="J81" s="37">
        <v>0</v>
      </c>
      <c r="K81" s="37">
        <f t="shared" si="31"/>
        <v>0.4116</v>
      </c>
      <c r="L81" s="37">
        <f t="shared" si="32"/>
        <v>0.345744</v>
      </c>
      <c r="M81" s="37">
        <f t="shared" si="33"/>
        <v>4.187344</v>
      </c>
      <c r="N81" s="37">
        <f t="shared" si="34"/>
        <v>12.562032</v>
      </c>
      <c r="O81" s="62" t="str">
        <f t="shared" si="29"/>
        <v>海信</v>
      </c>
      <c r="P81" s="28"/>
      <c r="Q81" s="28"/>
    </row>
    <row r="82" s="19" customFormat="1" ht="78.75" spans="1:17">
      <c r="A82" s="33" t="s">
        <v>380</v>
      </c>
      <c r="B82" s="44" t="s">
        <v>381</v>
      </c>
      <c r="C82" s="44" t="s">
        <v>382</v>
      </c>
      <c r="D82" s="67" t="s">
        <v>55</v>
      </c>
      <c r="E82" s="34">
        <v>4</v>
      </c>
      <c r="F82" s="35">
        <v>28</v>
      </c>
      <c r="G82" s="37">
        <f t="shared" si="30"/>
        <v>58.71</v>
      </c>
      <c r="H82" s="35">
        <v>57</v>
      </c>
      <c r="I82" s="60">
        <v>0.03</v>
      </c>
      <c r="J82" s="37">
        <v>0</v>
      </c>
      <c r="K82" s="37">
        <f t="shared" si="31"/>
        <v>10.4052</v>
      </c>
      <c r="L82" s="37">
        <f t="shared" si="32"/>
        <v>8.740368</v>
      </c>
      <c r="M82" s="37">
        <f t="shared" si="33"/>
        <v>105.855568</v>
      </c>
      <c r="N82" s="37">
        <f t="shared" si="34"/>
        <v>423.422272</v>
      </c>
      <c r="O82" s="62" t="str">
        <f t="shared" si="29"/>
        <v>海信</v>
      </c>
      <c r="P82" s="28"/>
      <c r="Q82" s="28"/>
    </row>
    <row r="83" s="19" customFormat="1" ht="78.75" spans="1:17">
      <c r="A83" s="33" t="s">
        <v>383</v>
      </c>
      <c r="B83" s="44" t="s">
        <v>381</v>
      </c>
      <c r="C83" s="44" t="s">
        <v>384</v>
      </c>
      <c r="D83" s="67" t="s">
        <v>55</v>
      </c>
      <c r="E83" s="34">
        <v>11</v>
      </c>
      <c r="F83" s="35">
        <f>F82</f>
        <v>28</v>
      </c>
      <c r="G83" s="37">
        <f t="shared" si="30"/>
        <v>49.44</v>
      </c>
      <c r="H83" s="35">
        <v>48</v>
      </c>
      <c r="I83" s="60">
        <f>I82</f>
        <v>0.03</v>
      </c>
      <c r="J83" s="37">
        <v>0</v>
      </c>
      <c r="K83" s="37">
        <f t="shared" si="31"/>
        <v>9.2928</v>
      </c>
      <c r="L83" s="37">
        <f t="shared" si="32"/>
        <v>7.805952</v>
      </c>
      <c r="M83" s="37">
        <f t="shared" si="33"/>
        <v>94.538752</v>
      </c>
      <c r="N83" s="37">
        <f t="shared" si="34"/>
        <v>1039.926272</v>
      </c>
      <c r="O83" s="62" t="str">
        <f t="shared" si="29"/>
        <v>海信</v>
      </c>
      <c r="P83" s="28"/>
      <c r="Q83" s="28"/>
    </row>
    <row r="84" s="19" customFormat="1" ht="78.75" spans="1:17">
      <c r="A84" s="33" t="s">
        <v>385</v>
      </c>
      <c r="B84" s="44" t="s">
        <v>381</v>
      </c>
      <c r="C84" s="44" t="s">
        <v>386</v>
      </c>
      <c r="D84" s="67" t="s">
        <v>55</v>
      </c>
      <c r="E84" s="34">
        <v>10</v>
      </c>
      <c r="F84" s="35">
        <f>F83</f>
        <v>28</v>
      </c>
      <c r="G84" s="37">
        <f t="shared" si="30"/>
        <v>40.685</v>
      </c>
      <c r="H84" s="35">
        <v>39.5</v>
      </c>
      <c r="I84" s="60">
        <f>I82</f>
        <v>0.03</v>
      </c>
      <c r="J84" s="37">
        <v>0</v>
      </c>
      <c r="K84" s="37">
        <f t="shared" si="31"/>
        <v>8.2422</v>
      </c>
      <c r="L84" s="37">
        <f t="shared" si="32"/>
        <v>6.923448</v>
      </c>
      <c r="M84" s="37">
        <f t="shared" si="33"/>
        <v>83.850648</v>
      </c>
      <c r="N84" s="37">
        <f t="shared" si="34"/>
        <v>838.50648</v>
      </c>
      <c r="O84" s="62" t="str">
        <f t="shared" si="29"/>
        <v>海信</v>
      </c>
      <c r="P84" s="28"/>
      <c r="Q84" s="28"/>
    </row>
    <row r="85" s="19" customFormat="1" ht="78.75" spans="1:17">
      <c r="A85" s="33" t="s">
        <v>387</v>
      </c>
      <c r="B85" s="44" t="s">
        <v>381</v>
      </c>
      <c r="C85" s="44" t="s">
        <v>388</v>
      </c>
      <c r="D85" s="67" t="s">
        <v>55</v>
      </c>
      <c r="E85" s="34">
        <v>13</v>
      </c>
      <c r="F85" s="35">
        <f>F84</f>
        <v>28</v>
      </c>
      <c r="G85" s="37">
        <f t="shared" si="30"/>
        <v>26.574</v>
      </c>
      <c r="H85" s="35">
        <v>25.8</v>
      </c>
      <c r="I85" s="60">
        <f>I83</f>
        <v>0.03</v>
      </c>
      <c r="J85" s="37">
        <v>0</v>
      </c>
      <c r="K85" s="37">
        <f t="shared" si="31"/>
        <v>6.54888</v>
      </c>
      <c r="L85" s="37">
        <f t="shared" si="32"/>
        <v>5.5010592</v>
      </c>
      <c r="M85" s="37">
        <f t="shared" si="33"/>
        <v>66.6239392</v>
      </c>
      <c r="N85" s="37">
        <f t="shared" si="34"/>
        <v>866.1112096</v>
      </c>
      <c r="O85" s="62" t="str">
        <f t="shared" si="29"/>
        <v>海信</v>
      </c>
      <c r="P85" s="28"/>
      <c r="Q85" s="28"/>
    </row>
    <row r="86" s="19" customFormat="1" ht="78.75" spans="1:17">
      <c r="A86" s="33" t="s">
        <v>389</v>
      </c>
      <c r="B86" s="44" t="s">
        <v>381</v>
      </c>
      <c r="C86" s="44" t="s">
        <v>390</v>
      </c>
      <c r="D86" s="67" t="s">
        <v>55</v>
      </c>
      <c r="E86" s="34">
        <v>13</v>
      </c>
      <c r="F86" s="35">
        <f>F85</f>
        <v>28</v>
      </c>
      <c r="G86" s="37">
        <f t="shared" si="30"/>
        <v>19.57</v>
      </c>
      <c r="H86" s="35">
        <v>19</v>
      </c>
      <c r="I86" s="60">
        <f>I82</f>
        <v>0.03</v>
      </c>
      <c r="J86" s="37">
        <v>0</v>
      </c>
      <c r="K86" s="37">
        <f t="shared" si="31"/>
        <v>5.7084</v>
      </c>
      <c r="L86" s="37">
        <f t="shared" si="32"/>
        <v>4.795056</v>
      </c>
      <c r="M86" s="37">
        <f t="shared" si="33"/>
        <v>58.073456</v>
      </c>
      <c r="N86" s="37">
        <f t="shared" si="34"/>
        <v>754.954928</v>
      </c>
      <c r="O86" s="62" t="str">
        <f t="shared" si="29"/>
        <v>海信</v>
      </c>
      <c r="P86" s="28"/>
      <c r="Q86" s="28"/>
    </row>
    <row r="87" s="19" customFormat="1" ht="33.75" spans="1:17">
      <c r="A87" s="33" t="s">
        <v>391</v>
      </c>
      <c r="B87" s="44" t="s">
        <v>392</v>
      </c>
      <c r="C87" s="44" t="s">
        <v>393</v>
      </c>
      <c r="D87" s="67" t="s">
        <v>225</v>
      </c>
      <c r="E87" s="34">
        <v>5</v>
      </c>
      <c r="F87" s="35">
        <v>33</v>
      </c>
      <c r="G87" s="37">
        <f t="shared" si="30"/>
        <v>100</v>
      </c>
      <c r="H87" s="35">
        <v>100</v>
      </c>
      <c r="I87" s="60">
        <v>0</v>
      </c>
      <c r="J87" s="37">
        <v>0</v>
      </c>
      <c r="K87" s="37">
        <f t="shared" si="31"/>
        <v>15.96</v>
      </c>
      <c r="L87" s="37">
        <f t="shared" si="32"/>
        <v>13.4064</v>
      </c>
      <c r="M87" s="37">
        <f t="shared" si="33"/>
        <v>162.3664</v>
      </c>
      <c r="N87" s="37">
        <f t="shared" si="34"/>
        <v>811.832</v>
      </c>
      <c r="O87" s="62" t="str">
        <f t="shared" si="29"/>
        <v>海信</v>
      </c>
      <c r="P87" s="28"/>
      <c r="Q87" s="28"/>
    </row>
    <row r="88" s="19" customFormat="1" ht="56.25" spans="1:17">
      <c r="A88" s="33" t="s">
        <v>394</v>
      </c>
      <c r="B88" s="44" t="s">
        <v>395</v>
      </c>
      <c r="C88" s="44" t="s">
        <v>396</v>
      </c>
      <c r="D88" s="67" t="s">
        <v>55</v>
      </c>
      <c r="E88" s="34">
        <v>17.06</v>
      </c>
      <c r="F88" s="35">
        <v>10</v>
      </c>
      <c r="G88" s="37">
        <f t="shared" si="30"/>
        <v>5.768</v>
      </c>
      <c r="H88" s="35">
        <v>5.6</v>
      </c>
      <c r="I88" s="60">
        <f>I85</f>
        <v>0.03</v>
      </c>
      <c r="J88" s="37">
        <v>0</v>
      </c>
      <c r="K88" s="37">
        <f t="shared" si="31"/>
        <v>1.89216</v>
      </c>
      <c r="L88" s="37">
        <f t="shared" si="32"/>
        <v>1.5894144</v>
      </c>
      <c r="M88" s="37">
        <f t="shared" si="33"/>
        <v>19.2495744</v>
      </c>
      <c r="N88" s="37">
        <f t="shared" si="34"/>
        <v>328.397739264</v>
      </c>
      <c r="O88" s="62" t="str">
        <f t="shared" si="29"/>
        <v>海信</v>
      </c>
      <c r="P88" s="28"/>
      <c r="Q88" s="28"/>
    </row>
    <row r="89" s="19" customFormat="1" ht="67.5" spans="1:17">
      <c r="A89" s="33" t="s">
        <v>397</v>
      </c>
      <c r="B89" s="36" t="s">
        <v>398</v>
      </c>
      <c r="C89" s="44" t="s">
        <v>399</v>
      </c>
      <c r="D89" s="34" t="s">
        <v>225</v>
      </c>
      <c r="E89" s="34">
        <v>1</v>
      </c>
      <c r="F89" s="35">
        <v>131</v>
      </c>
      <c r="G89" s="37">
        <f t="shared" si="30"/>
        <v>685</v>
      </c>
      <c r="H89" s="35">
        <v>685</v>
      </c>
      <c r="I89" s="60">
        <v>0</v>
      </c>
      <c r="J89" s="37">
        <v>0</v>
      </c>
      <c r="K89" s="37">
        <f t="shared" si="31"/>
        <v>97.92</v>
      </c>
      <c r="L89" s="37">
        <f t="shared" si="32"/>
        <v>82.2528</v>
      </c>
      <c r="M89" s="37">
        <f t="shared" si="33"/>
        <v>996.1728</v>
      </c>
      <c r="N89" s="37">
        <f t="shared" si="34"/>
        <v>996.1728</v>
      </c>
      <c r="O89" s="62" t="str">
        <f t="shared" si="29"/>
        <v>海信</v>
      </c>
      <c r="P89" s="28"/>
      <c r="Q89" s="28"/>
    </row>
    <row r="90" s="19" customFormat="1" ht="67.5" spans="1:17">
      <c r="A90" s="33" t="s">
        <v>400</v>
      </c>
      <c r="B90" s="36" t="s">
        <v>398</v>
      </c>
      <c r="C90" s="44" t="s">
        <v>401</v>
      </c>
      <c r="D90" s="34" t="s">
        <v>225</v>
      </c>
      <c r="E90" s="34">
        <v>2</v>
      </c>
      <c r="F90" s="35">
        <v>65</v>
      </c>
      <c r="G90" s="37">
        <f t="shared" si="30"/>
        <v>335</v>
      </c>
      <c r="H90" s="35">
        <v>335</v>
      </c>
      <c r="I90" s="60">
        <v>0</v>
      </c>
      <c r="J90" s="37">
        <v>0</v>
      </c>
      <c r="K90" s="37">
        <f t="shared" si="31"/>
        <v>48</v>
      </c>
      <c r="L90" s="37">
        <f t="shared" si="32"/>
        <v>40.32</v>
      </c>
      <c r="M90" s="37">
        <f t="shared" si="33"/>
        <v>488.32</v>
      </c>
      <c r="N90" s="37">
        <f t="shared" si="34"/>
        <v>976.64</v>
      </c>
      <c r="O90" s="62" t="str">
        <f t="shared" si="29"/>
        <v>海信</v>
      </c>
      <c r="P90" s="28"/>
      <c r="Q90" s="28"/>
    </row>
    <row r="91" s="19" customFormat="1" ht="67.5" spans="1:17">
      <c r="A91" s="33" t="s">
        <v>402</v>
      </c>
      <c r="B91" s="36" t="s">
        <v>398</v>
      </c>
      <c r="C91" s="44" t="s">
        <v>403</v>
      </c>
      <c r="D91" s="34" t="s">
        <v>225</v>
      </c>
      <c r="E91" s="34">
        <v>1</v>
      </c>
      <c r="F91" s="35">
        <v>28</v>
      </c>
      <c r="G91" s="37">
        <f t="shared" si="30"/>
        <v>145.6</v>
      </c>
      <c r="H91" s="35">
        <v>145.6</v>
      </c>
      <c r="I91" s="60">
        <v>0</v>
      </c>
      <c r="J91" s="37">
        <v>0</v>
      </c>
      <c r="K91" s="37">
        <f t="shared" si="31"/>
        <v>20.832</v>
      </c>
      <c r="L91" s="37">
        <f t="shared" si="32"/>
        <v>17.49888</v>
      </c>
      <c r="M91" s="37">
        <f t="shared" si="33"/>
        <v>211.93088</v>
      </c>
      <c r="N91" s="37">
        <f t="shared" si="34"/>
        <v>211.93088</v>
      </c>
      <c r="O91" s="62" t="str">
        <f t="shared" si="29"/>
        <v>海信</v>
      </c>
      <c r="P91" s="28"/>
      <c r="Q91" s="28"/>
    </row>
    <row r="92" s="19" customFormat="1" ht="67.5" spans="1:17">
      <c r="A92" s="33" t="s">
        <v>404</v>
      </c>
      <c r="B92" s="36" t="s">
        <v>398</v>
      </c>
      <c r="C92" s="44" t="s">
        <v>405</v>
      </c>
      <c r="D92" s="34" t="s">
        <v>225</v>
      </c>
      <c r="E92" s="34">
        <v>1</v>
      </c>
      <c r="F92" s="35">
        <v>70</v>
      </c>
      <c r="G92" s="37">
        <f t="shared" si="30"/>
        <v>364</v>
      </c>
      <c r="H92" s="35">
        <v>364</v>
      </c>
      <c r="I92" s="60">
        <v>0</v>
      </c>
      <c r="J92" s="37">
        <v>0</v>
      </c>
      <c r="K92" s="37">
        <f t="shared" si="31"/>
        <v>52.08</v>
      </c>
      <c r="L92" s="37">
        <f t="shared" si="32"/>
        <v>43.7472</v>
      </c>
      <c r="M92" s="37">
        <f t="shared" si="33"/>
        <v>529.8272</v>
      </c>
      <c r="N92" s="37">
        <f t="shared" si="34"/>
        <v>529.8272</v>
      </c>
      <c r="O92" s="62" t="str">
        <f t="shared" si="29"/>
        <v>海信</v>
      </c>
      <c r="P92" s="28"/>
      <c r="Q92" s="28"/>
    </row>
    <row r="93" s="19" customFormat="1" ht="67.5" spans="1:17">
      <c r="A93" s="33" t="s">
        <v>406</v>
      </c>
      <c r="B93" s="36" t="s">
        <v>407</v>
      </c>
      <c r="C93" s="44" t="s">
        <v>408</v>
      </c>
      <c r="D93" s="34" t="s">
        <v>225</v>
      </c>
      <c r="E93" s="34">
        <v>1</v>
      </c>
      <c r="F93" s="35">
        <v>63.5</v>
      </c>
      <c r="G93" s="37">
        <f t="shared" si="30"/>
        <v>685</v>
      </c>
      <c r="H93" s="35">
        <v>685</v>
      </c>
      <c r="I93" s="60">
        <v>0</v>
      </c>
      <c r="J93" s="37">
        <v>0</v>
      </c>
      <c r="K93" s="37">
        <f t="shared" si="31"/>
        <v>89.82</v>
      </c>
      <c r="L93" s="37">
        <f t="shared" si="32"/>
        <v>75.4488</v>
      </c>
      <c r="M93" s="37">
        <f t="shared" si="33"/>
        <v>913.7688</v>
      </c>
      <c r="N93" s="37">
        <f t="shared" si="34"/>
        <v>913.7688</v>
      </c>
      <c r="O93" s="62" t="str">
        <f t="shared" si="29"/>
        <v>海信</v>
      </c>
      <c r="P93" s="28"/>
      <c r="Q93" s="28"/>
    </row>
    <row r="94" s="19" customFormat="1" ht="67.5" spans="1:17">
      <c r="A94" s="33" t="s">
        <v>409</v>
      </c>
      <c r="B94" s="36" t="s">
        <v>407</v>
      </c>
      <c r="C94" s="44" t="s">
        <v>410</v>
      </c>
      <c r="D94" s="34" t="s">
        <v>225</v>
      </c>
      <c r="E94" s="34">
        <v>1</v>
      </c>
      <c r="F94" s="35">
        <v>11.5</v>
      </c>
      <c r="G94" s="37">
        <f t="shared" si="30"/>
        <v>145.6</v>
      </c>
      <c r="H94" s="35">
        <v>145.6</v>
      </c>
      <c r="I94" s="60">
        <v>0</v>
      </c>
      <c r="J94" s="37">
        <v>0</v>
      </c>
      <c r="K94" s="37">
        <f t="shared" si="31"/>
        <v>18.852</v>
      </c>
      <c r="L94" s="37">
        <f t="shared" si="32"/>
        <v>15.83568</v>
      </c>
      <c r="M94" s="37">
        <f t="shared" si="33"/>
        <v>191.78768</v>
      </c>
      <c r="N94" s="37">
        <f t="shared" si="34"/>
        <v>191.78768</v>
      </c>
      <c r="O94" s="62" t="str">
        <f t="shared" si="29"/>
        <v>海信</v>
      </c>
      <c r="P94" s="28"/>
      <c r="Q94" s="28"/>
    </row>
    <row r="95" s="19" customFormat="1" ht="67.5" spans="1:17">
      <c r="A95" s="33" t="s">
        <v>411</v>
      </c>
      <c r="B95" s="36" t="s">
        <v>407</v>
      </c>
      <c r="C95" s="44" t="s">
        <v>412</v>
      </c>
      <c r="D95" s="34" t="s">
        <v>225</v>
      </c>
      <c r="E95" s="34">
        <v>2</v>
      </c>
      <c r="F95" s="35">
        <v>28</v>
      </c>
      <c r="G95" s="37">
        <f t="shared" si="30"/>
        <v>364</v>
      </c>
      <c r="H95" s="35">
        <v>364</v>
      </c>
      <c r="I95" s="60">
        <v>0</v>
      </c>
      <c r="J95" s="37">
        <v>0</v>
      </c>
      <c r="K95" s="37">
        <f t="shared" si="31"/>
        <v>47.04</v>
      </c>
      <c r="L95" s="37">
        <f t="shared" si="32"/>
        <v>39.5136</v>
      </c>
      <c r="M95" s="37">
        <f t="shared" si="33"/>
        <v>478.5536</v>
      </c>
      <c r="N95" s="37">
        <f t="shared" si="34"/>
        <v>957.1072</v>
      </c>
      <c r="O95" s="62" t="str">
        <f t="shared" si="29"/>
        <v>海信</v>
      </c>
      <c r="P95" s="28"/>
      <c r="Q95" s="28"/>
    </row>
    <row r="96" s="19" customFormat="1" ht="67.5" spans="1:17">
      <c r="A96" s="33" t="s">
        <v>413</v>
      </c>
      <c r="B96" s="36" t="s">
        <v>407</v>
      </c>
      <c r="C96" s="44" t="s">
        <v>414</v>
      </c>
      <c r="D96" s="34" t="s">
        <v>225</v>
      </c>
      <c r="E96" s="34">
        <v>1</v>
      </c>
      <c r="F96" s="35">
        <v>23.5</v>
      </c>
      <c r="G96" s="37">
        <f t="shared" si="30"/>
        <v>305.8</v>
      </c>
      <c r="H96" s="35">
        <v>305.8</v>
      </c>
      <c r="I96" s="60">
        <v>0</v>
      </c>
      <c r="J96" s="37">
        <v>0</v>
      </c>
      <c r="K96" s="37">
        <f t="shared" si="31"/>
        <v>39.516</v>
      </c>
      <c r="L96" s="37">
        <f t="shared" si="32"/>
        <v>33.19344</v>
      </c>
      <c r="M96" s="37">
        <f t="shared" si="33"/>
        <v>402.00944</v>
      </c>
      <c r="N96" s="37">
        <f t="shared" si="34"/>
        <v>402.00944</v>
      </c>
      <c r="O96" s="62" t="str">
        <f t="shared" si="29"/>
        <v>海信</v>
      </c>
      <c r="P96" s="28"/>
      <c r="Q96" s="28"/>
    </row>
    <row r="97" s="19" customFormat="1" ht="19" customHeight="1" spans="1:17">
      <c r="A97" s="33" t="s">
        <v>415</v>
      </c>
      <c r="B97" s="42" t="s">
        <v>416</v>
      </c>
      <c r="C97" s="43"/>
      <c r="D97" s="34"/>
      <c r="E97" s="34"/>
      <c r="F97" s="35"/>
      <c r="G97" s="37"/>
      <c r="H97" s="35"/>
      <c r="I97" s="60"/>
      <c r="J97" s="37"/>
      <c r="K97" s="37"/>
      <c r="L97" s="37"/>
      <c r="M97" s="37"/>
      <c r="N97" s="37">
        <f>SUM(N98:N105)</f>
        <v>19995.4832</v>
      </c>
      <c r="O97" s="62"/>
      <c r="P97" s="28"/>
      <c r="Q97" s="28"/>
    </row>
    <row r="98" s="19" customFormat="1" ht="56.25" spans="1:17">
      <c r="A98" s="33" t="s">
        <v>417</v>
      </c>
      <c r="B98" s="44" t="s">
        <v>418</v>
      </c>
      <c r="C98" s="44" t="s">
        <v>419</v>
      </c>
      <c r="D98" s="67" t="s">
        <v>362</v>
      </c>
      <c r="E98" s="34">
        <v>1</v>
      </c>
      <c r="F98" s="35">
        <v>150</v>
      </c>
      <c r="G98" s="37">
        <f>H98*(1+I98)</f>
        <v>1718</v>
      </c>
      <c r="H98" s="35">
        <v>1718</v>
      </c>
      <c r="I98" s="60">
        <v>0</v>
      </c>
      <c r="J98" s="37">
        <v>0</v>
      </c>
      <c r="K98" s="37">
        <f>(F98+G98+J98)*$K$5</f>
        <v>224.16</v>
      </c>
      <c r="L98" s="37">
        <f t="shared" si="32"/>
        <v>188.2944</v>
      </c>
      <c r="M98" s="37">
        <f t="shared" si="33"/>
        <v>2280.4544</v>
      </c>
      <c r="N98" s="37">
        <f t="shared" si="34"/>
        <v>2280.4544</v>
      </c>
      <c r="O98" s="62" t="s">
        <v>420</v>
      </c>
      <c r="P98" s="28"/>
      <c r="Q98" s="28"/>
    </row>
    <row r="99" s="19" customFormat="1" ht="56.25" spans="1:17">
      <c r="A99" s="33" t="s">
        <v>421</v>
      </c>
      <c r="B99" s="44" t="s">
        <v>422</v>
      </c>
      <c r="C99" s="44" t="s">
        <v>423</v>
      </c>
      <c r="D99" s="67" t="s">
        <v>362</v>
      </c>
      <c r="E99" s="34">
        <v>1</v>
      </c>
      <c r="F99" s="35">
        <v>125</v>
      </c>
      <c r="G99" s="37">
        <f t="shared" si="30"/>
        <v>945</v>
      </c>
      <c r="H99" s="35">
        <v>945</v>
      </c>
      <c r="I99" s="60">
        <v>0</v>
      </c>
      <c r="J99" s="37">
        <v>0</v>
      </c>
      <c r="K99" s="37">
        <f>(F99+G99+J99)*$K$5</f>
        <v>128.4</v>
      </c>
      <c r="L99" s="37">
        <f t="shared" si="32"/>
        <v>107.856</v>
      </c>
      <c r="M99" s="37">
        <f t="shared" si="33"/>
        <v>1306.256</v>
      </c>
      <c r="N99" s="37">
        <f t="shared" si="34"/>
        <v>1306.256</v>
      </c>
      <c r="O99" s="62" t="str">
        <f>O98</f>
        <v>方太</v>
      </c>
      <c r="P99" s="28"/>
      <c r="Q99" s="28"/>
    </row>
    <row r="100" s="19" customFormat="1" ht="56.25" spans="1:17">
      <c r="A100" s="33" t="s">
        <v>424</v>
      </c>
      <c r="B100" s="44" t="s">
        <v>425</v>
      </c>
      <c r="C100" s="44" t="s">
        <v>426</v>
      </c>
      <c r="D100" s="67" t="s">
        <v>362</v>
      </c>
      <c r="E100" s="34">
        <v>1</v>
      </c>
      <c r="F100" s="35">
        <f>F98</f>
        <v>150</v>
      </c>
      <c r="G100" s="37">
        <f t="shared" si="30"/>
        <v>1800</v>
      </c>
      <c r="H100" s="35">
        <v>1800</v>
      </c>
      <c r="I100" s="60">
        <v>0</v>
      </c>
      <c r="J100" s="37">
        <v>0</v>
      </c>
      <c r="K100" s="37">
        <f t="shared" si="31"/>
        <v>234</v>
      </c>
      <c r="L100" s="37">
        <f t="shared" si="32"/>
        <v>196.56</v>
      </c>
      <c r="M100" s="37">
        <f t="shared" si="33"/>
        <v>2380.56</v>
      </c>
      <c r="N100" s="37">
        <f t="shared" si="34"/>
        <v>2380.56</v>
      </c>
      <c r="O100" s="62" t="str">
        <f>O98</f>
        <v>方太</v>
      </c>
      <c r="P100" s="28"/>
      <c r="Q100" s="28"/>
    </row>
    <row r="101" s="19" customFormat="1" ht="45" spans="1:17">
      <c r="A101" s="33" t="s">
        <v>427</v>
      </c>
      <c r="B101" s="44" t="s">
        <v>428</v>
      </c>
      <c r="C101" s="44" t="s">
        <v>429</v>
      </c>
      <c r="D101" s="67" t="s">
        <v>362</v>
      </c>
      <c r="E101" s="34">
        <v>1</v>
      </c>
      <c r="F101" s="35">
        <v>200</v>
      </c>
      <c r="G101" s="37">
        <f t="shared" si="30"/>
        <v>2409</v>
      </c>
      <c r="H101" s="35">
        <v>2409</v>
      </c>
      <c r="I101" s="60">
        <v>0</v>
      </c>
      <c r="J101" s="37">
        <v>0</v>
      </c>
      <c r="K101" s="37">
        <f t="shared" si="31"/>
        <v>313.08</v>
      </c>
      <c r="L101" s="37">
        <f t="shared" si="32"/>
        <v>262.9872</v>
      </c>
      <c r="M101" s="37">
        <f t="shared" si="33"/>
        <v>3185.0672</v>
      </c>
      <c r="N101" s="37">
        <f t="shared" si="34"/>
        <v>3185.0672</v>
      </c>
      <c r="O101" s="62" t="str">
        <f>O100</f>
        <v>方太</v>
      </c>
      <c r="P101" s="28"/>
      <c r="Q101" s="28"/>
    </row>
    <row r="102" s="19" customFormat="1" ht="56.25" spans="1:17">
      <c r="A102" s="33" t="s">
        <v>430</v>
      </c>
      <c r="B102" s="44" t="s">
        <v>431</v>
      </c>
      <c r="C102" s="44" t="s">
        <v>432</v>
      </c>
      <c r="D102" s="67" t="s">
        <v>362</v>
      </c>
      <c r="E102" s="34">
        <v>1</v>
      </c>
      <c r="F102" s="35">
        <v>73</v>
      </c>
      <c r="G102" s="37">
        <f t="shared" si="30"/>
        <v>986</v>
      </c>
      <c r="H102" s="35">
        <v>986</v>
      </c>
      <c r="I102" s="60">
        <v>0</v>
      </c>
      <c r="J102" s="37">
        <v>0</v>
      </c>
      <c r="K102" s="37">
        <f t="shared" si="31"/>
        <v>127.08</v>
      </c>
      <c r="L102" s="37">
        <f t="shared" si="32"/>
        <v>106.7472</v>
      </c>
      <c r="M102" s="37">
        <f t="shared" si="33"/>
        <v>1292.8272</v>
      </c>
      <c r="N102" s="37">
        <f t="shared" si="34"/>
        <v>1292.8272</v>
      </c>
      <c r="O102" s="62" t="s">
        <v>433</v>
      </c>
      <c r="P102" s="28"/>
      <c r="Q102" s="28"/>
    </row>
    <row r="103" s="19" customFormat="1" ht="56.25" spans="1:17">
      <c r="A103" s="33" t="s">
        <v>434</v>
      </c>
      <c r="B103" s="44" t="s">
        <v>435</v>
      </c>
      <c r="C103" s="44" t="s">
        <v>436</v>
      </c>
      <c r="D103" s="67" t="s">
        <v>362</v>
      </c>
      <c r="E103" s="34">
        <v>1</v>
      </c>
      <c r="F103" s="35">
        <v>0</v>
      </c>
      <c r="G103" s="37">
        <f t="shared" si="30"/>
        <v>3800</v>
      </c>
      <c r="H103" s="35">
        <v>3800</v>
      </c>
      <c r="I103" s="60">
        <v>0</v>
      </c>
      <c r="J103" s="37">
        <v>0</v>
      </c>
      <c r="K103" s="37">
        <f t="shared" si="31"/>
        <v>456</v>
      </c>
      <c r="L103" s="37">
        <f t="shared" si="32"/>
        <v>383.04</v>
      </c>
      <c r="M103" s="37">
        <f t="shared" si="33"/>
        <v>4639.04</v>
      </c>
      <c r="N103" s="37">
        <f t="shared" si="34"/>
        <v>4639.04</v>
      </c>
      <c r="O103" s="62" t="s">
        <v>437</v>
      </c>
      <c r="P103" s="27" t="s">
        <v>438</v>
      </c>
      <c r="Q103" s="28"/>
    </row>
    <row r="104" s="19" customFormat="1" ht="56.25" spans="1:17">
      <c r="A104" s="33" t="s">
        <v>439</v>
      </c>
      <c r="B104" s="44" t="s">
        <v>440</v>
      </c>
      <c r="C104" s="44" t="s">
        <v>441</v>
      </c>
      <c r="D104" s="67" t="s">
        <v>362</v>
      </c>
      <c r="E104" s="34">
        <v>1</v>
      </c>
      <c r="F104" s="35">
        <v>0</v>
      </c>
      <c r="G104" s="37">
        <f t="shared" si="30"/>
        <v>3500</v>
      </c>
      <c r="H104" s="35">
        <v>3500</v>
      </c>
      <c r="I104" s="60">
        <v>0</v>
      </c>
      <c r="J104" s="37">
        <v>0</v>
      </c>
      <c r="K104" s="37">
        <f t="shared" si="31"/>
        <v>420</v>
      </c>
      <c r="L104" s="37">
        <f t="shared" si="32"/>
        <v>352.8</v>
      </c>
      <c r="M104" s="37">
        <f t="shared" si="33"/>
        <v>4272.8</v>
      </c>
      <c r="N104" s="37">
        <f t="shared" si="34"/>
        <v>4272.8</v>
      </c>
      <c r="O104" s="62" t="s">
        <v>363</v>
      </c>
      <c r="P104" s="28"/>
      <c r="Q104" s="28"/>
    </row>
    <row r="105" s="19" customFormat="1" ht="56.25" spans="1:17">
      <c r="A105" s="33" t="s">
        <v>442</v>
      </c>
      <c r="B105" s="44" t="s">
        <v>443</v>
      </c>
      <c r="C105" s="44" t="s">
        <v>444</v>
      </c>
      <c r="D105" s="67" t="s">
        <v>362</v>
      </c>
      <c r="E105" s="34">
        <v>1</v>
      </c>
      <c r="F105" s="35">
        <f>F102</f>
        <v>73</v>
      </c>
      <c r="G105" s="37">
        <f t="shared" si="30"/>
        <v>450</v>
      </c>
      <c r="H105" s="35">
        <v>450</v>
      </c>
      <c r="I105" s="60">
        <v>0</v>
      </c>
      <c r="J105" s="37">
        <v>0</v>
      </c>
      <c r="K105" s="37">
        <f t="shared" si="31"/>
        <v>62.76</v>
      </c>
      <c r="L105" s="37">
        <f t="shared" si="32"/>
        <v>52.7184</v>
      </c>
      <c r="M105" s="37">
        <f t="shared" si="33"/>
        <v>638.4784</v>
      </c>
      <c r="N105" s="37">
        <f t="shared" si="34"/>
        <v>638.4784</v>
      </c>
      <c r="O105" s="62" t="str">
        <f>O102</f>
        <v>奥普</v>
      </c>
      <c r="P105" s="28"/>
      <c r="Q105" s="28"/>
    </row>
    <row r="106" s="19" customFormat="1" ht="24" customHeight="1" spans="1:17">
      <c r="A106" s="33" t="s">
        <v>445</v>
      </c>
      <c r="B106" s="68" t="s">
        <v>446</v>
      </c>
      <c r="C106" s="68"/>
      <c r="D106" s="69"/>
      <c r="E106" s="69"/>
      <c r="F106" s="35"/>
      <c r="G106" s="37"/>
      <c r="H106" s="35"/>
      <c r="I106" s="37"/>
      <c r="J106" s="37"/>
      <c r="K106" s="37"/>
      <c r="L106" s="37"/>
      <c r="M106" s="37"/>
      <c r="N106" s="37">
        <f>N6+N52+N73+N97</f>
        <v>153210.626751392</v>
      </c>
      <c r="O106" s="37"/>
      <c r="P106" s="28"/>
      <c r="Q106" s="28"/>
    </row>
    <row r="107" s="19" customFormat="1" spans="1:17">
      <c r="A107" s="22"/>
      <c r="B107" s="23"/>
      <c r="C107" s="24"/>
      <c r="D107" s="25"/>
      <c r="E107" s="25"/>
      <c r="F107" s="26"/>
      <c r="G107" s="24"/>
      <c r="H107" s="26"/>
      <c r="I107" s="24"/>
      <c r="J107" s="24"/>
      <c r="K107" s="24"/>
      <c r="L107" s="24"/>
      <c r="M107" s="25"/>
      <c r="N107" s="25"/>
      <c r="O107" s="24"/>
      <c r="P107" s="28"/>
      <c r="Q107" s="28"/>
    </row>
    <row r="108" s="19" customFormat="1" spans="1:17">
      <c r="A108" s="22"/>
      <c r="B108" s="23"/>
      <c r="C108" s="24"/>
      <c r="D108" s="25"/>
      <c r="E108" s="25"/>
      <c r="F108" s="26"/>
      <c r="G108" s="24"/>
      <c r="H108" s="26"/>
      <c r="I108" s="24"/>
      <c r="J108" s="24"/>
      <c r="K108" s="24"/>
      <c r="L108" s="24"/>
      <c r="M108" s="25"/>
      <c r="N108" s="25"/>
      <c r="O108" s="24"/>
      <c r="P108" s="28"/>
      <c r="Q108" s="28"/>
    </row>
    <row r="109" s="19" customFormat="1" spans="1:17">
      <c r="A109" s="22"/>
      <c r="B109" s="23"/>
      <c r="C109" s="24"/>
      <c r="D109" s="25"/>
      <c r="E109" s="25"/>
      <c r="F109" s="26"/>
      <c r="G109" s="24"/>
      <c r="H109" s="26"/>
      <c r="I109" s="24"/>
      <c r="J109" s="24"/>
      <c r="K109" s="24"/>
      <c r="L109" s="24"/>
      <c r="M109" s="25"/>
      <c r="N109" s="25"/>
      <c r="O109" s="24"/>
      <c r="P109" s="28"/>
      <c r="Q109" s="28"/>
    </row>
    <row r="110" s="19" customFormat="1" spans="1:17">
      <c r="A110" s="22"/>
      <c r="B110" s="23"/>
      <c r="C110" s="24"/>
      <c r="D110" s="25"/>
      <c r="E110" s="25"/>
      <c r="F110" s="26"/>
      <c r="G110" s="24"/>
      <c r="H110" s="26"/>
      <c r="I110" s="24"/>
      <c r="J110" s="24"/>
      <c r="K110" s="24"/>
      <c r="L110" s="24"/>
      <c r="M110" s="25"/>
      <c r="N110" s="25"/>
      <c r="O110" s="24"/>
      <c r="P110" s="28"/>
      <c r="Q110" s="28"/>
    </row>
    <row r="111" s="19" customFormat="1" spans="1:17">
      <c r="A111" s="22"/>
      <c r="B111" s="23"/>
      <c r="C111" s="24"/>
      <c r="D111" s="25"/>
      <c r="E111" s="25"/>
      <c r="F111" s="26"/>
      <c r="G111" s="24"/>
      <c r="H111" s="26"/>
      <c r="I111" s="24"/>
      <c r="J111" s="24"/>
      <c r="K111" s="24"/>
      <c r="L111" s="24"/>
      <c r="M111" s="25"/>
      <c r="N111" s="25"/>
      <c r="O111" s="24"/>
      <c r="P111" s="28"/>
      <c r="Q111" s="28"/>
    </row>
    <row r="112" s="19" customFormat="1" spans="1:17">
      <c r="A112" s="22"/>
      <c r="B112" s="23"/>
      <c r="C112" s="24"/>
      <c r="D112" s="25"/>
      <c r="E112" s="25"/>
      <c r="F112" s="26"/>
      <c r="G112" s="24"/>
      <c r="H112" s="26"/>
      <c r="I112" s="24"/>
      <c r="J112" s="24"/>
      <c r="K112" s="24"/>
      <c r="L112" s="24"/>
      <c r="M112" s="25"/>
      <c r="N112" s="25"/>
      <c r="O112" s="24"/>
      <c r="P112" s="28"/>
      <c r="Q112" s="28"/>
    </row>
    <row r="113" s="19" customFormat="1" spans="1:17">
      <c r="A113" s="22"/>
      <c r="B113" s="23"/>
      <c r="C113" s="24"/>
      <c r="D113" s="25"/>
      <c r="E113" s="25"/>
      <c r="F113" s="26"/>
      <c r="G113" s="24"/>
      <c r="H113" s="26"/>
      <c r="I113" s="24"/>
      <c r="J113" s="24"/>
      <c r="K113" s="24"/>
      <c r="L113" s="24"/>
      <c r="M113" s="25"/>
      <c r="N113" s="25"/>
      <c r="O113" s="24"/>
      <c r="P113" s="28"/>
      <c r="Q113" s="28"/>
    </row>
    <row r="114" s="19" customFormat="1" spans="1:17">
      <c r="A114" s="22"/>
      <c r="B114" s="23"/>
      <c r="C114" s="24"/>
      <c r="D114" s="25"/>
      <c r="E114" s="25"/>
      <c r="F114" s="26"/>
      <c r="G114" s="24"/>
      <c r="H114" s="26"/>
      <c r="I114" s="24"/>
      <c r="J114" s="24"/>
      <c r="K114" s="24"/>
      <c r="L114" s="24"/>
      <c r="M114" s="25"/>
      <c r="N114" s="25"/>
      <c r="O114" s="24"/>
      <c r="P114" s="28"/>
      <c r="Q114" s="28"/>
    </row>
    <row r="115" s="19" customFormat="1" spans="1:17">
      <c r="A115" s="22"/>
      <c r="B115" s="23"/>
      <c r="C115" s="24"/>
      <c r="D115" s="25"/>
      <c r="E115" s="25"/>
      <c r="F115" s="26"/>
      <c r="G115" s="24"/>
      <c r="H115" s="26"/>
      <c r="I115" s="24"/>
      <c r="J115" s="24"/>
      <c r="K115" s="24"/>
      <c r="L115" s="24"/>
      <c r="M115" s="25"/>
      <c r="N115" s="25"/>
      <c r="O115" s="24"/>
      <c r="P115" s="28"/>
      <c r="Q115" s="28"/>
    </row>
    <row r="116" s="19" customFormat="1" spans="1:17">
      <c r="A116" s="22"/>
      <c r="B116" s="23"/>
      <c r="C116" s="24"/>
      <c r="D116" s="25"/>
      <c r="E116" s="25"/>
      <c r="F116" s="26"/>
      <c r="G116" s="24"/>
      <c r="H116" s="26"/>
      <c r="I116" s="24"/>
      <c r="J116" s="24"/>
      <c r="K116" s="24"/>
      <c r="L116" s="24"/>
      <c r="M116" s="25"/>
      <c r="N116" s="25"/>
      <c r="O116" s="24"/>
      <c r="P116" s="28"/>
      <c r="Q116" s="28"/>
    </row>
    <row r="117" s="19" customFormat="1" spans="1:17">
      <c r="A117" s="22"/>
      <c r="B117" s="23"/>
      <c r="C117" s="24"/>
      <c r="D117" s="25"/>
      <c r="E117" s="25"/>
      <c r="F117" s="26"/>
      <c r="G117" s="24"/>
      <c r="H117" s="26"/>
      <c r="I117" s="24"/>
      <c r="J117" s="24"/>
      <c r="K117" s="24"/>
      <c r="L117" s="24"/>
      <c r="M117" s="25"/>
      <c r="N117" s="25"/>
      <c r="O117" s="24"/>
      <c r="P117" s="28"/>
      <c r="Q117" s="28"/>
    </row>
    <row r="118" s="19" customFormat="1" spans="1:17">
      <c r="A118" s="22"/>
      <c r="B118" s="23"/>
      <c r="C118" s="24"/>
      <c r="D118" s="25"/>
      <c r="E118" s="25"/>
      <c r="F118" s="26"/>
      <c r="G118" s="24"/>
      <c r="H118" s="26"/>
      <c r="I118" s="24"/>
      <c r="J118" s="24"/>
      <c r="K118" s="24"/>
      <c r="L118" s="24"/>
      <c r="M118" s="25"/>
      <c r="N118" s="25"/>
      <c r="O118" s="24"/>
      <c r="P118" s="28"/>
      <c r="Q118" s="28"/>
    </row>
    <row r="119" s="19" customFormat="1" spans="1:17">
      <c r="A119" s="22"/>
      <c r="B119" s="23"/>
      <c r="C119" s="24"/>
      <c r="D119" s="25"/>
      <c r="E119" s="25"/>
      <c r="F119" s="26"/>
      <c r="G119" s="24"/>
      <c r="H119" s="26"/>
      <c r="I119" s="24"/>
      <c r="J119" s="24"/>
      <c r="K119" s="24"/>
      <c r="L119" s="24"/>
      <c r="M119" s="25"/>
      <c r="N119" s="25"/>
      <c r="O119" s="24"/>
      <c r="P119" s="28"/>
      <c r="Q119" s="28"/>
    </row>
    <row r="120" s="19" customFormat="1" spans="1:17">
      <c r="A120" s="22"/>
      <c r="B120" s="23"/>
      <c r="C120" s="24"/>
      <c r="D120" s="25"/>
      <c r="E120" s="25"/>
      <c r="F120" s="26"/>
      <c r="G120" s="24"/>
      <c r="H120" s="26"/>
      <c r="I120" s="24"/>
      <c r="J120" s="24"/>
      <c r="K120" s="24"/>
      <c r="L120" s="24"/>
      <c r="M120" s="25"/>
      <c r="N120" s="25"/>
      <c r="O120" s="24"/>
      <c r="P120" s="28"/>
      <c r="Q120" s="28"/>
    </row>
    <row r="121" s="19" customFormat="1" spans="1:17">
      <c r="A121" s="22"/>
      <c r="B121" s="23"/>
      <c r="C121" s="24"/>
      <c r="D121" s="25"/>
      <c r="E121" s="25"/>
      <c r="F121" s="26"/>
      <c r="G121" s="24"/>
      <c r="H121" s="26"/>
      <c r="I121" s="24"/>
      <c r="J121" s="24"/>
      <c r="K121" s="24"/>
      <c r="L121" s="24"/>
      <c r="M121" s="25"/>
      <c r="N121" s="25"/>
      <c r="O121" s="24"/>
      <c r="P121" s="28"/>
      <c r="Q121" s="28"/>
    </row>
    <row r="122" s="19" customFormat="1" spans="1:17">
      <c r="A122" s="22"/>
      <c r="B122" s="23"/>
      <c r="C122" s="24"/>
      <c r="D122" s="25"/>
      <c r="E122" s="25"/>
      <c r="F122" s="26"/>
      <c r="G122" s="24"/>
      <c r="H122" s="26"/>
      <c r="I122" s="24"/>
      <c r="J122" s="24"/>
      <c r="K122" s="24"/>
      <c r="L122" s="24"/>
      <c r="M122" s="25"/>
      <c r="N122" s="25"/>
      <c r="O122" s="24"/>
      <c r="P122" s="28"/>
      <c r="Q122" s="28"/>
    </row>
    <row r="123" s="19" customFormat="1" spans="1:17">
      <c r="A123" s="22"/>
      <c r="B123" s="23"/>
      <c r="C123" s="24"/>
      <c r="D123" s="25"/>
      <c r="E123" s="25"/>
      <c r="F123" s="26"/>
      <c r="G123" s="24"/>
      <c r="H123" s="26"/>
      <c r="I123" s="24"/>
      <c r="J123" s="24"/>
      <c r="K123" s="24"/>
      <c r="L123" s="24"/>
      <c r="M123" s="25"/>
      <c r="N123" s="25"/>
      <c r="O123" s="24"/>
      <c r="P123" s="28"/>
      <c r="Q123" s="28"/>
    </row>
    <row r="124" s="19" customFormat="1" spans="1:17">
      <c r="A124" s="22"/>
      <c r="B124" s="23"/>
      <c r="C124" s="24"/>
      <c r="D124" s="25"/>
      <c r="E124" s="25"/>
      <c r="F124" s="26"/>
      <c r="G124" s="24"/>
      <c r="H124" s="26"/>
      <c r="I124" s="24"/>
      <c r="J124" s="24"/>
      <c r="K124" s="24"/>
      <c r="L124" s="24"/>
      <c r="M124" s="25"/>
      <c r="N124" s="25"/>
      <c r="O124" s="24"/>
      <c r="P124" s="28"/>
      <c r="Q124" s="28"/>
    </row>
    <row r="125" s="19" customFormat="1" spans="1:17">
      <c r="A125" s="22"/>
      <c r="B125" s="23"/>
      <c r="C125" s="24"/>
      <c r="D125" s="25"/>
      <c r="E125" s="25"/>
      <c r="F125" s="26"/>
      <c r="G125" s="24"/>
      <c r="H125" s="26"/>
      <c r="I125" s="24"/>
      <c r="J125" s="24"/>
      <c r="K125" s="24"/>
      <c r="L125" s="24"/>
      <c r="M125" s="25"/>
      <c r="N125" s="25"/>
      <c r="O125" s="24"/>
      <c r="P125" s="28"/>
      <c r="Q125" s="28"/>
    </row>
    <row r="126" s="19" customFormat="1" spans="1:17">
      <c r="A126" s="22"/>
      <c r="B126" s="23"/>
      <c r="C126" s="24"/>
      <c r="D126" s="25"/>
      <c r="E126" s="25"/>
      <c r="F126" s="26"/>
      <c r="G126" s="24"/>
      <c r="H126" s="26"/>
      <c r="I126" s="24"/>
      <c r="J126" s="24"/>
      <c r="K126" s="24"/>
      <c r="L126" s="24"/>
      <c r="M126" s="25"/>
      <c r="N126" s="25"/>
      <c r="O126" s="24"/>
      <c r="P126" s="28"/>
      <c r="Q126" s="28"/>
    </row>
    <row r="127" s="19" customFormat="1" spans="1:17">
      <c r="A127" s="22"/>
      <c r="B127" s="23"/>
      <c r="C127" s="24"/>
      <c r="D127" s="25"/>
      <c r="E127" s="25"/>
      <c r="F127" s="26"/>
      <c r="G127" s="24"/>
      <c r="H127" s="26"/>
      <c r="I127" s="24"/>
      <c r="J127" s="24"/>
      <c r="K127" s="24"/>
      <c r="L127" s="24"/>
      <c r="M127" s="25"/>
      <c r="N127" s="25"/>
      <c r="O127" s="24"/>
      <c r="P127" s="28"/>
      <c r="Q127" s="28"/>
    </row>
    <row r="128" s="19" customFormat="1" spans="1:17">
      <c r="A128" s="22"/>
      <c r="B128" s="23"/>
      <c r="C128" s="24"/>
      <c r="D128" s="25"/>
      <c r="E128" s="25"/>
      <c r="F128" s="26"/>
      <c r="G128" s="24"/>
      <c r="H128" s="26"/>
      <c r="I128" s="24"/>
      <c r="J128" s="24"/>
      <c r="K128" s="24"/>
      <c r="L128" s="24"/>
      <c r="M128" s="25"/>
      <c r="N128" s="25"/>
      <c r="O128" s="24"/>
      <c r="P128" s="28"/>
      <c r="Q128" s="28"/>
    </row>
    <row r="129" s="19" customFormat="1" spans="1:17">
      <c r="A129" s="22"/>
      <c r="B129" s="23"/>
      <c r="C129" s="24"/>
      <c r="D129" s="25"/>
      <c r="E129" s="25"/>
      <c r="F129" s="26"/>
      <c r="G129" s="24"/>
      <c r="H129" s="26"/>
      <c r="I129" s="24"/>
      <c r="J129" s="24"/>
      <c r="K129" s="24"/>
      <c r="L129" s="24"/>
      <c r="M129" s="25"/>
      <c r="N129" s="25"/>
      <c r="O129" s="24"/>
      <c r="P129" s="28"/>
      <c r="Q129" s="28"/>
    </row>
    <row r="130" s="19" customFormat="1" spans="1:17">
      <c r="A130" s="22"/>
      <c r="B130" s="23"/>
      <c r="C130" s="24"/>
      <c r="D130" s="25"/>
      <c r="E130" s="25"/>
      <c r="F130" s="26"/>
      <c r="G130" s="24"/>
      <c r="H130" s="26"/>
      <c r="I130" s="24"/>
      <c r="J130" s="24"/>
      <c r="K130" s="24"/>
      <c r="L130" s="24"/>
      <c r="M130" s="25"/>
      <c r="N130" s="25"/>
      <c r="O130" s="24"/>
      <c r="P130" s="28"/>
      <c r="Q130" s="28"/>
    </row>
    <row r="131" s="19" customFormat="1" spans="1:17">
      <c r="A131" s="22"/>
      <c r="B131" s="23"/>
      <c r="C131" s="24"/>
      <c r="D131" s="25"/>
      <c r="E131" s="25"/>
      <c r="F131" s="26"/>
      <c r="G131" s="24"/>
      <c r="H131" s="26"/>
      <c r="I131" s="24"/>
      <c r="J131" s="24"/>
      <c r="K131" s="24"/>
      <c r="L131" s="24"/>
      <c r="M131" s="25"/>
      <c r="N131" s="25"/>
      <c r="O131" s="24"/>
      <c r="P131" s="28"/>
      <c r="Q131" s="28"/>
    </row>
    <row r="132" s="19" customFormat="1" spans="1:17">
      <c r="A132" s="22"/>
      <c r="B132" s="23"/>
      <c r="C132" s="24"/>
      <c r="D132" s="25"/>
      <c r="E132" s="25"/>
      <c r="F132" s="26"/>
      <c r="G132" s="24"/>
      <c r="H132" s="26"/>
      <c r="I132" s="24"/>
      <c r="J132" s="24"/>
      <c r="K132" s="24"/>
      <c r="L132" s="24"/>
      <c r="M132" s="25"/>
      <c r="N132" s="25"/>
      <c r="O132" s="24"/>
      <c r="P132" s="28"/>
      <c r="Q132" s="28"/>
    </row>
    <row r="133" s="19" customFormat="1" spans="1:17">
      <c r="A133" s="22"/>
      <c r="B133" s="23"/>
      <c r="C133" s="24"/>
      <c r="D133" s="25"/>
      <c r="E133" s="25"/>
      <c r="F133" s="26"/>
      <c r="G133" s="24"/>
      <c r="H133" s="26"/>
      <c r="I133" s="24"/>
      <c r="J133" s="24"/>
      <c r="K133" s="24"/>
      <c r="L133" s="24"/>
      <c r="M133" s="25"/>
      <c r="N133" s="25"/>
      <c r="O133" s="24"/>
      <c r="P133" s="28"/>
      <c r="Q133" s="28"/>
    </row>
    <row r="134" s="19" customFormat="1" spans="1:17">
      <c r="A134" s="22"/>
      <c r="B134" s="23"/>
      <c r="C134" s="24"/>
      <c r="D134" s="25"/>
      <c r="E134" s="25"/>
      <c r="F134" s="26"/>
      <c r="G134" s="24"/>
      <c r="H134" s="26"/>
      <c r="I134" s="24"/>
      <c r="J134" s="24"/>
      <c r="K134" s="24"/>
      <c r="L134" s="24"/>
      <c r="M134" s="25"/>
      <c r="N134" s="25"/>
      <c r="O134" s="24"/>
      <c r="P134" s="28"/>
      <c r="Q134" s="28"/>
    </row>
    <row r="135" s="19" customFormat="1" spans="1:17">
      <c r="A135" s="22"/>
      <c r="B135" s="23"/>
      <c r="C135" s="24"/>
      <c r="D135" s="25"/>
      <c r="E135" s="25"/>
      <c r="F135" s="26"/>
      <c r="G135" s="24"/>
      <c r="H135" s="26"/>
      <c r="I135" s="24"/>
      <c r="J135" s="24"/>
      <c r="K135" s="24"/>
      <c r="L135" s="24"/>
      <c r="M135" s="25"/>
      <c r="N135" s="25"/>
      <c r="O135" s="24"/>
      <c r="P135" s="28"/>
      <c r="Q135" s="28"/>
    </row>
    <row r="136" s="19" customFormat="1" spans="1:17">
      <c r="A136" s="22"/>
      <c r="B136" s="23"/>
      <c r="C136" s="24"/>
      <c r="D136" s="25"/>
      <c r="E136" s="25"/>
      <c r="F136" s="26"/>
      <c r="G136" s="24"/>
      <c r="H136" s="26"/>
      <c r="I136" s="24"/>
      <c r="J136" s="24"/>
      <c r="K136" s="24"/>
      <c r="L136" s="24"/>
      <c r="M136" s="25"/>
      <c r="N136" s="25"/>
      <c r="O136" s="24"/>
      <c r="P136" s="28"/>
      <c r="Q136" s="28"/>
    </row>
    <row r="137" s="19" customFormat="1" spans="1:17">
      <c r="A137" s="22"/>
      <c r="B137" s="23"/>
      <c r="C137" s="24"/>
      <c r="D137" s="25"/>
      <c r="E137" s="25"/>
      <c r="F137" s="26"/>
      <c r="G137" s="24"/>
      <c r="H137" s="26"/>
      <c r="I137" s="24"/>
      <c r="J137" s="24"/>
      <c r="K137" s="24"/>
      <c r="L137" s="24"/>
      <c r="M137" s="25"/>
      <c r="N137" s="25"/>
      <c r="O137" s="24"/>
      <c r="P137" s="28"/>
      <c r="Q137" s="28"/>
    </row>
    <row r="138" s="19" customFormat="1" spans="1:17">
      <c r="A138" s="22"/>
      <c r="B138" s="23"/>
      <c r="C138" s="24"/>
      <c r="D138" s="25"/>
      <c r="E138" s="25"/>
      <c r="F138" s="26"/>
      <c r="G138" s="24"/>
      <c r="H138" s="26"/>
      <c r="I138" s="24"/>
      <c r="J138" s="24"/>
      <c r="K138" s="24"/>
      <c r="L138" s="24"/>
      <c r="M138" s="25"/>
      <c r="N138" s="25"/>
      <c r="O138" s="27"/>
      <c r="P138" s="28"/>
      <c r="Q138" s="28"/>
    </row>
    <row r="139" s="19" customFormat="1" spans="1:17">
      <c r="A139" s="22"/>
      <c r="B139" s="23"/>
      <c r="C139" s="24"/>
      <c r="D139" s="25"/>
      <c r="E139" s="25"/>
      <c r="F139" s="26"/>
      <c r="G139" s="24"/>
      <c r="H139" s="26"/>
      <c r="I139" s="24"/>
      <c r="J139" s="24"/>
      <c r="K139" s="24"/>
      <c r="L139" s="24"/>
      <c r="M139" s="25"/>
      <c r="N139" s="25"/>
      <c r="O139" s="27"/>
      <c r="P139" s="28"/>
      <c r="Q139" s="28"/>
    </row>
    <row r="140" s="19" customFormat="1" spans="1:17">
      <c r="A140" s="22"/>
      <c r="B140" s="23"/>
      <c r="C140" s="24"/>
      <c r="D140" s="25"/>
      <c r="E140" s="25"/>
      <c r="F140" s="26"/>
      <c r="G140" s="24"/>
      <c r="H140" s="26"/>
      <c r="I140" s="24"/>
      <c r="J140" s="24"/>
      <c r="K140" s="24"/>
      <c r="L140" s="24"/>
      <c r="M140" s="25"/>
      <c r="N140" s="25"/>
      <c r="O140" s="27"/>
      <c r="P140" s="28"/>
      <c r="Q140" s="28"/>
    </row>
    <row r="141" s="19" customFormat="1" spans="1:17">
      <c r="A141" s="22"/>
      <c r="B141" s="23"/>
      <c r="C141" s="24"/>
      <c r="D141" s="25"/>
      <c r="E141" s="25"/>
      <c r="F141" s="26"/>
      <c r="G141" s="24"/>
      <c r="H141" s="26"/>
      <c r="I141" s="24"/>
      <c r="J141" s="24"/>
      <c r="K141" s="24"/>
      <c r="L141" s="24"/>
      <c r="M141" s="25"/>
      <c r="N141" s="25"/>
      <c r="O141" s="27"/>
      <c r="P141" s="28"/>
      <c r="Q141" s="28"/>
    </row>
    <row r="142" s="19" customFormat="1" spans="1:17">
      <c r="A142" s="22"/>
      <c r="B142" s="23"/>
      <c r="C142" s="24"/>
      <c r="D142" s="25"/>
      <c r="E142" s="25"/>
      <c r="F142" s="26"/>
      <c r="G142" s="24"/>
      <c r="H142" s="26"/>
      <c r="I142" s="24"/>
      <c r="J142" s="24"/>
      <c r="K142" s="24"/>
      <c r="L142" s="24"/>
      <c r="M142" s="25"/>
      <c r="N142" s="25"/>
      <c r="O142" s="27"/>
      <c r="P142" s="28"/>
      <c r="Q142" s="28"/>
    </row>
    <row r="143" s="19" customFormat="1" spans="1:17">
      <c r="A143" s="22"/>
      <c r="B143" s="23"/>
      <c r="C143" s="24"/>
      <c r="D143" s="25"/>
      <c r="E143" s="25"/>
      <c r="F143" s="26"/>
      <c r="G143" s="24"/>
      <c r="H143" s="26"/>
      <c r="I143" s="24"/>
      <c r="J143" s="24"/>
      <c r="K143" s="24"/>
      <c r="L143" s="24"/>
      <c r="M143" s="25"/>
      <c r="N143" s="25"/>
      <c r="O143" s="27"/>
      <c r="P143" s="28"/>
      <c r="Q143" s="28"/>
    </row>
    <row r="144" s="19" customFormat="1" spans="1:17">
      <c r="A144" s="22"/>
      <c r="B144" s="23"/>
      <c r="C144" s="24"/>
      <c r="D144" s="25"/>
      <c r="E144" s="25"/>
      <c r="F144" s="26"/>
      <c r="G144" s="24"/>
      <c r="H144" s="26"/>
      <c r="I144" s="24"/>
      <c r="J144" s="24"/>
      <c r="K144" s="24"/>
      <c r="L144" s="24"/>
      <c r="M144" s="25"/>
      <c r="N144" s="25"/>
      <c r="O144" s="27"/>
      <c r="P144" s="28"/>
      <c r="Q144" s="28"/>
    </row>
    <row r="145" s="19" customFormat="1" spans="1:17">
      <c r="A145" s="22"/>
      <c r="B145" s="23"/>
      <c r="C145" s="24"/>
      <c r="D145" s="25"/>
      <c r="E145" s="25"/>
      <c r="F145" s="26"/>
      <c r="G145" s="24"/>
      <c r="H145" s="26"/>
      <c r="I145" s="24"/>
      <c r="J145" s="24"/>
      <c r="K145" s="24"/>
      <c r="L145" s="24"/>
      <c r="M145" s="25"/>
      <c r="N145" s="25"/>
      <c r="O145" s="27"/>
      <c r="P145" s="28"/>
      <c r="Q145" s="28"/>
    </row>
    <row r="146" s="19" customFormat="1" spans="1:17">
      <c r="A146" s="22"/>
      <c r="B146" s="23"/>
      <c r="C146" s="24"/>
      <c r="D146" s="25"/>
      <c r="E146" s="25"/>
      <c r="F146" s="26"/>
      <c r="G146" s="24"/>
      <c r="H146" s="26"/>
      <c r="I146" s="24"/>
      <c r="J146" s="24"/>
      <c r="K146" s="24"/>
      <c r="L146" s="24"/>
      <c r="M146" s="25"/>
      <c r="N146" s="25"/>
      <c r="O146" s="27"/>
      <c r="P146" s="28"/>
      <c r="Q146" s="28"/>
    </row>
    <row r="147" s="19" customFormat="1" spans="1:17">
      <c r="A147" s="22"/>
      <c r="B147" s="23"/>
      <c r="C147" s="24"/>
      <c r="D147" s="25"/>
      <c r="E147" s="25"/>
      <c r="F147" s="26"/>
      <c r="G147" s="24"/>
      <c r="H147" s="26"/>
      <c r="I147" s="24"/>
      <c r="J147" s="24"/>
      <c r="K147" s="24"/>
      <c r="L147" s="24"/>
      <c r="M147" s="25"/>
      <c r="N147" s="25"/>
      <c r="O147" s="27"/>
      <c r="P147" s="28"/>
      <c r="Q147" s="28"/>
    </row>
    <row r="148" s="19" customFormat="1" spans="1:17">
      <c r="A148" s="22"/>
      <c r="B148" s="23"/>
      <c r="C148" s="24"/>
      <c r="D148" s="25"/>
      <c r="E148" s="25"/>
      <c r="F148" s="26"/>
      <c r="G148" s="24"/>
      <c r="H148" s="26"/>
      <c r="I148" s="24"/>
      <c r="J148" s="24"/>
      <c r="K148" s="24"/>
      <c r="L148" s="24"/>
      <c r="M148" s="25"/>
      <c r="N148" s="25"/>
      <c r="O148" s="27"/>
      <c r="P148" s="28"/>
      <c r="Q148" s="28"/>
    </row>
    <row r="149" s="19" customFormat="1" spans="1:17">
      <c r="A149" s="22"/>
      <c r="B149" s="23"/>
      <c r="C149" s="24"/>
      <c r="D149" s="25"/>
      <c r="E149" s="25"/>
      <c r="F149" s="26"/>
      <c r="G149" s="24"/>
      <c r="H149" s="26"/>
      <c r="I149" s="24"/>
      <c r="J149" s="24"/>
      <c r="K149" s="24"/>
      <c r="L149" s="24"/>
      <c r="M149" s="25"/>
      <c r="N149" s="25"/>
      <c r="O149" s="27"/>
      <c r="P149" s="28"/>
      <c r="Q149" s="28"/>
    </row>
    <row r="150" s="19" customFormat="1" spans="1:17">
      <c r="A150" s="22"/>
      <c r="B150" s="23"/>
      <c r="C150" s="24"/>
      <c r="D150" s="25"/>
      <c r="E150" s="25"/>
      <c r="F150" s="26"/>
      <c r="G150" s="24"/>
      <c r="H150" s="26"/>
      <c r="I150" s="24"/>
      <c r="J150" s="24"/>
      <c r="K150" s="24"/>
      <c r="L150" s="24"/>
      <c r="M150" s="25"/>
      <c r="N150" s="25"/>
      <c r="O150" s="27"/>
      <c r="P150" s="28"/>
      <c r="Q150" s="28"/>
    </row>
    <row r="151" s="19" customFormat="1" spans="1:17">
      <c r="A151" s="22"/>
      <c r="B151" s="23"/>
      <c r="C151" s="24"/>
      <c r="D151" s="25"/>
      <c r="E151" s="25"/>
      <c r="F151" s="26"/>
      <c r="G151" s="24"/>
      <c r="H151" s="26"/>
      <c r="I151" s="24"/>
      <c r="J151" s="24"/>
      <c r="K151" s="24"/>
      <c r="L151" s="24"/>
      <c r="M151" s="25"/>
      <c r="N151" s="25"/>
      <c r="O151" s="27"/>
      <c r="P151" s="28"/>
      <c r="Q151" s="28"/>
    </row>
    <row r="152" s="19" customFormat="1" spans="1:17">
      <c r="A152" s="22"/>
      <c r="B152" s="23"/>
      <c r="C152" s="24"/>
      <c r="D152" s="25"/>
      <c r="E152" s="25"/>
      <c r="F152" s="26"/>
      <c r="G152" s="24"/>
      <c r="H152" s="26"/>
      <c r="I152" s="24"/>
      <c r="J152" s="24"/>
      <c r="K152" s="24"/>
      <c r="L152" s="24"/>
      <c r="M152" s="25"/>
      <c r="N152" s="25"/>
      <c r="O152" s="27"/>
      <c r="P152" s="28"/>
      <c r="Q152" s="28"/>
    </row>
    <row r="153" s="19" customFormat="1" spans="1:17">
      <c r="A153" s="22"/>
      <c r="B153" s="23"/>
      <c r="C153" s="24"/>
      <c r="D153" s="25"/>
      <c r="E153" s="25"/>
      <c r="F153" s="26"/>
      <c r="G153" s="24"/>
      <c r="H153" s="26"/>
      <c r="I153" s="24"/>
      <c r="J153" s="24"/>
      <c r="K153" s="24"/>
      <c r="L153" s="24"/>
      <c r="M153" s="25"/>
      <c r="N153" s="25"/>
      <c r="O153" s="27"/>
      <c r="P153" s="28"/>
      <c r="Q153" s="28"/>
    </row>
    <row r="154" s="19" customFormat="1" spans="1:17">
      <c r="A154" s="22"/>
      <c r="B154" s="23"/>
      <c r="C154" s="24"/>
      <c r="D154" s="25"/>
      <c r="E154" s="25"/>
      <c r="F154" s="26"/>
      <c r="G154" s="24"/>
      <c r="H154" s="26"/>
      <c r="I154" s="24"/>
      <c r="J154" s="24"/>
      <c r="K154" s="24"/>
      <c r="L154" s="24"/>
      <c r="M154" s="25"/>
      <c r="N154" s="25"/>
      <c r="O154" s="27"/>
      <c r="P154" s="28"/>
      <c r="Q154" s="28"/>
    </row>
    <row r="155" s="19" customFormat="1" spans="1:17">
      <c r="A155" s="22"/>
      <c r="B155" s="23"/>
      <c r="C155" s="24"/>
      <c r="D155" s="25"/>
      <c r="E155" s="25"/>
      <c r="F155" s="26"/>
      <c r="G155" s="24"/>
      <c r="H155" s="26"/>
      <c r="I155" s="24"/>
      <c r="J155" s="24"/>
      <c r="K155" s="24"/>
      <c r="L155" s="24"/>
      <c r="M155" s="25"/>
      <c r="N155" s="25"/>
      <c r="O155" s="27"/>
      <c r="P155" s="28"/>
      <c r="Q155" s="28"/>
    </row>
    <row r="156" s="19" customFormat="1" spans="1:17">
      <c r="A156" s="22"/>
      <c r="B156" s="23"/>
      <c r="C156" s="24"/>
      <c r="D156" s="25"/>
      <c r="E156" s="25"/>
      <c r="F156" s="26"/>
      <c r="G156" s="24"/>
      <c r="H156" s="26"/>
      <c r="I156" s="24"/>
      <c r="J156" s="24"/>
      <c r="K156" s="24"/>
      <c r="L156" s="24"/>
      <c r="M156" s="25"/>
      <c r="N156" s="25"/>
      <c r="O156" s="27"/>
      <c r="P156" s="28"/>
      <c r="Q156" s="28"/>
    </row>
    <row r="157" s="19" customFormat="1" spans="1:17">
      <c r="A157" s="22"/>
      <c r="B157" s="23"/>
      <c r="C157" s="24"/>
      <c r="D157" s="25"/>
      <c r="E157" s="25"/>
      <c r="F157" s="26"/>
      <c r="G157" s="24"/>
      <c r="H157" s="26"/>
      <c r="I157" s="24"/>
      <c r="J157" s="24"/>
      <c r="K157" s="24"/>
      <c r="L157" s="24"/>
      <c r="M157" s="25"/>
      <c r="N157" s="25"/>
      <c r="O157" s="27"/>
      <c r="P157" s="28"/>
      <c r="Q157" s="28"/>
    </row>
    <row r="158" s="19" customFormat="1" spans="1:17">
      <c r="A158" s="22"/>
      <c r="B158" s="23"/>
      <c r="C158" s="24"/>
      <c r="D158" s="25"/>
      <c r="E158" s="25"/>
      <c r="F158" s="26"/>
      <c r="G158" s="24"/>
      <c r="H158" s="26"/>
      <c r="I158" s="24"/>
      <c r="J158" s="24"/>
      <c r="K158" s="24"/>
      <c r="L158" s="24"/>
      <c r="M158" s="25"/>
      <c r="N158" s="25"/>
      <c r="O158" s="27"/>
      <c r="P158" s="28"/>
      <c r="Q158" s="28"/>
    </row>
    <row r="159" s="19" customFormat="1" spans="1:17">
      <c r="A159" s="22"/>
      <c r="B159" s="23"/>
      <c r="C159" s="24"/>
      <c r="D159" s="25"/>
      <c r="E159" s="25"/>
      <c r="F159" s="26"/>
      <c r="G159" s="24"/>
      <c r="H159" s="26"/>
      <c r="I159" s="24"/>
      <c r="J159" s="24"/>
      <c r="K159" s="24"/>
      <c r="L159" s="24"/>
      <c r="M159" s="25"/>
      <c r="N159" s="25"/>
      <c r="O159" s="27"/>
      <c r="P159" s="28"/>
      <c r="Q159" s="28"/>
    </row>
    <row r="160" s="19" customFormat="1" spans="1:17">
      <c r="A160" s="22"/>
      <c r="B160" s="23"/>
      <c r="C160" s="24"/>
      <c r="D160" s="25"/>
      <c r="E160" s="25"/>
      <c r="F160" s="26"/>
      <c r="G160" s="24"/>
      <c r="H160" s="26"/>
      <c r="I160" s="24"/>
      <c r="J160" s="24"/>
      <c r="K160" s="24"/>
      <c r="L160" s="24"/>
      <c r="M160" s="25"/>
      <c r="N160" s="25"/>
      <c r="O160" s="27"/>
      <c r="P160" s="28"/>
      <c r="Q160" s="28"/>
    </row>
    <row r="161" s="19" customFormat="1" spans="1:17">
      <c r="A161" s="22"/>
      <c r="B161" s="23"/>
      <c r="C161" s="24"/>
      <c r="D161" s="25"/>
      <c r="E161" s="25"/>
      <c r="F161" s="26"/>
      <c r="G161" s="24"/>
      <c r="H161" s="26"/>
      <c r="I161" s="24"/>
      <c r="J161" s="24"/>
      <c r="K161" s="24"/>
      <c r="L161" s="24"/>
      <c r="M161" s="25"/>
      <c r="N161" s="25"/>
      <c r="O161" s="27"/>
      <c r="P161" s="28"/>
      <c r="Q161" s="28"/>
    </row>
    <row r="162" s="19" customFormat="1" spans="1:17">
      <c r="A162" s="22"/>
      <c r="B162" s="23"/>
      <c r="C162" s="24"/>
      <c r="D162" s="25"/>
      <c r="E162" s="25"/>
      <c r="F162" s="26"/>
      <c r="G162" s="24"/>
      <c r="H162" s="26"/>
      <c r="I162" s="24"/>
      <c r="J162" s="24"/>
      <c r="K162" s="24"/>
      <c r="L162" s="24"/>
      <c r="M162" s="25"/>
      <c r="N162" s="25"/>
      <c r="O162" s="27"/>
      <c r="P162" s="28"/>
      <c r="Q162" s="28"/>
    </row>
    <row r="163" s="19" customFormat="1" spans="1:17">
      <c r="A163" s="22"/>
      <c r="B163" s="23"/>
      <c r="C163" s="24"/>
      <c r="D163" s="25"/>
      <c r="E163" s="25"/>
      <c r="F163" s="26"/>
      <c r="G163" s="24"/>
      <c r="H163" s="26"/>
      <c r="I163" s="24"/>
      <c r="J163" s="24"/>
      <c r="K163" s="24"/>
      <c r="L163" s="24"/>
      <c r="M163" s="25"/>
      <c r="N163" s="25"/>
      <c r="O163" s="27"/>
      <c r="P163" s="28"/>
      <c r="Q163" s="28"/>
    </row>
    <row r="164" s="19" customFormat="1" spans="1:17">
      <c r="A164" s="22"/>
      <c r="B164" s="23"/>
      <c r="C164" s="24"/>
      <c r="D164" s="25"/>
      <c r="E164" s="25"/>
      <c r="F164" s="26"/>
      <c r="G164" s="24"/>
      <c r="H164" s="26"/>
      <c r="I164" s="24"/>
      <c r="J164" s="24"/>
      <c r="K164" s="24"/>
      <c r="L164" s="24"/>
      <c r="M164" s="25"/>
      <c r="N164" s="25"/>
      <c r="O164" s="27"/>
      <c r="P164" s="28"/>
      <c r="Q164" s="28"/>
    </row>
    <row r="165" s="19" customFormat="1" spans="1:17">
      <c r="A165" s="22"/>
      <c r="B165" s="23"/>
      <c r="C165" s="24"/>
      <c r="D165" s="25"/>
      <c r="E165" s="25"/>
      <c r="F165" s="26"/>
      <c r="G165" s="24"/>
      <c r="H165" s="26"/>
      <c r="I165" s="24"/>
      <c r="J165" s="24"/>
      <c r="K165" s="24"/>
      <c r="L165" s="24"/>
      <c r="M165" s="25"/>
      <c r="N165" s="25"/>
      <c r="O165" s="27"/>
      <c r="P165" s="28"/>
      <c r="Q165" s="28"/>
    </row>
    <row r="166" s="19" customFormat="1" spans="1:17">
      <c r="A166" s="22"/>
      <c r="B166" s="23"/>
      <c r="C166" s="24"/>
      <c r="D166" s="25"/>
      <c r="E166" s="25"/>
      <c r="F166" s="26"/>
      <c r="G166" s="24"/>
      <c r="H166" s="26"/>
      <c r="I166" s="24"/>
      <c r="J166" s="24"/>
      <c r="K166" s="24"/>
      <c r="L166" s="24"/>
      <c r="M166" s="25"/>
      <c r="N166" s="25"/>
      <c r="O166" s="27"/>
      <c r="P166" s="28"/>
      <c r="Q166" s="28"/>
    </row>
    <row r="167" s="19" customFormat="1" spans="1:17">
      <c r="A167" s="22"/>
      <c r="B167" s="23"/>
      <c r="C167" s="24"/>
      <c r="D167" s="25"/>
      <c r="E167" s="25"/>
      <c r="F167" s="26"/>
      <c r="G167" s="24"/>
      <c r="H167" s="26"/>
      <c r="I167" s="24"/>
      <c r="J167" s="24"/>
      <c r="K167" s="24"/>
      <c r="L167" s="24"/>
      <c r="M167" s="25"/>
      <c r="N167" s="25"/>
      <c r="O167" s="27"/>
      <c r="P167" s="28"/>
      <c r="Q167" s="28"/>
    </row>
    <row r="168" s="19" customFormat="1" spans="1:17">
      <c r="A168" s="22"/>
      <c r="B168" s="23"/>
      <c r="C168" s="24"/>
      <c r="D168" s="25"/>
      <c r="E168" s="25"/>
      <c r="F168" s="26"/>
      <c r="G168" s="24"/>
      <c r="H168" s="26"/>
      <c r="I168" s="24"/>
      <c r="J168" s="24"/>
      <c r="K168" s="24"/>
      <c r="L168" s="24"/>
      <c r="M168" s="25"/>
      <c r="N168" s="25"/>
      <c r="O168" s="27"/>
      <c r="P168" s="28"/>
      <c r="Q168" s="28"/>
    </row>
    <row r="169" s="19" customFormat="1" spans="1:17">
      <c r="A169" s="22"/>
      <c r="B169" s="23"/>
      <c r="C169" s="24"/>
      <c r="D169" s="25"/>
      <c r="E169" s="25"/>
      <c r="F169" s="26"/>
      <c r="G169" s="24"/>
      <c r="H169" s="26"/>
      <c r="I169" s="24"/>
      <c r="J169" s="24"/>
      <c r="K169" s="24"/>
      <c r="L169" s="24"/>
      <c r="M169" s="25"/>
      <c r="N169" s="25"/>
      <c r="O169" s="27"/>
      <c r="P169" s="28"/>
      <c r="Q169" s="28"/>
    </row>
    <row r="170" s="19" customFormat="1" spans="1:17">
      <c r="A170" s="22"/>
      <c r="B170" s="23"/>
      <c r="C170" s="24"/>
      <c r="D170" s="25"/>
      <c r="E170" s="25"/>
      <c r="F170" s="26"/>
      <c r="G170" s="24"/>
      <c r="H170" s="26"/>
      <c r="I170" s="24"/>
      <c r="J170" s="24"/>
      <c r="K170" s="24"/>
      <c r="L170" s="24"/>
      <c r="M170" s="25"/>
      <c r="N170" s="25"/>
      <c r="O170" s="27"/>
      <c r="P170" s="28"/>
      <c r="Q170" s="28"/>
    </row>
    <row r="171" s="19" customFormat="1" spans="1:17">
      <c r="A171" s="22"/>
      <c r="B171" s="23"/>
      <c r="C171" s="24"/>
      <c r="D171" s="25"/>
      <c r="E171" s="25"/>
      <c r="F171" s="26"/>
      <c r="G171" s="24"/>
      <c r="H171" s="26"/>
      <c r="I171" s="24"/>
      <c r="J171" s="24"/>
      <c r="K171" s="24"/>
      <c r="L171" s="24"/>
      <c r="M171" s="25"/>
      <c r="N171" s="25"/>
      <c r="O171" s="27"/>
      <c r="P171" s="28"/>
      <c r="Q171" s="28"/>
    </row>
    <row r="172" s="19" customFormat="1" spans="1:17">
      <c r="A172" s="22"/>
      <c r="B172" s="23"/>
      <c r="C172" s="24"/>
      <c r="D172" s="25"/>
      <c r="E172" s="25"/>
      <c r="F172" s="26"/>
      <c r="G172" s="24"/>
      <c r="H172" s="26"/>
      <c r="I172" s="24"/>
      <c r="J172" s="24"/>
      <c r="K172" s="24"/>
      <c r="L172" s="24"/>
      <c r="M172" s="25"/>
      <c r="N172" s="25"/>
      <c r="O172" s="27"/>
      <c r="P172" s="28"/>
      <c r="Q172" s="28"/>
    </row>
    <row r="173" s="19" customFormat="1" spans="1:17">
      <c r="A173" s="22"/>
      <c r="B173" s="23"/>
      <c r="C173" s="24"/>
      <c r="D173" s="25"/>
      <c r="E173" s="25"/>
      <c r="F173" s="26"/>
      <c r="G173" s="24"/>
      <c r="H173" s="26"/>
      <c r="I173" s="24"/>
      <c r="J173" s="24"/>
      <c r="K173" s="24"/>
      <c r="L173" s="24"/>
      <c r="M173" s="25"/>
      <c r="N173" s="25"/>
      <c r="O173" s="27"/>
      <c r="P173" s="28"/>
      <c r="Q173" s="28"/>
    </row>
    <row r="174" s="19" customFormat="1" spans="1:17">
      <c r="A174" s="22"/>
      <c r="B174" s="23"/>
      <c r="C174" s="24"/>
      <c r="D174" s="25"/>
      <c r="E174" s="25"/>
      <c r="F174" s="26"/>
      <c r="G174" s="24"/>
      <c r="H174" s="26"/>
      <c r="I174" s="24"/>
      <c r="J174" s="24"/>
      <c r="K174" s="24"/>
      <c r="L174" s="24"/>
      <c r="M174" s="25"/>
      <c r="N174" s="25"/>
      <c r="O174" s="27"/>
      <c r="P174" s="28"/>
      <c r="Q174" s="28"/>
    </row>
    <row r="175" s="19" customFormat="1" spans="1:17">
      <c r="A175" s="22"/>
      <c r="B175" s="23"/>
      <c r="C175" s="24"/>
      <c r="D175" s="25"/>
      <c r="E175" s="25"/>
      <c r="F175" s="26"/>
      <c r="G175" s="24"/>
      <c r="H175" s="26"/>
      <c r="I175" s="24"/>
      <c r="J175" s="24"/>
      <c r="K175" s="24"/>
      <c r="L175" s="24"/>
      <c r="M175" s="25"/>
      <c r="N175" s="25"/>
      <c r="O175" s="27"/>
      <c r="P175" s="28"/>
      <c r="Q175" s="28"/>
    </row>
    <row r="176" s="19" customFormat="1" spans="1:17">
      <c r="A176" s="22"/>
      <c r="B176" s="23"/>
      <c r="C176" s="24"/>
      <c r="D176" s="25"/>
      <c r="E176" s="25"/>
      <c r="F176" s="26"/>
      <c r="G176" s="24"/>
      <c r="H176" s="26"/>
      <c r="I176" s="24"/>
      <c r="J176" s="24"/>
      <c r="K176" s="24"/>
      <c r="L176" s="24"/>
      <c r="M176" s="25"/>
      <c r="N176" s="25"/>
      <c r="O176" s="27"/>
      <c r="P176" s="28"/>
      <c r="Q176" s="28"/>
    </row>
    <row r="177" s="19" customFormat="1" spans="1:17">
      <c r="A177" s="22"/>
      <c r="B177" s="23"/>
      <c r="C177" s="24"/>
      <c r="D177" s="25"/>
      <c r="E177" s="25"/>
      <c r="F177" s="26"/>
      <c r="G177" s="24"/>
      <c r="H177" s="26"/>
      <c r="I177" s="24"/>
      <c r="J177" s="24"/>
      <c r="K177" s="24"/>
      <c r="L177" s="24"/>
      <c r="M177" s="25"/>
      <c r="N177" s="25"/>
      <c r="O177" s="27"/>
      <c r="P177" s="28"/>
      <c r="Q177" s="28"/>
    </row>
    <row r="178" s="19" customFormat="1" spans="1:17">
      <c r="A178" s="22"/>
      <c r="B178" s="23"/>
      <c r="C178" s="24"/>
      <c r="D178" s="25"/>
      <c r="E178" s="25"/>
      <c r="F178" s="26"/>
      <c r="G178" s="24"/>
      <c r="H178" s="26"/>
      <c r="I178" s="24"/>
      <c r="J178" s="24"/>
      <c r="K178" s="24"/>
      <c r="L178" s="24"/>
      <c r="M178" s="25"/>
      <c r="N178" s="25"/>
      <c r="O178" s="27"/>
      <c r="P178" s="28"/>
      <c r="Q178" s="28"/>
    </row>
    <row r="179" s="19" customFormat="1" spans="1:17">
      <c r="A179" s="22"/>
      <c r="B179" s="23"/>
      <c r="C179" s="24"/>
      <c r="D179" s="25"/>
      <c r="E179" s="25"/>
      <c r="F179" s="26"/>
      <c r="G179" s="24"/>
      <c r="H179" s="26"/>
      <c r="I179" s="24"/>
      <c r="J179" s="24"/>
      <c r="K179" s="24"/>
      <c r="L179" s="24"/>
      <c r="M179" s="25"/>
      <c r="N179" s="25"/>
      <c r="O179" s="27"/>
      <c r="P179" s="28"/>
      <c r="Q179" s="28"/>
    </row>
    <row r="180" s="19" customFormat="1" spans="1:17">
      <c r="A180" s="22"/>
      <c r="B180" s="23"/>
      <c r="C180" s="24"/>
      <c r="D180" s="25"/>
      <c r="E180" s="25"/>
      <c r="F180" s="26"/>
      <c r="G180" s="24"/>
      <c r="H180" s="26"/>
      <c r="I180" s="24"/>
      <c r="J180" s="24"/>
      <c r="K180" s="24"/>
      <c r="L180" s="24"/>
      <c r="M180" s="25"/>
      <c r="N180" s="25"/>
      <c r="O180" s="27"/>
      <c r="P180" s="28"/>
      <c r="Q180" s="28"/>
    </row>
    <row r="181" s="19" customFormat="1" spans="1:17">
      <c r="A181" s="22"/>
      <c r="B181" s="23"/>
      <c r="C181" s="24"/>
      <c r="D181" s="25"/>
      <c r="E181" s="25"/>
      <c r="F181" s="26"/>
      <c r="G181" s="24"/>
      <c r="H181" s="26"/>
      <c r="I181" s="24"/>
      <c r="J181" s="24"/>
      <c r="K181" s="24"/>
      <c r="L181" s="24"/>
      <c r="M181" s="25"/>
      <c r="N181" s="25"/>
      <c r="O181" s="27"/>
      <c r="P181" s="28"/>
      <c r="Q181" s="28"/>
    </row>
    <row r="182" s="19" customFormat="1" spans="1:17">
      <c r="A182" s="22"/>
      <c r="B182" s="23"/>
      <c r="C182" s="24"/>
      <c r="D182" s="25"/>
      <c r="E182" s="25"/>
      <c r="F182" s="26"/>
      <c r="G182" s="24"/>
      <c r="H182" s="26"/>
      <c r="I182" s="24"/>
      <c r="J182" s="24"/>
      <c r="K182" s="24"/>
      <c r="L182" s="24"/>
      <c r="M182" s="25"/>
      <c r="N182" s="25"/>
      <c r="O182" s="27"/>
      <c r="P182" s="28"/>
      <c r="Q182" s="28"/>
    </row>
    <row r="183" s="19" customFormat="1" spans="1:17">
      <c r="A183" s="22"/>
      <c r="B183" s="23"/>
      <c r="C183" s="24"/>
      <c r="D183" s="25"/>
      <c r="E183" s="25"/>
      <c r="F183" s="26"/>
      <c r="G183" s="24"/>
      <c r="H183" s="26"/>
      <c r="I183" s="24"/>
      <c r="J183" s="24"/>
      <c r="K183" s="24"/>
      <c r="L183" s="24"/>
      <c r="M183" s="25"/>
      <c r="N183" s="25"/>
      <c r="O183" s="27"/>
      <c r="P183" s="28"/>
      <c r="Q183" s="28"/>
    </row>
    <row r="184" s="19" customFormat="1" spans="1:17">
      <c r="A184" s="22"/>
      <c r="B184" s="23"/>
      <c r="C184" s="24"/>
      <c r="D184" s="25"/>
      <c r="E184" s="25"/>
      <c r="F184" s="26"/>
      <c r="G184" s="24"/>
      <c r="H184" s="26"/>
      <c r="I184" s="24"/>
      <c r="J184" s="24"/>
      <c r="K184" s="24"/>
      <c r="L184" s="24"/>
      <c r="M184" s="25"/>
      <c r="N184" s="25"/>
      <c r="O184" s="27"/>
      <c r="P184" s="28"/>
      <c r="Q184" s="28"/>
    </row>
    <row r="185" s="19" customFormat="1" spans="1:17">
      <c r="A185" s="22"/>
      <c r="B185" s="23"/>
      <c r="C185" s="24"/>
      <c r="D185" s="25"/>
      <c r="E185" s="25"/>
      <c r="F185" s="26"/>
      <c r="G185" s="24"/>
      <c r="H185" s="26"/>
      <c r="I185" s="24"/>
      <c r="J185" s="24"/>
      <c r="K185" s="24"/>
      <c r="L185" s="24"/>
      <c r="M185" s="25"/>
      <c r="N185" s="25"/>
      <c r="O185" s="27"/>
      <c r="P185" s="28"/>
      <c r="Q185" s="28"/>
    </row>
    <row r="186" s="19" customFormat="1" spans="1:17">
      <c r="A186" s="22"/>
      <c r="B186" s="23"/>
      <c r="C186" s="24"/>
      <c r="D186" s="25"/>
      <c r="E186" s="25"/>
      <c r="F186" s="26"/>
      <c r="G186" s="24"/>
      <c r="H186" s="26"/>
      <c r="I186" s="24"/>
      <c r="J186" s="24"/>
      <c r="K186" s="24"/>
      <c r="L186" s="24"/>
      <c r="M186" s="25"/>
      <c r="N186" s="25"/>
      <c r="O186" s="27"/>
      <c r="P186" s="28"/>
      <c r="Q186" s="28"/>
    </row>
    <row r="187" s="19" customFormat="1" spans="1:17">
      <c r="A187" s="22"/>
      <c r="B187" s="23"/>
      <c r="C187" s="24"/>
      <c r="D187" s="25"/>
      <c r="E187" s="25"/>
      <c r="F187" s="26"/>
      <c r="G187" s="24"/>
      <c r="H187" s="26"/>
      <c r="I187" s="24"/>
      <c r="J187" s="24"/>
      <c r="K187" s="24"/>
      <c r="L187" s="24"/>
      <c r="M187" s="25"/>
      <c r="N187" s="25"/>
      <c r="O187" s="27"/>
      <c r="P187" s="28"/>
      <c r="Q187" s="28"/>
    </row>
    <row r="188" s="19" customFormat="1" spans="1:17">
      <c r="A188" s="22"/>
      <c r="B188" s="23"/>
      <c r="C188" s="24"/>
      <c r="D188" s="25"/>
      <c r="E188" s="25"/>
      <c r="F188" s="26"/>
      <c r="G188" s="24"/>
      <c r="H188" s="26"/>
      <c r="I188" s="24"/>
      <c r="J188" s="24"/>
      <c r="K188" s="24"/>
      <c r="L188" s="24"/>
      <c r="M188" s="25"/>
      <c r="N188" s="25"/>
      <c r="O188" s="27"/>
      <c r="P188" s="28"/>
      <c r="Q188" s="28"/>
    </row>
    <row r="189" s="19" customFormat="1" spans="1:17">
      <c r="A189" s="22"/>
      <c r="B189" s="23"/>
      <c r="C189" s="24"/>
      <c r="D189" s="25"/>
      <c r="E189" s="25"/>
      <c r="F189" s="26"/>
      <c r="G189" s="24"/>
      <c r="H189" s="26"/>
      <c r="I189" s="24"/>
      <c r="J189" s="24"/>
      <c r="K189" s="24"/>
      <c r="L189" s="24"/>
      <c r="M189" s="25"/>
      <c r="N189" s="25"/>
      <c r="O189" s="27"/>
      <c r="P189" s="28"/>
      <c r="Q189" s="28"/>
    </row>
    <row r="190" s="19" customFormat="1" spans="1:17">
      <c r="A190" s="22"/>
      <c r="B190" s="23"/>
      <c r="C190" s="24"/>
      <c r="D190" s="25"/>
      <c r="E190" s="25"/>
      <c r="F190" s="26"/>
      <c r="G190" s="24"/>
      <c r="H190" s="26"/>
      <c r="I190" s="24"/>
      <c r="J190" s="24"/>
      <c r="K190" s="24"/>
      <c r="L190" s="24"/>
      <c r="M190" s="25"/>
      <c r="N190" s="25"/>
      <c r="O190" s="27"/>
      <c r="P190" s="28"/>
      <c r="Q190" s="28"/>
    </row>
    <row r="191" s="19" customFormat="1" spans="1:17">
      <c r="A191" s="22"/>
      <c r="B191" s="23"/>
      <c r="C191" s="24"/>
      <c r="D191" s="25"/>
      <c r="E191" s="25"/>
      <c r="F191" s="26"/>
      <c r="G191" s="24"/>
      <c r="H191" s="26"/>
      <c r="I191" s="24"/>
      <c r="J191" s="24"/>
      <c r="K191" s="24"/>
      <c r="L191" s="24"/>
      <c r="M191" s="25"/>
      <c r="N191" s="25"/>
      <c r="O191" s="27"/>
      <c r="P191" s="28"/>
      <c r="Q191" s="28"/>
    </row>
    <row r="192" s="19" customFormat="1" spans="1:17">
      <c r="A192" s="22"/>
      <c r="B192" s="23"/>
      <c r="C192" s="24"/>
      <c r="D192" s="25"/>
      <c r="E192" s="25"/>
      <c r="F192" s="26"/>
      <c r="G192" s="24"/>
      <c r="H192" s="26"/>
      <c r="I192" s="24"/>
      <c r="J192" s="24"/>
      <c r="K192" s="24"/>
      <c r="L192" s="24"/>
      <c r="M192" s="25"/>
      <c r="N192" s="25"/>
      <c r="O192" s="27"/>
      <c r="P192" s="28"/>
      <c r="Q192" s="28"/>
    </row>
    <row r="193" s="19" customFormat="1" spans="1:17">
      <c r="A193" s="22"/>
      <c r="B193" s="23"/>
      <c r="C193" s="24"/>
      <c r="D193" s="25"/>
      <c r="E193" s="25"/>
      <c r="F193" s="26"/>
      <c r="G193" s="24"/>
      <c r="H193" s="26"/>
      <c r="I193" s="24"/>
      <c r="J193" s="24"/>
      <c r="K193" s="24"/>
      <c r="L193" s="24"/>
      <c r="M193" s="25"/>
      <c r="N193" s="25"/>
      <c r="O193" s="27"/>
      <c r="P193" s="28"/>
      <c r="Q193" s="28"/>
    </row>
    <row r="194" s="19" customFormat="1" spans="1:17">
      <c r="A194" s="22"/>
      <c r="B194" s="23"/>
      <c r="C194" s="24"/>
      <c r="D194" s="25"/>
      <c r="E194" s="25"/>
      <c r="F194" s="26"/>
      <c r="G194" s="24"/>
      <c r="H194" s="26"/>
      <c r="I194" s="24"/>
      <c r="J194" s="24"/>
      <c r="K194" s="24"/>
      <c r="L194" s="24"/>
      <c r="M194" s="25"/>
      <c r="N194" s="25"/>
      <c r="O194" s="27"/>
      <c r="P194" s="28"/>
      <c r="Q194" s="28"/>
    </row>
    <row r="195" s="19" customFormat="1" spans="1:17">
      <c r="A195" s="22"/>
      <c r="B195" s="23"/>
      <c r="C195" s="24"/>
      <c r="D195" s="25"/>
      <c r="E195" s="25"/>
      <c r="F195" s="26"/>
      <c r="G195" s="24"/>
      <c r="H195" s="26"/>
      <c r="I195" s="24"/>
      <c r="J195" s="24"/>
      <c r="K195" s="24"/>
      <c r="L195" s="24"/>
      <c r="M195" s="25"/>
      <c r="N195" s="25"/>
      <c r="O195" s="27"/>
      <c r="P195" s="28"/>
      <c r="Q195" s="28"/>
    </row>
    <row r="196" s="19" customFormat="1" spans="1:17">
      <c r="A196" s="22"/>
      <c r="B196" s="23"/>
      <c r="C196" s="24"/>
      <c r="D196" s="25"/>
      <c r="E196" s="25"/>
      <c r="F196" s="26"/>
      <c r="G196" s="24"/>
      <c r="H196" s="26"/>
      <c r="I196" s="24"/>
      <c r="J196" s="24"/>
      <c r="K196" s="24"/>
      <c r="L196" s="24"/>
      <c r="M196" s="25"/>
      <c r="N196" s="25"/>
      <c r="O196" s="27"/>
      <c r="P196" s="28"/>
      <c r="Q196" s="28"/>
    </row>
    <row r="197" s="19" customFormat="1" spans="1:17">
      <c r="A197" s="22"/>
      <c r="B197" s="23"/>
      <c r="C197" s="24"/>
      <c r="D197" s="25"/>
      <c r="E197" s="25"/>
      <c r="F197" s="26"/>
      <c r="G197" s="24"/>
      <c r="H197" s="26"/>
      <c r="I197" s="24"/>
      <c r="J197" s="24"/>
      <c r="K197" s="24"/>
      <c r="L197" s="24"/>
      <c r="M197" s="25"/>
      <c r="N197" s="25"/>
      <c r="O197" s="27"/>
      <c r="P197" s="28"/>
      <c r="Q197" s="28"/>
    </row>
    <row r="198" s="19" customFormat="1" spans="1:17">
      <c r="A198" s="22"/>
      <c r="B198" s="23"/>
      <c r="C198" s="24"/>
      <c r="D198" s="25"/>
      <c r="E198" s="25"/>
      <c r="F198" s="26"/>
      <c r="G198" s="24"/>
      <c r="H198" s="26"/>
      <c r="I198" s="24"/>
      <c r="J198" s="24"/>
      <c r="K198" s="24"/>
      <c r="L198" s="24"/>
      <c r="M198" s="25"/>
      <c r="N198" s="25"/>
      <c r="O198" s="27"/>
      <c r="P198" s="28"/>
      <c r="Q198" s="28"/>
    </row>
    <row r="199" s="19" customFormat="1" spans="1:17">
      <c r="A199" s="22"/>
      <c r="B199" s="23"/>
      <c r="C199" s="24"/>
      <c r="D199" s="25"/>
      <c r="E199" s="25"/>
      <c r="F199" s="26"/>
      <c r="G199" s="24"/>
      <c r="H199" s="26"/>
      <c r="I199" s="24"/>
      <c r="J199" s="24"/>
      <c r="K199" s="24"/>
      <c r="L199" s="24"/>
      <c r="M199" s="25"/>
      <c r="N199" s="25"/>
      <c r="O199" s="27"/>
      <c r="P199" s="28"/>
      <c r="Q199" s="28"/>
    </row>
    <row r="200" s="19" customFormat="1" spans="1:17">
      <c r="A200" s="22"/>
      <c r="B200" s="23"/>
      <c r="C200" s="24"/>
      <c r="D200" s="25"/>
      <c r="E200" s="25"/>
      <c r="F200" s="26"/>
      <c r="G200" s="24"/>
      <c r="H200" s="26"/>
      <c r="I200" s="24"/>
      <c r="J200" s="24"/>
      <c r="K200" s="24"/>
      <c r="L200" s="24"/>
      <c r="M200" s="25"/>
      <c r="N200" s="25"/>
      <c r="O200" s="27"/>
      <c r="P200" s="28"/>
      <c r="Q200" s="28"/>
    </row>
    <row r="201" s="19" customFormat="1" spans="1:17">
      <c r="A201" s="22"/>
      <c r="B201" s="23"/>
      <c r="C201" s="24"/>
      <c r="D201" s="25"/>
      <c r="E201" s="25"/>
      <c r="F201" s="26"/>
      <c r="G201" s="24"/>
      <c r="H201" s="26"/>
      <c r="I201" s="24"/>
      <c r="J201" s="24"/>
      <c r="K201" s="24"/>
      <c r="L201" s="24"/>
      <c r="M201" s="25"/>
      <c r="N201" s="25"/>
      <c r="O201" s="27"/>
      <c r="P201" s="28"/>
      <c r="Q201" s="28"/>
    </row>
    <row r="202" s="19" customFormat="1" spans="1:17">
      <c r="A202" s="22"/>
      <c r="B202" s="23"/>
      <c r="C202" s="24"/>
      <c r="D202" s="25"/>
      <c r="E202" s="25"/>
      <c r="F202" s="26"/>
      <c r="G202" s="24"/>
      <c r="H202" s="26"/>
      <c r="I202" s="24"/>
      <c r="J202" s="24"/>
      <c r="K202" s="24"/>
      <c r="L202" s="24"/>
      <c r="M202" s="25"/>
      <c r="N202" s="25"/>
      <c r="O202" s="27"/>
      <c r="P202" s="28"/>
      <c r="Q202" s="28"/>
    </row>
    <row r="203" s="19" customFormat="1" spans="1:17">
      <c r="A203" s="22"/>
      <c r="B203" s="23"/>
      <c r="C203" s="24"/>
      <c r="D203" s="25"/>
      <c r="E203" s="25"/>
      <c r="F203" s="26"/>
      <c r="G203" s="24"/>
      <c r="H203" s="26"/>
      <c r="I203" s="24"/>
      <c r="J203" s="24"/>
      <c r="K203" s="24"/>
      <c r="L203" s="24"/>
      <c r="M203" s="25"/>
      <c r="N203" s="25"/>
      <c r="O203" s="27"/>
      <c r="P203" s="28"/>
      <c r="Q203" s="28"/>
    </row>
    <row r="204" s="19" customFormat="1" spans="1:17">
      <c r="A204" s="22"/>
      <c r="B204" s="23"/>
      <c r="C204" s="24"/>
      <c r="D204" s="25"/>
      <c r="E204" s="25"/>
      <c r="F204" s="26"/>
      <c r="G204" s="24"/>
      <c r="H204" s="26"/>
      <c r="I204" s="24"/>
      <c r="J204" s="24"/>
      <c r="K204" s="24"/>
      <c r="L204" s="24"/>
      <c r="M204" s="25"/>
      <c r="N204" s="25"/>
      <c r="O204" s="27"/>
      <c r="P204" s="28"/>
      <c r="Q204" s="28"/>
    </row>
    <row r="205" s="19" customFormat="1" spans="1:17">
      <c r="A205" s="22"/>
      <c r="B205" s="23"/>
      <c r="C205" s="24"/>
      <c r="D205" s="25"/>
      <c r="E205" s="25"/>
      <c r="F205" s="26"/>
      <c r="G205" s="24"/>
      <c r="H205" s="26"/>
      <c r="I205" s="24"/>
      <c r="J205" s="24"/>
      <c r="K205" s="24"/>
      <c r="L205" s="24"/>
      <c r="M205" s="25"/>
      <c r="N205" s="25"/>
      <c r="O205" s="27"/>
      <c r="P205" s="28"/>
      <c r="Q205" s="28"/>
    </row>
    <row r="206" s="19" customFormat="1" spans="1:17">
      <c r="A206" s="22"/>
      <c r="B206" s="23"/>
      <c r="C206" s="24"/>
      <c r="D206" s="25"/>
      <c r="E206" s="25"/>
      <c r="F206" s="26"/>
      <c r="G206" s="24"/>
      <c r="H206" s="26"/>
      <c r="I206" s="24"/>
      <c r="J206" s="24"/>
      <c r="K206" s="24"/>
      <c r="L206" s="24"/>
      <c r="M206" s="25"/>
      <c r="N206" s="25"/>
      <c r="O206" s="27"/>
      <c r="P206" s="28"/>
      <c r="Q206" s="28"/>
    </row>
    <row r="207" s="19" customFormat="1" spans="1:17">
      <c r="A207" s="22"/>
      <c r="B207" s="23"/>
      <c r="C207" s="24"/>
      <c r="D207" s="25"/>
      <c r="E207" s="25"/>
      <c r="F207" s="26"/>
      <c r="G207" s="24"/>
      <c r="H207" s="26"/>
      <c r="I207" s="24"/>
      <c r="J207" s="24"/>
      <c r="K207" s="24"/>
      <c r="L207" s="24"/>
      <c r="M207" s="25"/>
      <c r="N207" s="25"/>
      <c r="O207" s="27"/>
      <c r="P207" s="28"/>
      <c r="Q207" s="28"/>
    </row>
    <row r="208" s="19" customFormat="1" spans="1:17">
      <c r="A208" s="22"/>
      <c r="B208" s="23"/>
      <c r="C208" s="24"/>
      <c r="D208" s="25"/>
      <c r="E208" s="25"/>
      <c r="F208" s="26"/>
      <c r="G208" s="24"/>
      <c r="H208" s="26"/>
      <c r="I208" s="24"/>
      <c r="J208" s="24"/>
      <c r="K208" s="24"/>
      <c r="L208" s="24"/>
      <c r="M208" s="25"/>
      <c r="N208" s="25"/>
      <c r="O208" s="27"/>
      <c r="P208" s="28"/>
      <c r="Q208" s="28"/>
    </row>
    <row r="209" s="19" customFormat="1" spans="1:17">
      <c r="A209" s="22"/>
      <c r="B209" s="23"/>
      <c r="C209" s="24"/>
      <c r="D209" s="25"/>
      <c r="E209" s="25"/>
      <c r="F209" s="26"/>
      <c r="G209" s="24"/>
      <c r="H209" s="26"/>
      <c r="I209" s="24"/>
      <c r="J209" s="24"/>
      <c r="K209" s="24"/>
      <c r="L209" s="24"/>
      <c r="M209" s="25"/>
      <c r="N209" s="25"/>
      <c r="O209" s="27"/>
      <c r="P209" s="28"/>
      <c r="Q209" s="28"/>
    </row>
    <row r="210" s="19" customFormat="1" spans="1:17">
      <c r="A210" s="22"/>
      <c r="B210" s="23"/>
      <c r="C210" s="24"/>
      <c r="D210" s="25"/>
      <c r="E210" s="25"/>
      <c r="F210" s="26"/>
      <c r="G210" s="24"/>
      <c r="H210" s="26"/>
      <c r="I210" s="24"/>
      <c r="J210" s="24"/>
      <c r="K210" s="24"/>
      <c r="L210" s="24"/>
      <c r="M210" s="25"/>
      <c r="N210" s="25"/>
      <c r="O210" s="27"/>
      <c r="P210" s="28"/>
      <c r="Q210" s="28"/>
    </row>
    <row r="211" s="19" customFormat="1" spans="1:17">
      <c r="A211" s="22"/>
      <c r="B211" s="23"/>
      <c r="C211" s="24"/>
      <c r="D211" s="25"/>
      <c r="E211" s="25"/>
      <c r="F211" s="26"/>
      <c r="G211" s="24"/>
      <c r="H211" s="26"/>
      <c r="I211" s="24"/>
      <c r="J211" s="24"/>
      <c r="K211" s="24"/>
      <c r="L211" s="24"/>
      <c r="M211" s="25"/>
      <c r="N211" s="25"/>
      <c r="O211" s="27"/>
      <c r="P211" s="28"/>
      <c r="Q211" s="28"/>
    </row>
    <row r="212" s="19" customFormat="1" spans="1:17">
      <c r="A212" s="22"/>
      <c r="B212" s="23"/>
      <c r="C212" s="24"/>
      <c r="D212" s="25"/>
      <c r="E212" s="25"/>
      <c r="F212" s="26"/>
      <c r="G212" s="24"/>
      <c r="H212" s="26"/>
      <c r="I212" s="24"/>
      <c r="J212" s="24"/>
      <c r="K212" s="24"/>
      <c r="L212" s="24"/>
      <c r="M212" s="25"/>
      <c r="N212" s="25"/>
      <c r="O212" s="27"/>
      <c r="P212" s="28"/>
      <c r="Q212" s="28"/>
    </row>
    <row r="213" s="19" customFormat="1" spans="1:17">
      <c r="A213" s="22"/>
      <c r="B213" s="23"/>
      <c r="C213" s="24"/>
      <c r="D213" s="25"/>
      <c r="E213" s="25"/>
      <c r="F213" s="26"/>
      <c r="G213" s="24"/>
      <c r="H213" s="26"/>
      <c r="I213" s="24"/>
      <c r="J213" s="24"/>
      <c r="K213" s="24"/>
      <c r="L213" s="24"/>
      <c r="M213" s="25"/>
      <c r="N213" s="25"/>
      <c r="O213" s="27"/>
      <c r="P213" s="28"/>
      <c r="Q213" s="28"/>
    </row>
  </sheetData>
  <autoFilter ref="A3:O106">
    <extLst/>
  </autoFilter>
  <mergeCells count="22">
    <mergeCell ref="A1:N1"/>
    <mergeCell ref="F2:L2"/>
    <mergeCell ref="B6:C6"/>
    <mergeCell ref="B7:C7"/>
    <mergeCell ref="B43:C43"/>
    <mergeCell ref="B52:C52"/>
    <mergeCell ref="B73:C73"/>
    <mergeCell ref="B97:C97"/>
    <mergeCell ref="B106:C106"/>
    <mergeCell ref="A2:A5"/>
    <mergeCell ref="B2:B5"/>
    <mergeCell ref="C2:C5"/>
    <mergeCell ref="D2:D5"/>
    <mergeCell ref="E2:E5"/>
    <mergeCell ref="F3:F4"/>
    <mergeCell ref="I4:I5"/>
    <mergeCell ref="J3:J5"/>
    <mergeCell ref="K3:K4"/>
    <mergeCell ref="L3:L4"/>
    <mergeCell ref="M2:M4"/>
    <mergeCell ref="N2:N5"/>
    <mergeCell ref="O2:O5"/>
  </mergeCells>
  <printOptions horizontalCentered="1"/>
  <pageMargins left="0.393055555555556" right="0.393055555555556" top="0.393055555555556" bottom="0.393055555555556" header="0.5" footer="0.5"/>
  <pageSetup paperSize="9" scale="54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N7" workbookViewId="0">
      <selection activeCell="K85" sqref="K85"/>
    </sheetView>
  </sheetViews>
  <sheetFormatPr defaultColWidth="9.14285714285714" defaultRowHeight="12.75"/>
  <cols>
    <col min="1" max="1" width="8" style="3" customWidth="1"/>
    <col min="2" max="2" width="27.1428571428571" style="4" customWidth="1"/>
    <col min="4" max="4" width="12.4285714285714" customWidth="1"/>
    <col min="5" max="6" width="13.2857142857143" customWidth="1"/>
    <col min="7" max="7" width="12.5714285714286" customWidth="1"/>
    <col min="10" max="10" width="22" customWidth="1"/>
    <col min="18" max="18" width="14.5714285714286" customWidth="1"/>
  </cols>
  <sheetData>
    <row r="1" ht="41.1" customHeight="1" spans="1:31">
      <c r="A1" s="5" t="s">
        <v>447</v>
      </c>
      <c r="B1" s="6"/>
      <c r="C1" s="5"/>
      <c r="D1" s="5"/>
      <c r="E1" s="5"/>
      <c r="F1" s="5"/>
      <c r="G1" s="5"/>
      <c r="I1" s="18" t="s">
        <v>448</v>
      </c>
      <c r="J1" s="6"/>
      <c r="K1" s="5"/>
      <c r="L1" s="5"/>
      <c r="M1" s="5"/>
      <c r="N1" s="5"/>
      <c r="O1" s="5"/>
      <c r="Q1" s="18" t="s">
        <v>449</v>
      </c>
      <c r="R1" s="6"/>
      <c r="S1" s="5"/>
      <c r="T1" s="5"/>
      <c r="U1" s="5"/>
      <c r="V1" s="5"/>
      <c r="W1" s="5"/>
      <c r="Y1" s="18" t="s">
        <v>450</v>
      </c>
      <c r="Z1" s="6"/>
      <c r="AA1" s="5"/>
      <c r="AB1" s="5"/>
      <c r="AC1" s="5"/>
      <c r="AD1" s="5"/>
      <c r="AE1" s="5"/>
    </row>
    <row r="2" s="1" customFormat="1" ht="38.1" customHeight="1" spans="1:31">
      <c r="A2" s="7" t="s">
        <v>25</v>
      </c>
      <c r="B2" s="8" t="s">
        <v>2</v>
      </c>
      <c r="C2" s="7" t="s">
        <v>3</v>
      </c>
      <c r="D2" s="7" t="s">
        <v>451</v>
      </c>
      <c r="E2" s="7" t="s">
        <v>452</v>
      </c>
      <c r="F2" s="7" t="s">
        <v>21</v>
      </c>
      <c r="G2" s="7" t="s">
        <v>6</v>
      </c>
      <c r="I2" s="7" t="s">
        <v>25</v>
      </c>
      <c r="J2" s="8" t="s">
        <v>2</v>
      </c>
      <c r="K2" s="7" t="s">
        <v>3</v>
      </c>
      <c r="L2" s="7" t="s">
        <v>451</v>
      </c>
      <c r="M2" s="7" t="s">
        <v>452</v>
      </c>
      <c r="N2" s="7" t="s">
        <v>21</v>
      </c>
      <c r="O2" s="7" t="s">
        <v>6</v>
      </c>
      <c r="Q2" s="7" t="s">
        <v>25</v>
      </c>
      <c r="R2" s="8" t="s">
        <v>2</v>
      </c>
      <c r="S2" s="7" t="s">
        <v>3</v>
      </c>
      <c r="T2" s="7" t="s">
        <v>451</v>
      </c>
      <c r="U2" s="7" t="s">
        <v>452</v>
      </c>
      <c r="V2" s="7" t="s">
        <v>21</v>
      </c>
      <c r="W2" s="7" t="s">
        <v>6</v>
      </c>
      <c r="Y2" s="7" t="s">
        <v>25</v>
      </c>
      <c r="Z2" s="8" t="s">
        <v>2</v>
      </c>
      <c r="AA2" s="7" t="s">
        <v>3</v>
      </c>
      <c r="AB2" s="7" t="s">
        <v>451</v>
      </c>
      <c r="AC2" s="7" t="s">
        <v>452</v>
      </c>
      <c r="AD2" s="7" t="s">
        <v>21</v>
      </c>
      <c r="AE2" s="7" t="s">
        <v>6</v>
      </c>
    </row>
    <row r="3" s="2" customFormat="1" ht="38.1" customHeight="1" spans="1:31">
      <c r="A3" s="7"/>
      <c r="B3" s="9" t="s">
        <v>453</v>
      </c>
      <c r="C3" s="10"/>
      <c r="D3" s="10"/>
      <c r="E3" s="10"/>
      <c r="F3" s="10"/>
      <c r="G3" s="10"/>
      <c r="I3" s="7"/>
      <c r="J3" s="9" t="s">
        <v>453</v>
      </c>
      <c r="K3" s="10"/>
      <c r="L3" s="10"/>
      <c r="M3" s="10"/>
      <c r="N3" s="10"/>
      <c r="O3" s="10"/>
      <c r="Q3" s="7"/>
      <c r="R3" s="9" t="s">
        <v>453</v>
      </c>
      <c r="S3" s="10"/>
      <c r="T3" s="10"/>
      <c r="U3" s="10"/>
      <c r="V3" s="10"/>
      <c r="W3" s="10"/>
      <c r="Y3" s="7"/>
      <c r="Z3" s="9" t="s">
        <v>453</v>
      </c>
      <c r="AA3" s="10"/>
      <c r="AB3" s="10"/>
      <c r="AC3" s="10"/>
      <c r="AD3" s="10"/>
      <c r="AE3" s="10"/>
    </row>
    <row r="4" ht="48.95" customHeight="1" spans="1:31">
      <c r="A4" s="11">
        <v>1</v>
      </c>
      <c r="B4" s="12" t="s">
        <v>454</v>
      </c>
      <c r="C4" s="13" t="s">
        <v>455</v>
      </c>
      <c r="D4" s="14">
        <v>2</v>
      </c>
      <c r="E4" s="14"/>
      <c r="F4" s="14"/>
      <c r="G4" s="14"/>
      <c r="I4" s="11">
        <v>1</v>
      </c>
      <c r="J4" s="12" t="s">
        <v>454</v>
      </c>
      <c r="K4" s="13" t="s">
        <v>455</v>
      </c>
      <c r="L4" s="14">
        <v>2</v>
      </c>
      <c r="M4" s="14"/>
      <c r="N4" s="14"/>
      <c r="O4" s="14"/>
      <c r="Q4" s="11">
        <v>1</v>
      </c>
      <c r="R4" s="12" t="s">
        <v>454</v>
      </c>
      <c r="S4" s="13" t="s">
        <v>455</v>
      </c>
      <c r="T4" s="14">
        <v>2</v>
      </c>
      <c r="U4" s="14"/>
      <c r="V4" s="14"/>
      <c r="W4" s="14"/>
      <c r="Y4" s="11">
        <v>1</v>
      </c>
      <c r="Z4" s="12" t="s">
        <v>454</v>
      </c>
      <c r="AA4" s="13" t="s">
        <v>455</v>
      </c>
      <c r="AB4" s="14">
        <v>2</v>
      </c>
      <c r="AC4" s="14"/>
      <c r="AD4" s="14"/>
      <c r="AE4" s="14"/>
    </row>
    <row r="5" ht="48.95" customHeight="1" spans="1:31">
      <c r="A5" s="11">
        <v>3</v>
      </c>
      <c r="B5" s="15" t="s">
        <v>456</v>
      </c>
      <c r="C5" s="14" t="s">
        <v>55</v>
      </c>
      <c r="D5" s="14">
        <f>5.17*2</f>
        <v>10.34</v>
      </c>
      <c r="E5" s="14">
        <v>30.62</v>
      </c>
      <c r="F5" s="14">
        <f>E5*D5</f>
        <v>316.6108</v>
      </c>
      <c r="G5" s="14"/>
      <c r="I5" s="11">
        <v>3</v>
      </c>
      <c r="J5" s="15" t="s">
        <v>456</v>
      </c>
      <c r="K5" s="14" t="s">
        <v>55</v>
      </c>
      <c r="L5" s="14">
        <f>5.17*2</f>
        <v>10.34</v>
      </c>
      <c r="M5" s="14">
        <v>30.62</v>
      </c>
      <c r="N5" s="14">
        <f>M5*L5</f>
        <v>316.6108</v>
      </c>
      <c r="O5" s="14"/>
      <c r="Q5" s="11">
        <v>3</v>
      </c>
      <c r="R5" s="15" t="s">
        <v>456</v>
      </c>
      <c r="S5" s="14" t="s">
        <v>55</v>
      </c>
      <c r="T5" s="14">
        <f>5.17*2</f>
        <v>10.34</v>
      </c>
      <c r="U5" s="14">
        <v>30.62</v>
      </c>
      <c r="V5" s="14">
        <f>U5*T5</f>
        <v>316.6108</v>
      </c>
      <c r="W5" s="14"/>
      <c r="Y5" s="11">
        <v>3</v>
      </c>
      <c r="Z5" s="15" t="s">
        <v>456</v>
      </c>
      <c r="AA5" s="14" t="s">
        <v>55</v>
      </c>
      <c r="AB5" s="14">
        <f>5.17*2</f>
        <v>10.34</v>
      </c>
      <c r="AC5" s="14">
        <v>30.62</v>
      </c>
      <c r="AD5" s="14">
        <f>AC5*AB5</f>
        <v>316.6108</v>
      </c>
      <c r="AE5" s="14"/>
    </row>
    <row r="6" ht="48.95" customHeight="1" spans="1:31">
      <c r="A6" s="11">
        <v>4</v>
      </c>
      <c r="B6" s="15" t="s">
        <v>457</v>
      </c>
      <c r="C6" s="14" t="s">
        <v>55</v>
      </c>
      <c r="D6" s="14">
        <f>5.17*8</f>
        <v>41.36</v>
      </c>
      <c r="E6" s="14">
        <v>8</v>
      </c>
      <c r="F6" s="14">
        <f>E6*D6</f>
        <v>330.88</v>
      </c>
      <c r="G6" s="14"/>
      <c r="I6" s="11">
        <v>4</v>
      </c>
      <c r="J6" s="15" t="s">
        <v>457</v>
      </c>
      <c r="K6" s="14" t="s">
        <v>55</v>
      </c>
      <c r="L6" s="14">
        <f>5.17*8</f>
        <v>41.36</v>
      </c>
      <c r="M6" s="14">
        <v>8</v>
      </c>
      <c r="N6" s="14">
        <f>M6*L6</f>
        <v>330.88</v>
      </c>
      <c r="O6" s="14"/>
      <c r="Q6" s="11">
        <v>4</v>
      </c>
      <c r="R6" s="15" t="s">
        <v>457</v>
      </c>
      <c r="S6" s="14" t="s">
        <v>55</v>
      </c>
      <c r="T6" s="14">
        <f>5.17*8</f>
        <v>41.36</v>
      </c>
      <c r="U6" s="14">
        <v>8</v>
      </c>
      <c r="V6" s="14">
        <f>U6*T6</f>
        <v>330.88</v>
      </c>
      <c r="W6" s="14"/>
      <c r="Y6" s="11">
        <v>4</v>
      </c>
      <c r="Z6" s="15" t="s">
        <v>457</v>
      </c>
      <c r="AA6" s="14" t="s">
        <v>55</v>
      </c>
      <c r="AB6" s="14">
        <f>5.17*8</f>
        <v>41.36</v>
      </c>
      <c r="AC6" s="14">
        <v>8</v>
      </c>
      <c r="AD6" s="14">
        <f>AC6*AB6</f>
        <v>330.88</v>
      </c>
      <c r="AE6" s="14"/>
    </row>
    <row r="7" ht="48.95" customHeight="1" spans="1:31">
      <c r="A7" s="11">
        <v>5</v>
      </c>
      <c r="B7" s="15" t="s">
        <v>458</v>
      </c>
      <c r="C7" s="14" t="s">
        <v>55</v>
      </c>
      <c r="D7" s="14">
        <f>(0.575+0.495+0.858+0.11+0.19+0.787+0.148+0.148+0.475+0.675+0.495+0.855)*6</f>
        <v>34.866</v>
      </c>
      <c r="E7" s="14">
        <v>3.06</v>
      </c>
      <c r="F7" s="14">
        <f t="shared" ref="F7:F21" si="0">E7*D7</f>
        <v>106.68996</v>
      </c>
      <c r="G7" s="14"/>
      <c r="I7" s="11">
        <v>5</v>
      </c>
      <c r="J7" s="15" t="s">
        <v>458</v>
      </c>
      <c r="K7" s="14" t="s">
        <v>55</v>
      </c>
      <c r="L7" s="14">
        <f>(0.575+0.495+0.858+0.11+0.19+0.787+0.148+0.148+0.475+0.675+0.495+0.855)*6</f>
        <v>34.866</v>
      </c>
      <c r="M7" s="14">
        <v>3.06</v>
      </c>
      <c r="N7" s="14">
        <f t="shared" ref="N7:N16" si="1">M7*L7</f>
        <v>106.68996</v>
      </c>
      <c r="O7" s="14"/>
      <c r="Q7" s="11">
        <v>5</v>
      </c>
      <c r="R7" s="15" t="s">
        <v>458</v>
      </c>
      <c r="S7" s="14" t="s">
        <v>55</v>
      </c>
      <c r="T7" s="14">
        <f>(0.575+0.495+0.858+0.11+0.19+0.787+0.148+0.148+0.475+0.675+0.495+0.855)*6</f>
        <v>34.866</v>
      </c>
      <c r="U7" s="14">
        <v>3.06</v>
      </c>
      <c r="V7" s="14">
        <f t="shared" ref="V7:V16" si="2">U7*T7</f>
        <v>106.68996</v>
      </c>
      <c r="W7" s="14"/>
      <c r="Y7" s="11">
        <v>5</v>
      </c>
      <c r="Z7" s="15" t="s">
        <v>458</v>
      </c>
      <c r="AA7" s="14" t="s">
        <v>55</v>
      </c>
      <c r="AB7" s="14">
        <f>(0.575+0.495+0.858+0.11+0.19+0.787+0.148+0.148+0.475+0.675+0.495+0.855)*6</f>
        <v>34.866</v>
      </c>
      <c r="AC7" s="14">
        <v>3.06</v>
      </c>
      <c r="AD7" s="14">
        <f t="shared" ref="AD7:AD16" si="3">AC7*AB7</f>
        <v>106.68996</v>
      </c>
      <c r="AE7" s="14"/>
    </row>
    <row r="8" ht="48.95" customHeight="1" spans="1:31">
      <c r="A8" s="11">
        <v>6</v>
      </c>
      <c r="B8" s="15" t="s">
        <v>459</v>
      </c>
      <c r="C8" s="14" t="s">
        <v>55</v>
      </c>
      <c r="D8" s="14">
        <f>(0.185*2+0.085*2+0.11*2+0.135+0.11*2+0.185*2+0.085*2+0.135)*6</f>
        <v>10.74</v>
      </c>
      <c r="E8" s="14">
        <v>10</v>
      </c>
      <c r="F8" s="14">
        <f t="shared" si="0"/>
        <v>107.4</v>
      </c>
      <c r="G8" s="14"/>
      <c r="I8" s="11">
        <v>6</v>
      </c>
      <c r="J8" s="15" t="s">
        <v>459</v>
      </c>
      <c r="K8" s="14" t="s">
        <v>55</v>
      </c>
      <c r="L8" s="14">
        <f>(0.185*2+0.085*2+0.11*2+0.135+0.11*2+0.185*2+0.085*2+0.135)*6</f>
        <v>10.74</v>
      </c>
      <c r="M8" s="14">
        <v>10</v>
      </c>
      <c r="N8" s="14">
        <f t="shared" si="1"/>
        <v>107.4</v>
      </c>
      <c r="O8" s="14"/>
      <c r="Q8" s="11">
        <v>6</v>
      </c>
      <c r="R8" s="15" t="s">
        <v>459</v>
      </c>
      <c r="S8" s="14" t="s">
        <v>55</v>
      </c>
      <c r="T8" s="14">
        <f>(0.185*2+0.085*2+0.11*2+0.135+0.11*2+0.185*2+0.085*2+0.135)*6</f>
        <v>10.74</v>
      </c>
      <c r="U8" s="14">
        <v>10</v>
      </c>
      <c r="V8" s="14">
        <f t="shared" si="2"/>
        <v>107.4</v>
      </c>
      <c r="W8" s="14"/>
      <c r="Y8" s="11">
        <v>6</v>
      </c>
      <c r="Z8" s="15" t="s">
        <v>459</v>
      </c>
      <c r="AA8" s="14" t="s">
        <v>55</v>
      </c>
      <c r="AB8" s="14">
        <f>(0.185*2+0.085*2+0.11*2+0.135+0.11*2+0.185*2+0.085*2+0.135)*6</f>
        <v>10.74</v>
      </c>
      <c r="AC8" s="14">
        <v>10</v>
      </c>
      <c r="AD8" s="14">
        <f t="shared" si="3"/>
        <v>107.4</v>
      </c>
      <c r="AE8" s="14"/>
    </row>
    <row r="9" ht="78" customHeight="1" spans="1:31">
      <c r="A9" s="11">
        <v>7</v>
      </c>
      <c r="B9" s="12" t="s">
        <v>460</v>
      </c>
      <c r="C9" s="13" t="s">
        <v>455</v>
      </c>
      <c r="D9" s="14">
        <f>6*6</f>
        <v>36</v>
      </c>
      <c r="E9" s="14"/>
      <c r="F9" s="14">
        <f t="shared" si="0"/>
        <v>0</v>
      </c>
      <c r="G9" s="14"/>
      <c r="I9" s="11">
        <v>7</v>
      </c>
      <c r="J9" s="12" t="s">
        <v>460</v>
      </c>
      <c r="K9" s="13" t="s">
        <v>455</v>
      </c>
      <c r="L9" s="14">
        <f>6*6</f>
        <v>36</v>
      </c>
      <c r="M9" s="14"/>
      <c r="N9" s="14">
        <f t="shared" si="1"/>
        <v>0</v>
      </c>
      <c r="O9" s="14"/>
      <c r="Q9" s="11">
        <v>7</v>
      </c>
      <c r="R9" s="12" t="s">
        <v>460</v>
      </c>
      <c r="S9" s="13" t="s">
        <v>455</v>
      </c>
      <c r="T9" s="14">
        <f>6*6</f>
        <v>36</v>
      </c>
      <c r="U9" s="14"/>
      <c r="V9" s="14">
        <f t="shared" si="2"/>
        <v>0</v>
      </c>
      <c r="W9" s="14"/>
      <c r="Y9" s="11">
        <v>7</v>
      </c>
      <c r="Z9" s="12" t="s">
        <v>460</v>
      </c>
      <c r="AA9" s="13" t="s">
        <v>455</v>
      </c>
      <c r="AB9" s="14">
        <f>6*6</f>
        <v>36</v>
      </c>
      <c r="AC9" s="14"/>
      <c r="AD9" s="14">
        <f t="shared" si="3"/>
        <v>0</v>
      </c>
      <c r="AE9" s="14"/>
    </row>
    <row r="10" ht="78" customHeight="1" spans="1:31">
      <c r="A10" s="11"/>
      <c r="B10" s="12" t="s">
        <v>461</v>
      </c>
      <c r="C10" s="13"/>
      <c r="D10" s="14">
        <f>0.21*7</f>
        <v>1.47</v>
      </c>
      <c r="E10" s="14">
        <v>3.06</v>
      </c>
      <c r="F10" s="14">
        <f t="shared" si="0"/>
        <v>4.4982</v>
      </c>
      <c r="G10" s="14"/>
      <c r="I10" s="11"/>
      <c r="J10" s="12" t="s">
        <v>461</v>
      </c>
      <c r="K10" s="13"/>
      <c r="L10" s="14">
        <f>0.21*7</f>
        <v>1.47</v>
      </c>
      <c r="M10" s="14">
        <v>3.06</v>
      </c>
      <c r="N10" s="14">
        <f t="shared" si="1"/>
        <v>4.4982</v>
      </c>
      <c r="O10" s="14"/>
      <c r="Q10" s="11"/>
      <c r="R10" s="12" t="s">
        <v>461</v>
      </c>
      <c r="S10" s="13"/>
      <c r="T10" s="14">
        <f>0.21*7</f>
        <v>1.47</v>
      </c>
      <c r="U10" s="14">
        <v>3.06</v>
      </c>
      <c r="V10" s="14">
        <f t="shared" si="2"/>
        <v>4.4982</v>
      </c>
      <c r="W10" s="14"/>
      <c r="Y10" s="11"/>
      <c r="Z10" s="12" t="s">
        <v>461</v>
      </c>
      <c r="AA10" s="13"/>
      <c r="AB10" s="14">
        <f>0.21*7</f>
        <v>1.47</v>
      </c>
      <c r="AC10" s="14">
        <v>3.06</v>
      </c>
      <c r="AD10" s="14">
        <f t="shared" si="3"/>
        <v>4.4982</v>
      </c>
      <c r="AE10" s="14"/>
    </row>
    <row r="11" ht="42" customHeight="1" spans="1:31">
      <c r="A11" s="11"/>
      <c r="B11" s="16" t="s">
        <v>462</v>
      </c>
      <c r="C11" s="13"/>
      <c r="D11" s="14"/>
      <c r="E11" s="14"/>
      <c r="F11" s="14">
        <f t="shared" si="0"/>
        <v>0</v>
      </c>
      <c r="G11" s="14"/>
      <c r="I11" s="11"/>
      <c r="J11" s="16" t="s">
        <v>462</v>
      </c>
      <c r="K11" s="13"/>
      <c r="L11" s="14"/>
      <c r="M11" s="14"/>
      <c r="N11" s="14">
        <f t="shared" si="1"/>
        <v>0</v>
      </c>
      <c r="O11" s="14"/>
      <c r="Q11" s="11"/>
      <c r="R11" s="16" t="s">
        <v>462</v>
      </c>
      <c r="S11" s="13"/>
      <c r="T11" s="14"/>
      <c r="U11" s="14"/>
      <c r="V11" s="14">
        <f t="shared" si="2"/>
        <v>0</v>
      </c>
      <c r="W11" s="14"/>
      <c r="Y11" s="11"/>
      <c r="Z11" s="16" t="s">
        <v>462</v>
      </c>
      <c r="AA11" s="13"/>
      <c r="AB11" s="14"/>
      <c r="AC11" s="14"/>
      <c r="AD11" s="14">
        <f t="shared" si="3"/>
        <v>0</v>
      </c>
      <c r="AE11" s="14"/>
    </row>
    <row r="12" ht="48.95" customHeight="1" spans="1:31">
      <c r="A12" s="11">
        <v>1</v>
      </c>
      <c r="B12" s="15" t="s">
        <v>458</v>
      </c>
      <c r="C12" s="14" t="s">
        <v>55</v>
      </c>
      <c r="D12" s="14">
        <f>(0.547+0.156+0.686+1.112+1.137)*2+1.13*4+(0.547+0.156+0.686)*3*2+(1.55+1.7+1.055)*3</f>
        <v>33.045</v>
      </c>
      <c r="E12" s="14"/>
      <c r="F12" s="14">
        <f t="shared" si="0"/>
        <v>0</v>
      </c>
      <c r="G12" s="14"/>
      <c r="I12" s="11">
        <v>1</v>
      </c>
      <c r="J12" s="15" t="s">
        <v>458</v>
      </c>
      <c r="K12" s="14" t="s">
        <v>55</v>
      </c>
      <c r="L12" s="14">
        <f>(0.547+0.156+0.686+1.112+1.137)*2+1.13*4+(0.547+0.156+0.686)*3*2+(1.55+1.7+1.055)*3</f>
        <v>33.045</v>
      </c>
      <c r="M12" s="14">
        <f>M10</f>
        <v>3.06</v>
      </c>
      <c r="N12" s="14">
        <f t="shared" si="1"/>
        <v>101.1177</v>
      </c>
      <c r="O12" s="14"/>
      <c r="Q12" s="11">
        <v>1</v>
      </c>
      <c r="R12" s="15" t="s">
        <v>458</v>
      </c>
      <c r="S12" s="14" t="s">
        <v>55</v>
      </c>
      <c r="T12" s="14">
        <f>(0.547+0.156+0.686+1.112+1.137)*2+1.13*4+(0.547+0.156+0.686)*3*2+(1.55+1.7+1.055)*3</f>
        <v>33.045</v>
      </c>
      <c r="U12" s="14">
        <f>U10</f>
        <v>3.06</v>
      </c>
      <c r="V12" s="14">
        <f t="shared" si="2"/>
        <v>101.1177</v>
      </c>
      <c r="W12" s="14"/>
      <c r="Y12" s="11">
        <v>1</v>
      </c>
      <c r="Z12" s="15" t="s">
        <v>458</v>
      </c>
      <c r="AA12" s="14" t="s">
        <v>55</v>
      </c>
      <c r="AB12" s="14">
        <f>(0.547+0.156+0.686+1.112)*2+(0.547+0.156+0.686)*3*2+(1.55+1.055)*3</f>
        <v>21.151</v>
      </c>
      <c r="AC12" s="14">
        <f>AC10</f>
        <v>3.06</v>
      </c>
      <c r="AD12" s="14">
        <f t="shared" si="3"/>
        <v>64.72206</v>
      </c>
      <c r="AE12" s="14"/>
    </row>
    <row r="13" ht="48.95" customHeight="1" spans="1:31">
      <c r="A13" s="11"/>
      <c r="B13" s="12" t="s">
        <v>463</v>
      </c>
      <c r="C13" s="13" t="s">
        <v>455</v>
      </c>
      <c r="D13" s="14">
        <f>3*2</f>
        <v>6</v>
      </c>
      <c r="E13" s="14"/>
      <c r="F13" s="14">
        <f t="shared" si="0"/>
        <v>0</v>
      </c>
      <c r="G13" s="14"/>
      <c r="I13" s="11"/>
      <c r="J13" s="12" t="s">
        <v>463</v>
      </c>
      <c r="K13" s="13" t="s">
        <v>455</v>
      </c>
      <c r="L13" s="14">
        <f>3*2</f>
        <v>6</v>
      </c>
      <c r="M13" s="14"/>
      <c r="N13" s="14">
        <f t="shared" si="1"/>
        <v>0</v>
      </c>
      <c r="O13" s="14"/>
      <c r="Q13" s="11"/>
      <c r="R13" s="12" t="s">
        <v>463</v>
      </c>
      <c r="S13" s="13" t="s">
        <v>455</v>
      </c>
      <c r="T13" s="14">
        <f>3*2</f>
        <v>6</v>
      </c>
      <c r="U13" s="14"/>
      <c r="V13" s="14">
        <f t="shared" si="2"/>
        <v>0</v>
      </c>
      <c r="W13" s="14"/>
      <c r="Y13" s="11"/>
      <c r="Z13" s="12" t="s">
        <v>463</v>
      </c>
      <c r="AA13" s="13" t="s">
        <v>455</v>
      </c>
      <c r="AB13" s="14">
        <f>3*2</f>
        <v>6</v>
      </c>
      <c r="AC13" s="14"/>
      <c r="AD13" s="14">
        <f t="shared" si="3"/>
        <v>0</v>
      </c>
      <c r="AE13" s="14"/>
    </row>
    <row r="14" ht="48.95" customHeight="1" spans="1:31">
      <c r="A14" s="11"/>
      <c r="B14" s="16" t="s">
        <v>464</v>
      </c>
      <c r="C14" s="14"/>
      <c r="D14" s="14"/>
      <c r="E14" s="14"/>
      <c r="F14" s="14">
        <f t="shared" si="0"/>
        <v>0</v>
      </c>
      <c r="G14" s="14"/>
      <c r="I14" s="11"/>
      <c r="J14" s="16" t="s">
        <v>464</v>
      </c>
      <c r="K14" s="14"/>
      <c r="L14" s="14"/>
      <c r="M14" s="14"/>
      <c r="N14" s="14">
        <f t="shared" si="1"/>
        <v>0</v>
      </c>
      <c r="O14" s="14"/>
      <c r="Q14" s="11"/>
      <c r="R14" s="16" t="s">
        <v>464</v>
      </c>
      <c r="S14" s="14"/>
      <c r="T14" s="14"/>
      <c r="U14" s="14"/>
      <c r="V14" s="14">
        <f t="shared" si="2"/>
        <v>0</v>
      </c>
      <c r="W14" s="14"/>
      <c r="Y14" s="11"/>
      <c r="Z14" s="16" t="s">
        <v>464</v>
      </c>
      <c r="AA14" s="14"/>
      <c r="AB14" s="14"/>
      <c r="AC14" s="14"/>
      <c r="AD14" s="14">
        <f t="shared" si="3"/>
        <v>0</v>
      </c>
      <c r="AE14" s="14"/>
    </row>
    <row r="15" ht="48.95" customHeight="1" spans="1:31">
      <c r="A15" s="11"/>
      <c r="B15" s="15" t="s">
        <v>458</v>
      </c>
      <c r="C15" s="14" t="s">
        <v>55</v>
      </c>
      <c r="D15" s="14">
        <f>(0.543+0.156+0.686+1.112+1.133*2+0.296*3)*3+3.98*3+(1.55+1.7+1.055)*3</f>
        <v>41.808</v>
      </c>
      <c r="E15" s="14">
        <v>3.06</v>
      </c>
      <c r="F15" s="14">
        <f t="shared" si="0"/>
        <v>127.93248</v>
      </c>
      <c r="G15" s="14"/>
      <c r="I15" s="11"/>
      <c r="J15" s="15" t="s">
        <v>458</v>
      </c>
      <c r="K15" s="14" t="s">
        <v>55</v>
      </c>
      <c r="L15" s="14">
        <f>(0.543+0.156+0.686+1.112+1.133*2+0.296*3)*3+3.98*3+(1.55+1.7+1.055)*3</f>
        <v>41.808</v>
      </c>
      <c r="M15" s="14">
        <v>3.06</v>
      </c>
      <c r="N15" s="14">
        <f t="shared" si="1"/>
        <v>127.93248</v>
      </c>
      <c r="O15" s="14"/>
      <c r="Q15" s="11"/>
      <c r="R15" s="15" t="s">
        <v>458</v>
      </c>
      <c r="S15" s="14" t="s">
        <v>55</v>
      </c>
      <c r="T15" s="14">
        <f>(0.543+0.156+0.686+1.112+1.133*2+0.296*3)*3+3.98*3+(1.55+1.7+1.055)*3</f>
        <v>41.808</v>
      </c>
      <c r="U15" s="14">
        <v>3.06</v>
      </c>
      <c r="V15" s="14">
        <f t="shared" si="2"/>
        <v>127.93248</v>
      </c>
      <c r="W15" s="14"/>
      <c r="Y15" s="11"/>
      <c r="Z15" s="15" t="s">
        <v>458</v>
      </c>
      <c r="AA15" s="14" t="s">
        <v>55</v>
      </c>
      <c r="AB15" s="14">
        <f>(0.543+0.156+0.686+1.112+1.133*2+0.296*3)*3+3.98*3+(1.55+1.7+1.055)*3</f>
        <v>41.808</v>
      </c>
      <c r="AC15" s="14">
        <v>3.06</v>
      </c>
      <c r="AD15" s="14">
        <f t="shared" si="3"/>
        <v>127.93248</v>
      </c>
      <c r="AE15" s="14"/>
    </row>
    <row r="16" ht="48.95" customHeight="1" spans="1:31">
      <c r="A16" s="11"/>
      <c r="B16" s="12" t="s">
        <v>465</v>
      </c>
      <c r="C16" s="13" t="s">
        <v>455</v>
      </c>
      <c r="D16" s="14">
        <f>5*3</f>
        <v>15</v>
      </c>
      <c r="E16" s="14"/>
      <c r="F16" s="14">
        <f t="shared" si="0"/>
        <v>0</v>
      </c>
      <c r="G16" s="14"/>
      <c r="I16" s="11"/>
      <c r="J16" s="12" t="s">
        <v>465</v>
      </c>
      <c r="K16" s="13" t="s">
        <v>455</v>
      </c>
      <c r="L16" s="14">
        <f>5*3</f>
        <v>15</v>
      </c>
      <c r="M16" s="14"/>
      <c r="N16" s="14">
        <f t="shared" si="1"/>
        <v>0</v>
      </c>
      <c r="O16" s="14"/>
      <c r="Q16" s="11"/>
      <c r="R16" s="12" t="s">
        <v>465</v>
      </c>
      <c r="S16" s="13" t="s">
        <v>455</v>
      </c>
      <c r="T16" s="14">
        <f>5*3</f>
        <v>15</v>
      </c>
      <c r="U16" s="14"/>
      <c r="V16" s="14">
        <f t="shared" si="2"/>
        <v>0</v>
      </c>
      <c r="W16" s="14"/>
      <c r="Y16" s="11"/>
      <c r="Z16" s="12" t="s">
        <v>465</v>
      </c>
      <c r="AA16" s="13" t="s">
        <v>455</v>
      </c>
      <c r="AB16" s="14">
        <f>5*3</f>
        <v>15</v>
      </c>
      <c r="AC16" s="14"/>
      <c r="AD16" s="14">
        <f t="shared" si="3"/>
        <v>0</v>
      </c>
      <c r="AE16" s="14"/>
    </row>
    <row r="17" ht="48.95" customHeight="1" spans="1:31">
      <c r="A17" s="11"/>
      <c r="B17" s="17" t="s">
        <v>466</v>
      </c>
      <c r="C17" s="14"/>
      <c r="D17" s="14"/>
      <c r="E17" s="14"/>
      <c r="F17" s="14">
        <f t="shared" si="0"/>
        <v>0</v>
      </c>
      <c r="G17" s="14"/>
      <c r="I17" s="11"/>
      <c r="J17" s="17"/>
      <c r="K17" s="14"/>
      <c r="L17" s="14"/>
      <c r="M17" s="14"/>
      <c r="N17" s="14"/>
      <c r="O17" s="14"/>
      <c r="Q17" s="11"/>
      <c r="R17" s="17"/>
      <c r="S17" s="14"/>
      <c r="T17" s="14"/>
      <c r="U17" s="14"/>
      <c r="V17" s="14"/>
      <c r="W17" s="14"/>
      <c r="Y17" s="11"/>
      <c r="Z17" s="17"/>
      <c r="AA17" s="14"/>
      <c r="AB17" s="14"/>
      <c r="AC17" s="14"/>
      <c r="AD17" s="14"/>
      <c r="AE17" s="14"/>
    </row>
    <row r="18" ht="48.95" customHeight="1" spans="1:31">
      <c r="A18" s="11">
        <v>1</v>
      </c>
      <c r="B18" s="12" t="s">
        <v>467</v>
      </c>
      <c r="C18" s="14" t="s">
        <v>55</v>
      </c>
      <c r="D18" s="14">
        <f>2.55*4*2</f>
        <v>20.4</v>
      </c>
      <c r="E18" s="14">
        <v>10.21</v>
      </c>
      <c r="F18" s="14">
        <f t="shared" si="0"/>
        <v>208.284</v>
      </c>
      <c r="G18" s="14"/>
      <c r="I18" s="11"/>
      <c r="J18" s="12"/>
      <c r="K18" s="14"/>
      <c r="L18" s="14"/>
      <c r="M18" s="14"/>
      <c r="N18" s="14"/>
      <c r="O18" s="14"/>
      <c r="Q18" s="11"/>
      <c r="R18" s="12"/>
      <c r="S18" s="14"/>
      <c r="T18" s="14"/>
      <c r="U18" s="14"/>
      <c r="V18" s="14"/>
      <c r="W18" s="14"/>
      <c r="Y18" s="11"/>
      <c r="Z18" s="12"/>
      <c r="AA18" s="14"/>
      <c r="AB18" s="14"/>
      <c r="AC18" s="14"/>
      <c r="AD18" s="14"/>
      <c r="AE18" s="14"/>
    </row>
    <row r="19" ht="48.95" customHeight="1" spans="1:31">
      <c r="A19" s="11">
        <v>2</v>
      </c>
      <c r="B19" s="12" t="s">
        <v>468</v>
      </c>
      <c r="C19" s="14"/>
      <c r="D19" s="14">
        <f>3.568*3*2+2.55*4+0.17*6*4</f>
        <v>35.688</v>
      </c>
      <c r="E19" s="14">
        <v>3.06</v>
      </c>
      <c r="F19" s="14">
        <f t="shared" si="0"/>
        <v>109.20528</v>
      </c>
      <c r="G19" s="14"/>
      <c r="I19" s="11"/>
      <c r="J19" s="12"/>
      <c r="K19" s="14"/>
      <c r="L19" s="14"/>
      <c r="M19" s="14"/>
      <c r="N19" s="14"/>
      <c r="O19" s="14"/>
      <c r="Q19" s="11"/>
      <c r="R19" s="12"/>
      <c r="S19" s="14"/>
      <c r="T19" s="14"/>
      <c r="U19" s="14"/>
      <c r="V19" s="14"/>
      <c r="W19" s="14"/>
      <c r="Y19" s="11"/>
      <c r="Z19" s="12"/>
      <c r="AA19" s="14"/>
      <c r="AB19" s="14"/>
      <c r="AC19" s="14"/>
      <c r="AD19" s="14"/>
      <c r="AE19" s="14"/>
    </row>
    <row r="20" ht="93" customHeight="1" spans="1:31">
      <c r="A20" s="11">
        <v>3</v>
      </c>
      <c r="B20" s="12" t="s">
        <v>469</v>
      </c>
      <c r="C20" s="13" t="s">
        <v>455</v>
      </c>
      <c r="D20" s="14">
        <f>4*2+2</f>
        <v>10</v>
      </c>
      <c r="E20" s="14"/>
      <c r="F20" s="14">
        <f t="shared" si="0"/>
        <v>0</v>
      </c>
      <c r="G20" s="14"/>
      <c r="I20" s="11"/>
      <c r="J20" s="12"/>
      <c r="K20" s="13"/>
      <c r="L20" s="14"/>
      <c r="M20" s="14"/>
      <c r="N20" s="14"/>
      <c r="O20" s="14"/>
      <c r="Q20" s="11"/>
      <c r="R20" s="12"/>
      <c r="S20" s="13"/>
      <c r="T20" s="14"/>
      <c r="U20" s="14"/>
      <c r="V20" s="14"/>
      <c r="W20" s="14"/>
      <c r="Y20" s="11"/>
      <c r="Z20" s="12"/>
      <c r="AA20" s="13"/>
      <c r="AB20" s="14"/>
      <c r="AC20" s="14"/>
      <c r="AD20" s="14"/>
      <c r="AE20" s="14"/>
    </row>
    <row r="21" ht="44.1" customHeight="1" spans="1:31">
      <c r="A21" s="11"/>
      <c r="B21" s="15" t="s">
        <v>470</v>
      </c>
      <c r="C21" s="14" t="s">
        <v>55</v>
      </c>
      <c r="D21" s="14">
        <f>(23.77-6)*2</f>
        <v>35.54</v>
      </c>
      <c r="E21" s="14">
        <v>0.89</v>
      </c>
      <c r="F21" s="14">
        <f t="shared" si="0"/>
        <v>31.6306</v>
      </c>
      <c r="G21" s="14"/>
      <c r="I21" s="11"/>
      <c r="J21" s="15"/>
      <c r="K21" s="14"/>
      <c r="L21" s="14"/>
      <c r="M21" s="14"/>
      <c r="N21" s="14"/>
      <c r="O21" s="14"/>
      <c r="Q21" s="11"/>
      <c r="R21" s="15"/>
      <c r="S21" s="14"/>
      <c r="T21" s="14"/>
      <c r="U21" s="14"/>
      <c r="V21" s="14"/>
      <c r="W21" s="14"/>
      <c r="Y21" s="11"/>
      <c r="Z21" s="15"/>
      <c r="AA21" s="14"/>
      <c r="AB21" s="14"/>
      <c r="AC21" s="14"/>
      <c r="AD21" s="14"/>
      <c r="AE21" s="14"/>
    </row>
    <row r="22" ht="26.1" customHeight="1" spans="1:31">
      <c r="A22" s="11"/>
      <c r="B22" s="17" t="s">
        <v>21</v>
      </c>
      <c r="C22" s="14" t="s">
        <v>471</v>
      </c>
      <c r="D22" s="14"/>
      <c r="E22" s="14"/>
      <c r="F22" s="14">
        <f>SUM(F3:F21)</f>
        <v>1343.13132</v>
      </c>
      <c r="G22" s="14"/>
      <c r="I22" s="11"/>
      <c r="J22" s="17" t="s">
        <v>21</v>
      </c>
      <c r="K22" s="14" t="s">
        <v>471</v>
      </c>
      <c r="L22" s="14"/>
      <c r="M22" s="14"/>
      <c r="N22" s="14">
        <f>SUM(N3:N21)</f>
        <v>1095.12914</v>
      </c>
      <c r="O22" s="14"/>
      <c r="Q22" s="11"/>
      <c r="R22" s="17" t="s">
        <v>21</v>
      </c>
      <c r="S22" s="14" t="s">
        <v>471</v>
      </c>
      <c r="T22" s="14"/>
      <c r="U22" s="14"/>
      <c r="V22" s="14">
        <f>SUM(V3:V21)</f>
        <v>1095.12914</v>
      </c>
      <c r="W22" s="14"/>
      <c r="Y22" s="11"/>
      <c r="Z22" s="17" t="s">
        <v>21</v>
      </c>
      <c r="AA22" s="14" t="s">
        <v>471</v>
      </c>
      <c r="AB22" s="14"/>
      <c r="AC22" s="14"/>
      <c r="AD22" s="14">
        <f>SUM(AD3:AD21)</f>
        <v>1058.7335</v>
      </c>
      <c r="AE22" s="14"/>
    </row>
    <row r="26" ht="11.1" customHeight="1"/>
    <row r="27" hidden="1"/>
  </sheetData>
  <autoFilter ref="A2:G22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Sheet2</vt:lpstr>
      <vt:lpstr>01、汇总表</vt:lpstr>
      <vt:lpstr>Sheet1</vt:lpstr>
      <vt:lpstr>02、样板间装饰工程</vt:lpstr>
      <vt:lpstr>03、样板间安装工程</vt:lpstr>
      <vt:lpstr>门头钢结构工程量计算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岳鹏</cp:lastModifiedBy>
  <dcterms:created xsi:type="dcterms:W3CDTF">2020-11-19T09:45:00Z</dcterms:created>
  <dcterms:modified xsi:type="dcterms:W3CDTF">2024-07-04T00:45:58Z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BC9D5C604B944029A91E6B3CA84E984D_13</vt:lpwstr>
  </property>
  <property fmtid="{D5CDD505-2E9C-101B-9397-08002B2CF9AE}" pid="4" name="KSOReadingLayout">
    <vt:bool>true</vt:bool>
  </property>
</Properties>
</file>