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27"/>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工程量计算数!$A$1:$N$99</definedName>
    <definedName name="_xlnm.Print_Area" localSheetId="0">封面!$A$1:$F$15</definedName>
    <definedName name="_xlnm._FilterDatabase" localSheetId="3" hidden="1">工程量清单清单!$A$1:$Q$48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<sst xmlns="http://schemas.openxmlformats.org/spreadsheetml/2006/main" count="2359" uniqueCount="387">
  <si>
    <t>投 标 报 价</t>
  </si>
  <si>
    <t>招   标   人：</t>
  </si>
  <si>
    <t xml:space="preserve"> 河南浩德新澜置业有限公司     </t>
  </si>
  <si>
    <t>工  程 名 称：</t>
  </si>
  <si>
    <t xml:space="preserve"> 洛阳市洛龙区伊河湾项目（3#、5#、8#楼）铝合金门窗制作安装工程 </t>
  </si>
  <si>
    <t>投标报价（小写）：</t>
  </si>
  <si>
    <t>元</t>
  </si>
  <si>
    <t>(大 写 金 额）：</t>
  </si>
  <si>
    <t>叁佰柒拾叁万贰仟捌佰陆拾捌元整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</si>
  <si>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</si>
  <si>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</si>
  <si>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</si>
  <si>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</si>
  <si>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</si>
  <si>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</si>
  <si>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</si>
  <si>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</si>
  <si>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</si>
  <si>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</si>
  <si>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</si>
  <si>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</si>
  <si>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</si>
  <si>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</si>
  <si>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</si>
  <si>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</si>
  <si>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</si>
  <si>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</si>
  <si>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</si>
  <si>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</si>
  <si>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</si>
  <si>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</si>
  <si>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</si>
  <si>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</si>
  <si>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</si>
  <si>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</si>
  <si>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</si>
  <si>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</si>
  <si>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</si>
  <si>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</si>
  <si>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</si>
  <si>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</si>
  <si>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</si>
  <si>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</si>
  <si>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</si>
  <si>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</si>
  <si>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</si>
  <si>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</si>
  <si>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</si>
  <si>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</si>
  <si>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</si>
  <si>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</si>
  <si>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</si>
  <si>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</si>
  <si>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</si>
  <si>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</si>
  <si>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</si>
  <si>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</si>
  <si>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</si>
  <si>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上悬窗</t>
  </si>
  <si>
    <t>1.型材：60系列断桥铝合金外悬窗；
2.玻璃：5LOW-E单银+9A+5+9A+5低辐射中空钢化玻璃；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</si>
  <si>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</si>
  <si>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</si>
  <si>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</si>
  <si>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</si>
  <si>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</si>
  <si>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</si>
  <si>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</si>
  <si>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</si>
  <si>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</si>
  <si>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</si>
  <si>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</si>
  <si>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</si>
  <si>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</si>
  <si>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</si>
  <si>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</si>
  <si>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</si>
  <si>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</si>
  <si>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1.型材：150系列普铝幕墙窗平开门；
2.玻璃：6mm+0.76PVB+6mm双白钢化夹胶玻璃，</t>
  </si>
  <si>
    <t>五</t>
  </si>
  <si>
    <t>合计</t>
  </si>
  <si>
    <t>门窗工程量清单表</t>
  </si>
  <si>
    <t>门窗类型</t>
  </si>
  <si>
    <t>门窗编号</t>
  </si>
  <si>
    <t>门窗面积（m2）</t>
  </si>
  <si>
    <t>不含增值税综合单价（元/m2）</t>
  </si>
  <si>
    <t>税率</t>
  </si>
  <si>
    <t>含税9%综合单价（元/m2）</t>
  </si>
  <si>
    <t>含税9%合价金额
（元）</t>
  </si>
  <si>
    <t>3#楼</t>
  </si>
  <si>
    <t>5#楼</t>
  </si>
  <si>
    <t>8#楼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</si>
  <si>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</si>
  <si>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</si>
  <si>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</si>
  <si>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</si>
  <si>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</si>
  <si>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</si>
  <si>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</si>
  <si>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</si>
  <si>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</si>
  <si>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</si>
  <si>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</si>
  <si>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</si>
  <si>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</si>
  <si>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</si>
  <si>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</si>
  <si>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</si>
  <si>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1500*1500</t>
  </si>
  <si>
    <t>600*1400</t>
  </si>
  <si>
    <t>900*1450</t>
  </si>
  <si>
    <t>1600*2150</t>
  </si>
  <si>
    <t>2100*2150</t>
  </si>
  <si>
    <t>4900*2100</t>
  </si>
  <si>
    <t>1.型材：60系列断桥铝合金外平开窗；
2.玻璃：5LOW-E单银+9A+5+9A+5低辐射中空玻璃，单片玻璃≥3m2需用8mm；</t>
  </si>
  <si>
    <t>60系列断桥铝合金外悬窗</t>
  </si>
  <si>
    <t>500*1400</t>
  </si>
  <si>
    <t>500*1450</t>
  </si>
  <si>
    <t>550*1400</t>
  </si>
  <si>
    <t>600*1450</t>
  </si>
  <si>
    <t>60系列断桥铝合金耐火外平开</t>
  </si>
  <si>
    <t>2100*2100</t>
  </si>
  <si>
    <t>1.型材：60系列断桥铝合金耐火外平开；
2.玻璃：5LOW-E单银+9A+5+9A+6铯钾低辐射中空耐火钢化玻璃，单片玻璃≥2m2需用6mm</t>
  </si>
  <si>
    <t>2100*1700</t>
  </si>
  <si>
    <t>80系列普铝推拉窗</t>
  </si>
  <si>
    <t>1100*1500</t>
  </si>
  <si>
    <t>60系列塑钢外平开门</t>
  </si>
  <si>
    <t>700*2350</t>
  </si>
  <si>
    <t>60系列断桥外平开门</t>
  </si>
  <si>
    <t>1200*2300</t>
  </si>
  <si>
    <t>1200*2350</t>
  </si>
  <si>
    <t>60系列隔热铝合金内开门</t>
  </si>
  <si>
    <t>1200*2400</t>
  </si>
  <si>
    <t>60系列塑钢推拉门</t>
  </si>
  <si>
    <t>1500*2350</t>
  </si>
  <si>
    <t>1600*2300</t>
  </si>
  <si>
    <t>1600*2350</t>
  </si>
  <si>
    <t>4800*2350</t>
  </si>
  <si>
    <t>2100*2300</t>
  </si>
  <si>
    <t>3600*2350</t>
  </si>
  <si>
    <t>150系列普铝幕墙窗+平开门</t>
  </si>
  <si>
    <t>顶层玻璃幕</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</si>
  <si>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</si>
  <si>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</si>
  <si>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</si>
  <si>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</si>
  <si>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</si>
  <si>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</si>
  <si>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</si>
  <si>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</si>
  <si>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</si>
  <si>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</si>
  <si>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</si>
  <si>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</si>
  <si>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</si>
  <si>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</si>
  <si>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</si>
  <si>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</si>
  <si>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</si>
  <si>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</si>
  <si>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</si>
  <si>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</si>
  <si>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</si>
  <si>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</si>
  <si>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</si>
  <si>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</si>
  <si>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</si>
  <si>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</si>
  <si>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</si>
  <si>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</si>
  <si>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</si>
  <si>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</si>
  <si>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</si>
  <si>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</si>
  <si>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</si>
  <si>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</si>
  <si>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</si>
  <si>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</si>
  <si>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</si>
  <si>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</si>
  <si>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</si>
  <si>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</si>
  <si>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</si>
  <si>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</si>
  <si>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</si>
  <si>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</si>
  <si>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</si>
  <si>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</si>
  <si>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</si>
  <si>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</si>
  <si>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</si>
  <si>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</si>
  <si>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</si>
  <si>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</si>
  <si>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</si>
  <si>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</si>
  <si>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</si>
  <si>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</si>
  <si>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单层钢化磨砂玻璃6mm</t>
  </si>
  <si>
    <t>门窗单价分析表</t>
  </si>
  <si>
    <t>断桥60系列外平开窗</t>
  </si>
  <si>
    <t>粉末喷涂铝型材断桥铝型材</t>
  </si>
  <si>
    <t>5LOW-E单+9A+5+9A+5三玻两腔钢化</t>
  </si>
  <si>
    <t>6LOW-E单+9A+6+9A+6三玻两腔钢化</t>
  </si>
  <si>
    <t>8LOW-E单+9A+8+9A+8三玻两腔钢化</t>
  </si>
  <si>
    <t>60系列外悬窗+90隔热推拉</t>
  </si>
  <si>
    <t>5LOW-E单银+9A+5钢化玻璃</t>
  </si>
  <si>
    <t>5LOW-E单银+9A+5+9A+6铯钾低辐射中空耐火钢化玻璃</t>
  </si>
  <si>
    <t>6LOW-E单银+9A+6+9A+6铯钾低辐射中空耐火钢化玻璃</t>
  </si>
  <si>
    <t>85系列断桥铝推拉窗</t>
  </si>
  <si>
    <t>5+12A+5钢化双白玻</t>
  </si>
  <si>
    <t>5LOW-E单银+9A+5+9A+6铯钾低辐射中空玻璃</t>
  </si>
  <si>
    <t>60系列塑钢</t>
  </si>
  <si>
    <t>5+9A+5钢化双白玻</t>
  </si>
  <si>
    <t>5+9A+5中空玻璃</t>
  </si>
  <si>
    <t>6+9A+6钢化双白玻</t>
  </si>
  <si>
    <t>钢衬等</t>
  </si>
  <si>
    <t>100系列断桥铝地弹门</t>
  </si>
  <si>
    <t>150系列普铝幕墙窗</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</si>
  <si>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</si>
  <si>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</si>
  <si>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</si>
  <si>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</si>
  <si>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</si>
  <si>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</si>
  <si>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</si>
  <si>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</si>
  <si>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</si>
  <si>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</si>
  <si>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</si>
  <si>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</si>
  <si>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</si>
  <si>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</si>
  <si>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</si>
  <si>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</si>
  <si>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</si>
  <si>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</si>
  <si>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</si>
  <si>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</si>
  <si>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</si>
  <si>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</si>
  <si>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</si>
  <si>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</si>
  <si>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</si>
  <si>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</si>
  <si>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</si>
  <si>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</si>
  <si>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</si>
  <si>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</si>
  <si>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</si>
  <si>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</si>
  <si>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</si>
  <si>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</si>
  <si>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</si>
  <si>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</si>
  <si>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</si>
  <si>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</si>
  <si>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</si>
  <si>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</si>
  <si>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</si>
  <si>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</si>
  <si>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</si>
  <si>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</si>
  <si>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</si>
  <si>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</si>
  <si>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</si>
  <si>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</si>
  <si>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</si>
  <si>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</si>
  <si>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</si>
  <si>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</si>
  <si>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</si>
  <si>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</si>
  <si>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</si>
  <si>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</si>
  <si>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</si>
  <si>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</si>
  <si>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</si>
  <si>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</si>
  <si>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</si>
  <si>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</si>
  <si>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</si>
  <si>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</si>
  <si>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</si>
  <si>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</si>
  <si>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</si>
  <si>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</si>
  <si>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</si>
  <si>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</si>
  <si>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</si>
  <si>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</si>
  <si>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</si>
  <si>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</si>
  <si>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</si>
  <si>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</si>
  <si>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</si>
  <si>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</si>
  <si>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</si>
  <si>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</si>
  <si>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</si>
  <si>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</si>
  <si>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</si>
  <si>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</si>
  <si>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</si>
  <si>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</si>
  <si>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</si>
  <si>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</si>
  <si>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</si>
  <si>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</si>
  <si>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</si>
  <si>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</si>
  <si>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</si>
  <si>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</si>
  <si>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</si>
  <si>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</si>
  <si>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</si>
  <si>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</si>
  <si>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</si>
  <si>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</si>
  <si>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</si>
  <si>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</si>
  <si>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</si>
  <si>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60系列外悬窗</t>
  </si>
  <si>
    <t>C-1</t>
  </si>
  <si>
    <t>1-7层</t>
  </si>
  <si>
    <t>1.型材：60系列断桥铝合金外悬窗；
2.玻璃：5LOW-E单银+9A+5+9A+5低辐射中空玻璃；</t>
  </si>
  <si>
    <t>8-23层</t>
  </si>
  <si>
    <t>C-3</t>
  </si>
  <si>
    <t>C-6</t>
  </si>
  <si>
    <t>C-15</t>
  </si>
  <si>
    <t>60系列外平开</t>
  </si>
  <si>
    <t>C-2</t>
  </si>
  <si>
    <t>1.型材：60系列断桥铝合金外平开窗；
2.玻璃：5LOW-E单银+9A+5+9A+5低辐射中空玻璃；</t>
  </si>
  <si>
    <t>C-4</t>
  </si>
  <si>
    <t>60系列耐火外平开</t>
  </si>
  <si>
    <t>C-5</t>
  </si>
  <si>
    <t>2-23层</t>
  </si>
  <si>
    <t>C-9</t>
  </si>
  <si>
    <t>1.型材：60系列断桥铝合金耐火外平开；
2.玻璃：5LOW-E单银+9A+5+9A+6铯钾低辐射中空玻璃，单片玻璃≥2m2需用6mm；</t>
  </si>
  <si>
    <t>1-23层</t>
  </si>
  <si>
    <t>C-10</t>
  </si>
  <si>
    <t>2-7层</t>
  </si>
  <si>
    <t>C-13</t>
  </si>
  <si>
    <t>C-7</t>
  </si>
  <si>
    <t>2-23层梯间</t>
  </si>
  <si>
    <t>50系列普铝外平开</t>
  </si>
  <si>
    <t>C-7a</t>
  </si>
  <si>
    <t>屋顶</t>
  </si>
  <si>
    <t>1.型材：50系列普铝外平开窗；
2.玻璃：单层玻璃6mm；</t>
  </si>
  <si>
    <t>C-8</t>
  </si>
  <si>
    <t>1-23层候梯厅</t>
  </si>
  <si>
    <t>C-14</t>
  </si>
  <si>
    <t>C-11</t>
  </si>
  <si>
    <t>M-4</t>
  </si>
  <si>
    <t>TLM-1</t>
  </si>
  <si>
    <t>1.型材：90系列断桥铝推拉门；
2.玻璃：5LOW-E单银+9A+5低辐射中空玻璃；</t>
  </si>
  <si>
    <t>TLM-2</t>
  </si>
  <si>
    <t>1.型材：90系列断桥铝推拉门；
2.玻璃：6LOW-E单银+9A+6低辐射中空玻璃；</t>
  </si>
  <si>
    <t>TLM-3</t>
  </si>
  <si>
    <t>1.型材：150系列普铝幕墙窗；
2.玻璃：6mm+0.76PVB+6mm双白钢化夹胶玻璃；</t>
  </si>
  <si>
    <t>8-13层</t>
  </si>
  <si>
    <t>1.型材：60系列断桥铝合金外平开窗；
2.玻璃：5LOW-E单银+9A+5+9A+5低辐射中空玻璃，单片玻璃≥2m2需用6mm；</t>
  </si>
  <si>
    <t>2-13层梯间</t>
  </si>
  <si>
    <t>1.型材：80系列普铝推拉窗；
2.玻璃：单层玻璃6mm；</t>
  </si>
  <si>
    <t>C-4a</t>
  </si>
  <si>
    <t>1.型材：50系列普铝固定窗；
2.玻璃：单层玻璃6mm；</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</si>
  <si>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</si>
  <si>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</si>
  <si>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</si>
  <si>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</si>
  <si>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</si>
  <si>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</si>
  <si>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</si>
  <si>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</si>
  <si>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</si>
  <si>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</si>
  <si>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</si>
  <si>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</si>
  <si>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</si>
  <si>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8-11层</t>
  </si>
  <si>
    <t>2-11层</t>
  </si>
  <si>
    <t>1-11层</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</si>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</sst>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sz val="9"/>
      <name val="宋体"/>
      <charset val="134"/>
      <scheme val="minor"/>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
      <u/>
      <sz val="9"/>
      <color theme="1"/>
      <name val="宋体"/>
      <charset val="134"/>
      <scheme val="minor"/>
    </font>
    <font>
      <sz val="9"/>
      <name val="Times New Roman"/>
      <charset val="134"/>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8" borderId="15" applyNumberFormat="0" applyAlignment="0" applyProtection="0">
      <alignment vertical="center"/>
    </xf>
    <xf numFmtId="0" fontId="34" fillId="9" borderId="16" applyNumberFormat="0" applyAlignment="0" applyProtection="0">
      <alignment vertical="center"/>
    </xf>
    <xf numFmtId="0" fontId="35" fillId="9" borderId="15" applyNumberFormat="0" applyAlignment="0" applyProtection="0">
      <alignment vertical="center"/>
    </xf>
    <xf numFmtId="0" fontId="36" fillId="10"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4"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4"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44" fillId="0" borderId="0"/>
    <xf numFmtId="0" fontId="44" fillId="0" borderId="0"/>
    <xf numFmtId="0" fontId="44" fillId="0" borderId="0">
      <alignment vertical="center"/>
    </xf>
    <xf numFmtId="0" fontId="46" fillId="0" borderId="0">
      <alignment vertical="center"/>
    </xf>
    <xf numFmtId="0" fontId="44" fillId="0" borderId="0"/>
    <xf numFmtId="0" fontId="44" fillId="0" borderId="0">
      <alignment vertical="center"/>
    </xf>
  </cellStyleXfs>
  <cellXfs count="17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4" fillId="0" borderId="1" xfId="0" applyFont="1" applyBorder="1">
      <alignment vertical="center"/>
    </xf>
    <xf numFmtId="0" fontId="2" fillId="2" borderId="3" xfId="0" applyFont="1" applyFill="1" applyBorder="1" applyAlignment="1">
      <alignment horizontal="center" vertical="center"/>
    </xf>
    <xf numFmtId="0" fontId="0" fillId="0" borderId="3" xfId="0" applyBorder="1">
      <alignment vertical="center"/>
    </xf>
    <xf numFmtId="0" fontId="3" fillId="0" borderId="0" xfId="0" applyFont="1" applyBorder="1" applyAlignment="1">
      <alignmen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Alignment="1">
      <alignment horizontal="left" vertical="center" wrapText="1"/>
    </xf>
    <xf numFmtId="0"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5" fillId="0" borderId="0" xfId="59" applyFont="1" applyBorder="1" applyAlignment="1">
      <alignment horizontal="center" vertical="center"/>
    </xf>
    <xf numFmtId="0" fontId="7" fillId="0" borderId="1" xfId="57" applyFont="1" applyFill="1" applyBorder="1" applyAlignment="1">
      <alignment horizontal="center" vertical="center"/>
    </xf>
    <xf numFmtId="0" fontId="7" fillId="0" borderId="1" xfId="57"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2" xfId="57" applyFont="1" applyFill="1" applyBorder="1" applyAlignment="1">
      <alignment horizontal="center" vertical="center"/>
    </xf>
    <xf numFmtId="0" fontId="7" fillId="0" borderId="6" xfId="57" applyFont="1" applyFill="1" applyBorder="1" applyAlignment="1">
      <alignment horizontal="center" vertical="center"/>
    </xf>
    <xf numFmtId="0" fontId="7" fillId="0" borderId="5" xfId="57"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9" fillId="0" borderId="0" xfId="0" applyFont="1" applyFill="1" applyBorder="1" applyAlignment="1">
      <alignment horizontal="center" vertical="center"/>
    </xf>
    <xf numFmtId="0" fontId="10" fillId="0" borderId="8" xfId="58" applyNumberFormat="1" applyFont="1" applyFill="1" applyBorder="1" applyAlignment="1" applyProtection="1">
      <alignment horizontal="left" vertical="center" wrapText="1"/>
    </xf>
    <xf numFmtId="0" fontId="10" fillId="0" borderId="8" xfId="58"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1" fillId="0" borderId="1" xfId="0" applyFont="1" applyFill="1" applyBorder="1" applyAlignment="1">
      <alignment horizontal="center" vertical="center"/>
    </xf>
    <xf numFmtId="177" fontId="11" fillId="2" borderId="1" xfId="0" applyNumberFormat="1"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178" fontId="11"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3" fillId="0" borderId="0" xfId="0" applyFont="1" applyAlignment="1">
      <alignment horizontal="center" vertical="center"/>
    </xf>
    <xf numFmtId="176" fontId="3" fillId="0" borderId="1" xfId="0" applyNumberFormat="1" applyFont="1" applyBorder="1" applyAlignment="1">
      <alignment horizontal="center" vertical="center"/>
    </xf>
    <xf numFmtId="0" fontId="13"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3" fillId="4" borderId="1" xfId="0" applyNumberFormat="1" applyFont="1" applyFill="1" applyBorder="1">
      <alignment vertical="center"/>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178" fontId="14" fillId="0" borderId="3" xfId="49" applyNumberFormat="1" applyFont="1" applyFill="1" applyBorder="1" applyAlignment="1">
      <alignment horizontal="center" vertical="center"/>
    </xf>
    <xf numFmtId="178" fontId="14"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5" fillId="0" borderId="1"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3"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3" fillId="2" borderId="1" xfId="0" applyFont="1" applyFill="1" applyBorder="1" applyAlignment="1">
      <alignment horizontal="center" vertical="center"/>
    </xf>
    <xf numFmtId="0" fontId="16" fillId="0" borderId="0" xfId="0" applyFont="1" applyFill="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4" fillId="0" borderId="2"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6" xfId="0"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xf>
    <xf numFmtId="179" fontId="14"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4" fillId="2" borderId="1" xfId="0" applyNumberFormat="1" applyFont="1" applyFill="1" applyBorder="1" applyAlignment="1">
      <alignment vertical="center" wrapText="1"/>
    </xf>
    <xf numFmtId="0" fontId="16" fillId="0" borderId="2" xfId="0" applyFont="1" applyBorder="1" applyAlignment="1">
      <alignment horizontal="center" vertical="center"/>
    </xf>
    <xf numFmtId="0" fontId="4" fillId="0" borderId="1" xfId="0" applyFont="1" applyBorder="1" applyAlignment="1">
      <alignment vertical="center" wrapText="1"/>
    </xf>
    <xf numFmtId="0" fontId="16" fillId="0" borderId="5" xfId="0" applyFont="1" applyBorder="1" applyAlignment="1">
      <alignment horizontal="center" vertical="center"/>
    </xf>
    <xf numFmtId="0" fontId="18" fillId="0" borderId="1" xfId="0" applyFont="1" applyBorder="1" applyAlignment="1">
      <alignment vertic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Fill="1" applyBorder="1" applyAlignment="1">
      <alignment horizontal="center" vertical="center"/>
    </xf>
    <xf numFmtId="176" fontId="14" fillId="2"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9" fillId="0" borderId="0" xfId="52" applyFont="1" applyFill="1" applyBorder="1" applyAlignment="1" applyProtection="1">
      <alignment horizontal="center" vertical="center" wrapText="1"/>
    </xf>
    <xf numFmtId="49" fontId="14" fillId="6" borderId="1" xfId="50" applyNumberFormat="1" applyFont="1" applyFill="1" applyBorder="1" applyAlignment="1" applyProtection="1">
      <alignment horizontal="center" vertical="center"/>
    </xf>
    <xf numFmtId="176" fontId="14" fillId="6" borderId="1" xfId="50" applyFont="1" applyFill="1" applyBorder="1" applyAlignment="1" applyProtection="1">
      <alignment horizontal="left" vertical="center" wrapText="1"/>
    </xf>
    <xf numFmtId="0" fontId="14" fillId="0" borderId="1" xfId="51" applyFont="1" applyFill="1" applyBorder="1" applyAlignment="1" applyProtection="1">
      <alignment horizontal="center" vertical="center"/>
    </xf>
    <xf numFmtId="176" fontId="14" fillId="0" borderId="1" xfId="50" applyFont="1" applyFill="1" applyBorder="1" applyAlignment="1" applyProtection="1">
      <alignment horizontal="left" vertical="center" wrapText="1"/>
    </xf>
    <xf numFmtId="0" fontId="7" fillId="0" borderId="1" xfId="56" applyFont="1" applyFill="1" applyBorder="1" applyAlignment="1" applyProtection="1">
      <alignment horizontal="justify" vertical="center" wrapText="1"/>
    </xf>
    <xf numFmtId="0" fontId="14" fillId="0" borderId="1" xfId="52" applyFont="1" applyFill="1" applyBorder="1" applyAlignment="1" applyProtection="1">
      <alignment horizontal="center" vertical="center"/>
    </xf>
    <xf numFmtId="0" fontId="14" fillId="0" borderId="1" xfId="53" applyFont="1" applyFill="1" applyBorder="1" applyAlignment="1" applyProtection="1">
      <alignment vertical="center" wrapText="1"/>
    </xf>
    <xf numFmtId="0" fontId="14" fillId="0" borderId="1" xfId="53" applyFont="1" applyFill="1" applyBorder="1" applyAlignment="1" applyProtection="1">
      <alignment horizontal="left" vertical="center" wrapText="1"/>
    </xf>
    <xf numFmtId="176" fontId="14" fillId="0" borderId="1" xfId="54" applyFont="1" applyFill="1" applyBorder="1" applyAlignment="1" applyProtection="1">
      <alignment horizontal="left" vertical="center" wrapText="1"/>
    </xf>
    <xf numFmtId="176" fontId="14" fillId="0" borderId="1" xfId="50" applyFont="1" applyFill="1" applyBorder="1" applyAlignment="1" applyProtection="1">
      <alignment horizontal="left" vertical="top" wrapText="1"/>
    </xf>
    <xf numFmtId="0" fontId="14" fillId="0" borderId="1" xfId="0" applyFont="1" applyFill="1" applyBorder="1" applyAlignment="1">
      <alignment vertical="center"/>
    </xf>
    <xf numFmtId="0" fontId="14" fillId="0" borderId="0" xfId="0" applyFont="1" applyFill="1" applyBorder="1" applyAlignment="1">
      <alignment horizontal="center" vertical="center"/>
    </xf>
    <xf numFmtId="176" fontId="0" fillId="0" borderId="0" xfId="0" applyNumberFormat="1">
      <alignment vertical="center"/>
    </xf>
    <xf numFmtId="0" fontId="20" fillId="0" borderId="0" xfId="0" applyFont="1" applyFill="1" applyAlignment="1">
      <alignment horizontal="center" vertical="center"/>
    </xf>
    <xf numFmtId="0" fontId="0"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Alignment="1">
      <alignment horizontal="left" vertical="center"/>
    </xf>
    <xf numFmtId="176" fontId="24" fillId="0" borderId="8" xfId="0" applyNumberFormat="1" applyFont="1" applyFill="1" applyBorder="1" applyAlignment="1">
      <alignment horizontal="center" vertical="center"/>
    </xf>
    <xf numFmtId="0" fontId="24" fillId="0" borderId="8" xfId="0" applyFont="1" applyFill="1" applyBorder="1" applyAlignment="1">
      <alignment horizontal="center" vertical="center"/>
    </xf>
    <xf numFmtId="180" fontId="24" fillId="0" borderId="8" xfId="0" applyNumberFormat="1" applyFont="1" applyFill="1" applyBorder="1" applyAlignment="1">
      <alignment horizontal="center" vertical="center"/>
    </xf>
    <xf numFmtId="0" fontId="24"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6087110" y="596265"/>
          <a:ext cx="795020"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772785" y="9010650"/>
          <a:ext cx="948690"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83">
          <cell r="K83">
            <v>45.6</v>
          </cell>
        </row>
        <row r="84">
          <cell r="K84">
            <v>58.4</v>
          </cell>
        </row>
        <row r="85">
          <cell r="K85">
            <v>123.3</v>
          </cell>
        </row>
        <row r="114">
          <cell r="K114">
            <v>28.42</v>
          </cell>
        </row>
        <row r="115">
          <cell r="K115">
            <v>29.29</v>
          </cell>
        </row>
        <row r="116">
          <cell r="K116">
            <v>125.425</v>
          </cell>
        </row>
        <row r="225">
          <cell r="K225">
            <v>126.295</v>
          </cell>
        </row>
        <row r="226">
          <cell r="K226">
            <v>30.305</v>
          </cell>
        </row>
        <row r="227">
          <cell r="K227">
            <v>28.42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workbookViewId="0">
      <selection activeCell="A1" sqref="A1:F1"/>
    </sheetView>
  </sheetViews>
  <sheetFormatPr defaultColWidth="9" defaultRowHeight="35.1" customHeight="1"/>
  <cols>
    <col min="1" max="1" width="5.5" customWidth="1"/>
    <col min="2" max="2" width="29.25" customWidth="1"/>
    <col min="3" max="3" width="17.6333333333333" customWidth="1"/>
    <col min="4" max="4" width="11.75" customWidth="1"/>
    <col min="6" max="6" width="20.6333333333333" customWidth="1"/>
    <col min="9" max="9" width="19.375" customWidth="1"/>
    <col min="10" max="10" width="26.625" style="158" customWidth="1"/>
    <col min="12" max="12" width="9.375"/>
  </cols>
  <sheetData>
    <row r="1" ht="108" customHeight="1" spans="1:6">
      <c r="A1" s="159" t="s">
        <v>0</v>
      </c>
      <c r="B1" s="159"/>
      <c r="C1" s="159"/>
      <c r="D1" s="159"/>
      <c r="E1" s="159"/>
      <c r="F1" s="159"/>
    </row>
    <row r="2" ht="50.1" customHeight="1" spans="1:6">
      <c r="A2" s="160"/>
      <c r="B2" s="161" t="s">
        <v>1</v>
      </c>
      <c r="C2" s="162" t="s">
        <v>2</v>
      </c>
      <c r="D2" s="162"/>
      <c r="E2" s="162"/>
      <c r="F2" s="162"/>
    </row>
    <row r="3" ht="50.1" customHeight="1" spans="1:6">
      <c r="A3" s="160"/>
      <c r="B3" s="161" t="s">
        <v>3</v>
      </c>
      <c r="C3" s="162" t="s">
        <v>4</v>
      </c>
      <c r="D3" s="163"/>
      <c r="E3" s="163"/>
      <c r="F3" s="163"/>
    </row>
    <row r="4" ht="50.1" customHeight="1" spans="1:6">
      <c r="A4" s="160"/>
      <c r="B4" s="161"/>
      <c r="C4" s="161"/>
      <c r="D4" s="161"/>
      <c r="E4" s="161"/>
      <c r="F4" s="161"/>
    </row>
    <row r="5" ht="50.1" customHeight="1" spans="1:6">
      <c r="A5" s="160"/>
      <c r="B5" s="161"/>
      <c r="C5" s="161"/>
      <c r="D5" s="161"/>
      <c r="E5" s="161"/>
      <c r="F5" s="161"/>
    </row>
    <row r="6" ht="50.1" customHeight="1" spans="1:10">
      <c r="A6" s="164"/>
      <c r="B6" s="165" t="s">
        <v>5</v>
      </c>
      <c r="C6" s="166">
        <v>3732868</v>
      </c>
      <c r="D6" s="166"/>
      <c r="E6" s="166"/>
      <c r="F6" s="167" t="s">
        <v>6</v>
      </c>
      <c r="J6" s="158">
        <v>3732868</v>
      </c>
    </row>
    <row r="7" ht="50.1" customHeight="1" spans="1:10">
      <c r="A7" s="164"/>
      <c r="B7" s="165" t="s">
        <v>7</v>
      </c>
      <c r="C7" s="168" t="s">
        <v>8</v>
      </c>
      <c r="D7" s="168"/>
      <c r="E7" s="168"/>
      <c r="F7" s="168"/>
      <c r="I7">
        <v>1.09</v>
      </c>
      <c r="J7" s="158">
        <f>J6/I7</f>
        <v>3424649.5412844</v>
      </c>
    </row>
    <row r="8" ht="50.1" customHeight="1" spans="1:10">
      <c r="A8" s="164"/>
      <c r="B8" s="169"/>
      <c r="C8" s="169"/>
      <c r="D8" s="169"/>
      <c r="E8" s="169"/>
      <c r="F8" s="169"/>
      <c r="I8">
        <v>0.09</v>
      </c>
      <c r="J8" s="158">
        <f>J7*I8</f>
        <v>308218.458715596</v>
      </c>
    </row>
    <row r="9" ht="50.1" customHeight="1" spans="1:12">
      <c r="A9" s="164"/>
      <c r="B9" s="169"/>
      <c r="C9" s="169"/>
      <c r="D9" s="169"/>
      <c r="E9" s="169"/>
      <c r="F9" s="169"/>
      <c r="J9" s="158">
        <f>SUM(J7:J8)</f>
        <v>3732868</v>
      </c>
      <c r="K9">
        <v>0.005</v>
      </c>
      <c r="L9">
        <f>J9*K9</f>
        <v>18664.34</v>
      </c>
    </row>
    <row r="10" ht="50.1" customHeight="1" spans="1:6">
      <c r="A10" s="164"/>
      <c r="B10" s="165" t="s">
        <v>9</v>
      </c>
      <c r="C10" s="162" t="s">
        <v>10</v>
      </c>
      <c r="D10" s="162"/>
      <c r="E10" s="162"/>
      <c r="F10" s="162"/>
    </row>
    <row r="11" ht="50.1" customHeight="1" spans="1:6">
      <c r="A11" s="164"/>
      <c r="B11" s="165" t="s">
        <v>11</v>
      </c>
      <c r="C11" s="162" t="s">
        <v>12</v>
      </c>
      <c r="D11" s="162"/>
      <c r="E11" s="162"/>
      <c r="F11" s="162"/>
    </row>
    <row r="12" ht="50.1" customHeight="1" spans="1:6">
      <c r="A12" s="164"/>
      <c r="B12" s="165" t="s">
        <v>13</v>
      </c>
      <c r="C12" s="162" t="s">
        <v>14</v>
      </c>
      <c r="D12" s="162"/>
      <c r="E12" s="162"/>
      <c r="F12" s="162"/>
    </row>
    <row r="13" customHeight="1" spans="1:1">
      <c r="A13" s="164"/>
    </row>
    <row r="14" ht="6" customHeight="1" spans="1:6">
      <c r="A14" s="160"/>
      <c r="B14" s="160"/>
      <c r="C14" s="160"/>
      <c r="D14" s="160"/>
      <c r="E14" s="160"/>
      <c r="F14" s="16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3" workbookViewId="0">
      <selection activeCell="B17" sqref="B17"/>
    </sheetView>
  </sheetViews>
  <sheetFormatPr defaultColWidth="9" defaultRowHeight="24.95" customHeight="1" outlineLevelCol="1"/>
  <cols>
    <col min="2" max="2" width="91.8833333333333" customWidth="1"/>
  </cols>
  <sheetData>
    <row r="1" customHeight="1" spans="1:2">
      <c r="A1" s="145" t="s">
        <v>15</v>
      </c>
      <c r="B1" s="145"/>
    </row>
    <row r="2" customHeight="1" spans="1:2">
      <c r="A2" s="146" t="s">
        <v>16</v>
      </c>
      <c r="B2" s="147" t="s">
        <v>17</v>
      </c>
    </row>
    <row r="3" customHeight="1" spans="1:2">
      <c r="A3" s="148">
        <v>1.1</v>
      </c>
      <c r="B3" s="149" t="s">
        <v>18</v>
      </c>
    </row>
    <row r="4" customHeight="1" spans="1:2">
      <c r="A4" s="148">
        <v>1.2</v>
      </c>
      <c r="B4" s="149" t="s">
        <v>19</v>
      </c>
    </row>
    <row r="5" customHeight="1" spans="1:2">
      <c r="A5" s="148">
        <v>1.3</v>
      </c>
      <c r="B5" s="150" t="s">
        <v>20</v>
      </c>
    </row>
    <row r="6" customHeight="1" spans="1:2">
      <c r="A6" s="146" t="s">
        <v>21</v>
      </c>
      <c r="B6" s="147" t="s">
        <v>22</v>
      </c>
    </row>
    <row r="7" ht="45" customHeight="1" spans="1:2">
      <c r="A7" s="151">
        <v>2.1</v>
      </c>
      <c r="B7" s="149" t="s">
        <v>23</v>
      </c>
    </row>
    <row r="8" ht="45" customHeight="1" spans="1:2">
      <c r="A8" s="151">
        <v>2.2</v>
      </c>
      <c r="B8" s="149" t="s">
        <v>24</v>
      </c>
    </row>
    <row r="9" ht="72" customHeight="1" spans="1:2">
      <c r="A9" s="151">
        <v>2.3</v>
      </c>
      <c r="B9" s="152" t="s">
        <v>25</v>
      </c>
    </row>
    <row r="10" ht="63" customHeight="1" spans="1:2">
      <c r="A10" s="151">
        <v>2.4</v>
      </c>
      <c r="B10" s="152" t="s">
        <v>26</v>
      </c>
    </row>
    <row r="11" ht="45" customHeight="1" spans="1:2">
      <c r="A11" s="151">
        <v>2.5</v>
      </c>
      <c r="B11" s="152" t="s">
        <v>27</v>
      </c>
    </row>
    <row r="12" ht="42" customHeight="1" spans="1:2">
      <c r="A12" s="151">
        <v>2.6</v>
      </c>
      <c r="B12" s="152" t="s">
        <v>28</v>
      </c>
    </row>
    <row r="13" ht="54" customHeight="1" spans="1:2">
      <c r="A13" s="151">
        <v>2.7</v>
      </c>
      <c r="B13" s="153" t="s">
        <v>29</v>
      </c>
    </row>
    <row r="14" ht="30" customHeight="1" spans="1:2">
      <c r="A14" s="151">
        <v>2.8</v>
      </c>
      <c r="B14" s="154" t="s">
        <v>30</v>
      </c>
    </row>
    <row r="15" ht="32.1" customHeight="1" spans="1:2">
      <c r="A15" s="151">
        <v>2.9</v>
      </c>
      <c r="B15" s="152" t="s">
        <v>31</v>
      </c>
    </row>
    <row r="16" ht="24" customHeight="1" spans="1:2">
      <c r="A16" s="146" t="s">
        <v>32</v>
      </c>
      <c r="B16" s="147" t="s">
        <v>33</v>
      </c>
    </row>
    <row r="17" ht="282" customHeight="1" spans="1:2">
      <c r="A17" s="1">
        <v>3.1</v>
      </c>
      <c r="B17" s="155" t="s">
        <v>34</v>
      </c>
    </row>
    <row r="18" ht="32.1" customHeight="1" spans="1:2">
      <c r="A18" s="151">
        <v>3.2</v>
      </c>
      <c r="B18" s="149" t="s">
        <v>35</v>
      </c>
    </row>
    <row r="19" ht="29.1" customHeight="1" spans="1:2">
      <c r="A19" s="151">
        <v>3.3</v>
      </c>
      <c r="B19" s="156" t="s">
        <v>36</v>
      </c>
    </row>
    <row r="20" customHeight="1" spans="1:1">
      <c r="A20" s="157"/>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16" workbookViewId="0">
      <selection activeCell="A6" sqref="A6:B9"/>
    </sheetView>
  </sheetViews>
  <sheetFormatPr defaultColWidth="9" defaultRowHeight="30" customHeight="1" outlineLevelCol="6"/>
  <cols>
    <col min="1" max="1" width="6.88333333333333" style="110" customWidth="1"/>
    <col min="2" max="2" width="12.125" style="111" customWidth="1"/>
    <col min="3" max="3" width="29.625" style="111" customWidth="1"/>
    <col min="4" max="4" width="12.75" style="112" customWidth="1"/>
    <col min="5" max="5" width="16.25" style="111" customWidth="1"/>
    <col min="6" max="6" width="19" style="111" customWidth="1"/>
    <col min="7" max="16384" width="9" style="111"/>
  </cols>
  <sheetData>
    <row r="1" customHeight="1" spans="1:7">
      <c r="A1" s="113" t="s">
        <v>37</v>
      </c>
      <c r="B1" s="113"/>
      <c r="C1" s="113"/>
      <c r="D1" s="114"/>
      <c r="E1" s="113"/>
      <c r="F1" s="113"/>
      <c r="G1" s="113"/>
    </row>
    <row r="2" customHeight="1" spans="1:7">
      <c r="A2" s="115" t="s">
        <v>38</v>
      </c>
      <c r="B2" s="115" t="s">
        <v>39</v>
      </c>
      <c r="C2" s="115" t="s">
        <v>40</v>
      </c>
      <c r="D2" s="116" t="s">
        <v>41</v>
      </c>
      <c r="E2" s="117" t="s">
        <v>42</v>
      </c>
      <c r="F2" s="117" t="s">
        <v>43</v>
      </c>
      <c r="G2" s="117" t="s">
        <v>44</v>
      </c>
    </row>
    <row r="3" customHeight="1" spans="1:7">
      <c r="A3" s="118"/>
      <c r="B3" s="118"/>
      <c r="C3" s="118"/>
      <c r="D3" s="119" t="s">
        <v>45</v>
      </c>
      <c r="E3" s="120" t="s">
        <v>46</v>
      </c>
      <c r="F3" s="120" t="s">
        <v>47</v>
      </c>
      <c r="G3" s="117"/>
    </row>
    <row r="4" customHeight="1" spans="1:7">
      <c r="A4" s="121" t="s">
        <v>16</v>
      </c>
      <c r="B4" s="121" t="s">
        <v>48</v>
      </c>
      <c r="C4" s="122"/>
      <c r="D4" s="121">
        <f>SUM(D5:D12)</f>
        <v>2535.11</v>
      </c>
      <c r="E4" s="121">
        <f>SUM(E5:E12)</f>
        <v>1517463.73457325</v>
      </c>
      <c r="F4" s="121">
        <f t="shared" ref="F4:F24" si="0">E4/D4</f>
        <v>598.579049655932</v>
      </c>
      <c r="G4" s="122"/>
    </row>
    <row r="5" ht="38" customHeight="1" spans="1:7">
      <c r="A5" s="117">
        <v>1.1</v>
      </c>
      <c r="B5" s="123" t="s">
        <v>49</v>
      </c>
      <c r="C5" s="12" t="s">
        <v>50</v>
      </c>
      <c r="D5" s="116">
        <f>工程量清单清单!E11+工程量清单清单!E12</f>
        <v>183.38</v>
      </c>
      <c r="E5" s="116">
        <f>工程量清单清单!M11+工程量清单清单!M12</f>
        <v>108856.36071289</v>
      </c>
      <c r="F5" s="116">
        <f t="shared" si="0"/>
        <v>593.610866577</v>
      </c>
      <c r="G5" s="124"/>
    </row>
    <row r="6" customHeight="1" spans="1:7">
      <c r="A6" s="125">
        <v>1.2</v>
      </c>
      <c r="B6" s="123" t="s">
        <v>51</v>
      </c>
      <c r="C6" s="12" t="s">
        <v>52</v>
      </c>
      <c r="D6" s="116">
        <f>工程量清单清单!E4+工程量清单清单!E5+工程量清单清单!E6+工程量清单清单!E7+工程量清单清单!E8+工程量清单清单!E9</f>
        <v>192.06</v>
      </c>
      <c r="E6" s="116">
        <f>工程量清单清单!M4+工程量清单清单!M5+工程量清单清单!M6+工程量清单清单!M7+工程量清单清单!M8+工程量清单清单!M9</f>
        <v>93397.042239658</v>
      </c>
      <c r="F6" s="126">
        <f t="shared" si="0"/>
        <v>486.2909624058</v>
      </c>
      <c r="G6" s="117"/>
    </row>
    <row r="7" ht="40" customHeight="1" spans="1:7">
      <c r="A7" s="125"/>
      <c r="B7" s="123"/>
      <c r="C7" s="12" t="s">
        <v>53</v>
      </c>
      <c r="D7" s="116">
        <f>工程量清单清单!E13+工程量清单清单!E14+工程量清单清单!E15+工程量清单清单!E16+工程量清单清单!E17+工程量清单清单!E18+工程量清单清单!E19+工程量清单清单!E20</f>
        <v>879.66</v>
      </c>
      <c r="E7" s="117">
        <f>工程量清单清单!M13+工程量清单清单!M14+工程量清单清单!M15+工程量清单清单!M16+工程量清单清单!M17+工程量清单清单!M18+工程量清单清单!M19+工程量清单清单!M20</f>
        <v>514094.904832016</v>
      </c>
      <c r="F7" s="126">
        <f t="shared" si="0"/>
        <v>584.42455588752</v>
      </c>
      <c r="G7" s="117"/>
    </row>
    <row r="8" ht="45" customHeight="1" spans="1:7">
      <c r="A8" s="125"/>
      <c r="B8" s="123"/>
      <c r="C8" s="12" t="s">
        <v>54</v>
      </c>
      <c r="D8" s="116">
        <f>+工程量清单清单!E21</f>
        <v>433.44</v>
      </c>
      <c r="E8" s="116">
        <f>+工程量清单清单!M21</f>
        <v>253312.979503887</v>
      </c>
      <c r="F8" s="126">
        <f t="shared" si="0"/>
        <v>584.42455588752</v>
      </c>
      <c r="G8" s="117"/>
    </row>
    <row r="9" ht="48" customHeight="1" spans="1:7">
      <c r="A9" s="118"/>
      <c r="B9" s="123"/>
      <c r="C9" s="12" t="s">
        <v>55</v>
      </c>
      <c r="D9" s="116">
        <f>工程量清单清单!E22</f>
        <v>226.38</v>
      </c>
      <c r="E9" s="116">
        <f>工程量清单清单!M22</f>
        <v>132302.030961817</v>
      </c>
      <c r="F9" s="126">
        <f t="shared" si="0"/>
        <v>584.42455588752</v>
      </c>
      <c r="G9" s="117"/>
    </row>
    <row r="10" customHeight="1" spans="1:7">
      <c r="A10" s="127">
        <v>1.3</v>
      </c>
      <c r="B10" s="117" t="s">
        <v>56</v>
      </c>
      <c r="C10" s="12" t="s">
        <v>57</v>
      </c>
      <c r="D10" s="116">
        <f>工程量清单清单!E33+工程量清单清单!E34+工程量清单清单!E35</f>
        <v>175.44</v>
      </c>
      <c r="E10" s="116">
        <f>工程量清单清单!M33+工程量清单清单!M34+工程量清单清单!M35</f>
        <v>70016.9939904182</v>
      </c>
      <c r="F10" s="126">
        <f t="shared" si="0"/>
        <v>399.093672996</v>
      </c>
      <c r="G10" s="117"/>
    </row>
    <row r="11" ht="51" customHeight="1" spans="1:7">
      <c r="A11" s="127">
        <v>1.4</v>
      </c>
      <c r="B11" s="117" t="s">
        <v>58</v>
      </c>
      <c r="C11" s="12" t="s">
        <v>59</v>
      </c>
      <c r="D11" s="128">
        <f>工程量清单清单!E23+工程量清单清单!E24+工程量清单清单!E25+工程量清单清单!E26+工程量清单清单!E27+工程量清单清单!E28+工程量清单清单!E29</f>
        <v>442.23</v>
      </c>
      <c r="E11" s="128">
        <f>工程量清单清单!M23+工程量清单清单!M24+工程量清单清单!M25+工程量清单清单!M26+工程量清单清单!M27+工程量清单清单!M28+工程量清单清单!M29</f>
        <v>344468.111857761</v>
      </c>
      <c r="F11" s="126">
        <f t="shared" si="0"/>
        <v>778.9342917888</v>
      </c>
      <c r="G11" s="124"/>
    </row>
    <row r="12" customHeight="1" spans="1:7">
      <c r="A12" s="129">
        <v>1.5</v>
      </c>
      <c r="B12" s="117" t="s">
        <v>60</v>
      </c>
      <c r="C12" s="12" t="s">
        <v>61</v>
      </c>
      <c r="D12" s="116">
        <f>工程量清单清单!E10</f>
        <v>2.52</v>
      </c>
      <c r="E12" s="116">
        <f>工程量清单清单!M10</f>
        <v>1015.3104748038</v>
      </c>
      <c r="F12" s="116">
        <f t="shared" si="0"/>
        <v>402.900982065</v>
      </c>
      <c r="G12" s="124"/>
    </row>
    <row r="13" customHeight="1" spans="1:7">
      <c r="A13" s="130" t="s">
        <v>21</v>
      </c>
      <c r="B13" s="121" t="s">
        <v>62</v>
      </c>
      <c r="C13" s="131"/>
      <c r="D13" s="130">
        <f>SUM(D14:D18)</f>
        <v>3271.14</v>
      </c>
      <c r="E13" s="130">
        <f>SUM(E14:E18)</f>
        <v>1267949.89587108</v>
      </c>
      <c r="F13" s="130">
        <f t="shared" si="0"/>
        <v>387.617129157139</v>
      </c>
      <c r="G13" s="122"/>
    </row>
    <row r="14" ht="42" customHeight="1" spans="1:7">
      <c r="A14" s="132">
        <v>2.1</v>
      </c>
      <c r="B14" s="132" t="s">
        <v>63</v>
      </c>
      <c r="C14" s="133" t="s">
        <v>64</v>
      </c>
      <c r="D14" s="116">
        <f>工程量清单清单!E36+工程量清单清单!E38</f>
        <v>347.8</v>
      </c>
      <c r="E14" s="116">
        <f>工程量清单清单!M36+工程量清单清单!M38</f>
        <v>139577.042541499</v>
      </c>
      <c r="F14" s="126">
        <f t="shared" si="0"/>
        <v>401.314095864</v>
      </c>
      <c r="G14" s="124"/>
    </row>
    <row r="15" ht="42" customHeight="1" spans="1:7">
      <c r="A15" s="134"/>
      <c r="B15" s="134"/>
      <c r="C15" s="135" t="s">
        <v>65</v>
      </c>
      <c r="D15" s="116">
        <f>工程量清单清单!E37</f>
        <v>253.92</v>
      </c>
      <c r="E15" s="116">
        <f>工程量清单清单!M37</f>
        <v>208693.775910569</v>
      </c>
      <c r="F15" s="126">
        <f t="shared" si="0"/>
        <v>821.88790134912</v>
      </c>
      <c r="G15" s="124"/>
    </row>
    <row r="16" ht="42" customHeight="1" spans="1:7">
      <c r="A16" s="136">
        <v>2.2</v>
      </c>
      <c r="B16" s="134" t="s">
        <v>66</v>
      </c>
      <c r="C16" s="12" t="s">
        <v>67</v>
      </c>
      <c r="D16" s="116">
        <f>工程量清单清单!E39</f>
        <v>11.52</v>
      </c>
      <c r="E16" s="116">
        <f>工程量清单清单!M39</f>
        <v>7875.42079205745</v>
      </c>
      <c r="F16" s="126">
        <f t="shared" si="0"/>
        <v>683.63027708832</v>
      </c>
      <c r="G16" s="124"/>
    </row>
    <row r="17" customHeight="1" spans="1:7">
      <c r="A17" s="132">
        <v>2.3</v>
      </c>
      <c r="B17" s="137" t="s">
        <v>68</v>
      </c>
      <c r="C17" s="133" t="s">
        <v>69</v>
      </c>
      <c r="D17" s="128">
        <f>工程量清单清单!E40+工程量清单清单!E41+工程量清单清单!E42+工程量清单清单!E43</f>
        <v>1575.8</v>
      </c>
      <c r="E17" s="128">
        <f>工程量清单清单!M40+工程量清单清单!M41+工程量清单清单!M42+工程量清单清单!M43</f>
        <v>540584.748151834</v>
      </c>
      <c r="F17" s="126">
        <f t="shared" si="0"/>
        <v>343.054161792</v>
      </c>
      <c r="G17" s="138"/>
    </row>
    <row r="18" customHeight="1" spans="1:7">
      <c r="A18" s="134"/>
      <c r="B18" s="139"/>
      <c r="C18" s="133" t="s">
        <v>70</v>
      </c>
      <c r="D18" s="116">
        <f>工程量清单清单!E44+工程量清单清单!E45</f>
        <v>1082.1</v>
      </c>
      <c r="E18" s="116">
        <f>工程量清单清单!M44+工程量清单清单!M45</f>
        <v>371218.908475123</v>
      </c>
      <c r="F18" s="126">
        <f t="shared" si="0"/>
        <v>343.054161792</v>
      </c>
      <c r="G18" s="124"/>
    </row>
    <row r="19" customHeight="1" spans="1:7">
      <c r="A19" s="130" t="s">
        <v>32</v>
      </c>
      <c r="B19" s="121" t="s">
        <v>71</v>
      </c>
      <c r="C19" s="131"/>
      <c r="D19" s="140">
        <f>SUM(D20:D21)</f>
        <v>654.78</v>
      </c>
      <c r="E19" s="140">
        <f>SUM(E20:E21)</f>
        <v>486460.907048903</v>
      </c>
      <c r="F19" s="140">
        <f t="shared" si="0"/>
        <v>742.93794411696</v>
      </c>
      <c r="G19" s="140"/>
    </row>
    <row r="20" s="109" customFormat="1" ht="41.1" customHeight="1" spans="1:7">
      <c r="A20" s="141">
        <v>3.1</v>
      </c>
      <c r="B20" s="115" t="s">
        <v>72</v>
      </c>
      <c r="C20" s="12" t="s">
        <v>73</v>
      </c>
      <c r="D20" s="116">
        <f>工程量清单清单!E32</f>
        <v>46.2</v>
      </c>
      <c r="E20" s="116">
        <f>工程量清单清单!M32</f>
        <v>34323.7330182036</v>
      </c>
      <c r="F20" s="126">
        <f t="shared" si="0"/>
        <v>742.93794411696</v>
      </c>
      <c r="G20" s="116"/>
    </row>
    <row r="21" s="109" customFormat="1" ht="50" customHeight="1" spans="1:7">
      <c r="A21" s="142"/>
      <c r="B21" s="118"/>
      <c r="C21" s="12" t="s">
        <v>74</v>
      </c>
      <c r="D21" s="116">
        <f>工程量清单清单!E30+工程量清单清单!E31</f>
        <v>608.58</v>
      </c>
      <c r="E21" s="116">
        <f>工程量清单清单!M30+工程量清单清单!M31</f>
        <v>452137.1740307</v>
      </c>
      <c r="F21" s="126">
        <f t="shared" si="0"/>
        <v>742.93794411696</v>
      </c>
      <c r="G21" s="116"/>
    </row>
    <row r="22" s="109" customFormat="1" ht="44.1" customHeight="1" spans="1:7">
      <c r="A22" s="130" t="s">
        <v>75</v>
      </c>
      <c r="B22" s="143" t="s">
        <v>76</v>
      </c>
      <c r="C22" s="144"/>
      <c r="D22" s="140">
        <f>SUM(D23:D23)</f>
        <v>595.455</v>
      </c>
      <c r="E22" s="140">
        <f>SUM(E23:E23)</f>
        <v>460993.840952358</v>
      </c>
      <c r="F22" s="140">
        <f t="shared" si="0"/>
        <v>774.1875388608</v>
      </c>
      <c r="G22" s="140"/>
    </row>
    <row r="23" s="109" customFormat="1" ht="44.1" customHeight="1" spans="1:7">
      <c r="A23" s="142">
        <v>4.1</v>
      </c>
      <c r="B23" s="118" t="s">
        <v>76</v>
      </c>
      <c r="C23" s="99" t="s">
        <v>77</v>
      </c>
      <c r="D23" s="116">
        <f>工程量清单清单!E46</f>
        <v>595.455</v>
      </c>
      <c r="E23" s="116">
        <f>工程量清单清单!M46</f>
        <v>460993.840952358</v>
      </c>
      <c r="F23" s="116">
        <f t="shared" si="0"/>
        <v>774.1875388608</v>
      </c>
      <c r="G23" s="116"/>
    </row>
    <row r="24" customHeight="1" spans="1:7">
      <c r="A24" s="121" t="s">
        <v>78</v>
      </c>
      <c r="B24" s="121" t="s">
        <v>79</v>
      </c>
      <c r="C24" s="121"/>
      <c r="D24" s="140">
        <f>D13+D4+D19+D22</f>
        <v>7056.485</v>
      </c>
      <c r="E24" s="140">
        <f>E13+E4+E19+E22</f>
        <v>3732868.37844559</v>
      </c>
      <c r="F24" s="140">
        <f t="shared" si="0"/>
        <v>528.998272999318</v>
      </c>
      <c r="G24" s="122"/>
    </row>
  </sheetData>
  <mergeCells count="12">
    <mergeCell ref="A1:G1"/>
    <mergeCell ref="A2:A3"/>
    <mergeCell ref="A6:A9"/>
    <mergeCell ref="A14:A15"/>
    <mergeCell ref="A17:A18"/>
    <mergeCell ref="A20:A21"/>
    <mergeCell ref="B2:B3"/>
    <mergeCell ref="B6:B9"/>
    <mergeCell ref="B14:B15"/>
    <mergeCell ref="B17:B18"/>
    <mergeCell ref="B20:B21"/>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workbookViewId="0">
      <pane ySplit="3" topLeftCell="A42" activePane="bottomLeft" state="frozen"/>
      <selection/>
      <selection pane="bottomLeft" activeCell="A4" sqref="A4:A47"/>
    </sheetView>
  </sheetViews>
  <sheetFormatPr defaultColWidth="9" defaultRowHeight="35" customHeight="1"/>
  <cols>
    <col min="1" max="1" width="5.25" style="47" customWidth="1"/>
    <col min="2" max="2" width="14.375" style="94" customWidth="1"/>
    <col min="3" max="3" width="8.375" style="47" customWidth="1"/>
    <col min="4" max="4" width="30.25" style="47" customWidth="1"/>
    <col min="5" max="5" width="8.75" style="47" customWidth="1"/>
    <col min="6" max="8" width="9.75" style="47" customWidth="1" outlineLevel="1"/>
    <col min="9" max="9" width="7.75" style="47" customWidth="1" outlineLevel="1"/>
    <col min="10" max="10" width="13" style="95" customWidth="1"/>
    <col min="11" max="11" width="10.5" style="47" customWidth="1"/>
    <col min="12" max="12" width="13" style="47" customWidth="1"/>
    <col min="13" max="13" width="12.3833333333333" style="47" customWidth="1"/>
    <col min="14" max="14" width="10" style="47" customWidth="1" outlineLevel="1"/>
    <col min="15" max="15" width="9.375" style="47" customWidth="1" outlineLevel="1"/>
    <col min="16" max="16" width="10.625" style="47" customWidth="1" outlineLevel="1"/>
    <col min="17" max="17" width="7.63333333333333" style="47" customWidth="1" outlineLevel="1"/>
    <col min="18" max="16384" width="9" style="47"/>
  </cols>
  <sheetData>
    <row r="1" customHeight="1" spans="1:17">
      <c r="A1" s="66" t="s">
        <v>80</v>
      </c>
      <c r="B1" s="96"/>
      <c r="C1" s="66"/>
      <c r="D1" s="66"/>
      <c r="E1" s="66"/>
      <c r="F1" s="66"/>
      <c r="G1" s="66"/>
      <c r="H1" s="66"/>
      <c r="I1" s="66"/>
      <c r="J1" s="103"/>
      <c r="K1" s="66"/>
      <c r="L1" s="66"/>
      <c r="M1" s="66"/>
      <c r="N1" s="66"/>
      <c r="O1" s="66"/>
      <c r="P1" s="66"/>
      <c r="Q1" s="66"/>
    </row>
    <row r="2" customHeight="1" spans="1:17">
      <c r="A2" s="4" t="s">
        <v>38</v>
      </c>
      <c r="B2" s="4" t="s">
        <v>81</v>
      </c>
      <c r="C2" s="5" t="s">
        <v>82</v>
      </c>
      <c r="D2" s="5" t="s">
        <v>40</v>
      </c>
      <c r="E2" s="97" t="s">
        <v>83</v>
      </c>
      <c r="F2" s="97"/>
      <c r="G2" s="97"/>
      <c r="H2" s="97"/>
      <c r="I2" s="97"/>
      <c r="J2" s="104" t="s">
        <v>84</v>
      </c>
      <c r="K2" s="105" t="s">
        <v>85</v>
      </c>
      <c r="L2" s="97" t="s">
        <v>86</v>
      </c>
      <c r="M2" s="97" t="s">
        <v>87</v>
      </c>
      <c r="N2" s="97"/>
      <c r="O2" s="97"/>
      <c r="P2" s="97"/>
      <c r="Q2" s="97"/>
    </row>
    <row r="3" customHeight="1" spans="1:17">
      <c r="A3" s="4"/>
      <c r="B3" s="4"/>
      <c r="C3" s="5"/>
      <c r="D3" s="5"/>
      <c r="E3" s="97"/>
      <c r="F3" s="97" t="s">
        <v>88</v>
      </c>
      <c r="G3" s="97" t="s">
        <v>89</v>
      </c>
      <c r="H3" s="97" t="s">
        <v>90</v>
      </c>
      <c r="I3" s="97" t="s">
        <v>91</v>
      </c>
      <c r="J3" s="104"/>
      <c r="K3" s="106">
        <v>0.09</v>
      </c>
      <c r="L3" s="97"/>
      <c r="M3" s="97"/>
      <c r="N3" s="97" t="s">
        <v>88</v>
      </c>
      <c r="O3" s="97" t="s">
        <v>89</v>
      </c>
      <c r="P3" s="97" t="s">
        <v>90</v>
      </c>
      <c r="Q3" s="97" t="s">
        <v>91</v>
      </c>
    </row>
    <row r="4" customHeight="1" spans="1:17">
      <c r="A4" s="14">
        <v>1</v>
      </c>
      <c r="B4" s="13" t="s">
        <v>92</v>
      </c>
      <c r="C4" s="12" t="s">
        <v>93</v>
      </c>
      <c r="D4" s="12" t="s">
        <v>52</v>
      </c>
      <c r="E4" s="67">
        <f t="shared" ref="E4:E35" si="0">SUM(F4:I4)</f>
        <v>60.48</v>
      </c>
      <c r="F4" s="67">
        <f>工程量计算数!K29+工程量计算数!K28</f>
        <v>57.96</v>
      </c>
      <c r="G4" s="67"/>
      <c r="H4" s="67">
        <f>工程量计算数!K84</f>
        <v>2.52</v>
      </c>
      <c r="I4" s="67"/>
      <c r="J4" s="67">
        <f>综合单价分析!I34</f>
        <v>446.13849762</v>
      </c>
      <c r="K4" s="107">
        <f t="shared" ref="K4:K35" si="1">$K$3</f>
        <v>0.09</v>
      </c>
      <c r="L4" s="67">
        <f t="shared" ref="L4:L29" si="2">J4*(1+K4)</f>
        <v>486.2909624058</v>
      </c>
      <c r="M4" s="67">
        <f t="shared" ref="M4:M29" si="3">E4*L4</f>
        <v>29410.8774063028</v>
      </c>
      <c r="N4" s="73">
        <f t="shared" ref="N4:N29" si="4">F4*L4</f>
        <v>28185.4241810402</v>
      </c>
      <c r="O4" s="73">
        <f t="shared" ref="O4:O29" si="5">G4*L4</f>
        <v>0</v>
      </c>
      <c r="P4" s="73">
        <f t="shared" ref="P4:P29" si="6">H4*L4</f>
        <v>1225.45322526262</v>
      </c>
      <c r="Q4" s="73">
        <f t="shared" ref="Q4:Q29" si="7">I4*L4</f>
        <v>0</v>
      </c>
    </row>
    <row r="5" customHeight="1" spans="1:17">
      <c r="A5" s="14">
        <v>2</v>
      </c>
      <c r="B5" s="13" t="s">
        <v>92</v>
      </c>
      <c r="C5" s="12" t="s">
        <v>94</v>
      </c>
      <c r="D5" s="12" t="s">
        <v>52</v>
      </c>
      <c r="E5" s="67">
        <f t="shared" si="0"/>
        <v>2.88</v>
      </c>
      <c r="F5" s="67"/>
      <c r="G5" s="67">
        <f>工程量计算数!K54</f>
        <v>2.88</v>
      </c>
      <c r="H5" s="67"/>
      <c r="I5" s="67"/>
      <c r="J5" s="67">
        <f>综合单价分析!H34</f>
        <v>446.13849762</v>
      </c>
      <c r="K5" s="107">
        <f t="shared" si="1"/>
        <v>0.09</v>
      </c>
      <c r="L5" s="67">
        <f t="shared" si="2"/>
        <v>486.2909624058</v>
      </c>
      <c r="M5" s="67">
        <f t="shared" si="3"/>
        <v>1400.5179717287</v>
      </c>
      <c r="N5" s="73">
        <f t="shared" si="4"/>
        <v>0</v>
      </c>
      <c r="O5" s="73">
        <f t="shared" si="5"/>
        <v>1400.5179717287</v>
      </c>
      <c r="P5" s="73">
        <f t="shared" si="6"/>
        <v>0</v>
      </c>
      <c r="Q5" s="73">
        <f t="shared" si="7"/>
        <v>0</v>
      </c>
    </row>
    <row r="6" customHeight="1" spans="1:17">
      <c r="A6" s="14">
        <v>3</v>
      </c>
      <c r="B6" s="13" t="s">
        <v>92</v>
      </c>
      <c r="C6" s="12" t="s">
        <v>95</v>
      </c>
      <c r="D6" s="12" t="s">
        <v>52</v>
      </c>
      <c r="E6" s="67">
        <f t="shared" si="0"/>
        <v>3.36</v>
      </c>
      <c r="F6" s="67">
        <f>工程量计算数!K25</f>
        <v>3.36</v>
      </c>
      <c r="G6" s="67"/>
      <c r="H6" s="67"/>
      <c r="I6" s="67"/>
      <c r="J6" s="67">
        <f>综合单价分析!H34</f>
        <v>446.13849762</v>
      </c>
      <c r="K6" s="107">
        <f t="shared" si="1"/>
        <v>0.09</v>
      </c>
      <c r="L6" s="67">
        <f t="shared" si="2"/>
        <v>486.2909624058</v>
      </c>
      <c r="M6" s="67">
        <f t="shared" si="3"/>
        <v>1633.93763368349</v>
      </c>
      <c r="N6" s="73">
        <f t="shared" si="4"/>
        <v>1633.93763368349</v>
      </c>
      <c r="O6" s="73">
        <f t="shared" si="5"/>
        <v>0</v>
      </c>
      <c r="P6" s="73">
        <f t="shared" si="6"/>
        <v>0</v>
      </c>
      <c r="Q6" s="73">
        <f t="shared" si="7"/>
        <v>0</v>
      </c>
    </row>
    <row r="7" customHeight="1" spans="1:17">
      <c r="A7" s="14">
        <v>4</v>
      </c>
      <c r="B7" s="13" t="s">
        <v>92</v>
      </c>
      <c r="C7" s="12" t="s">
        <v>96</v>
      </c>
      <c r="D7" s="12" t="s">
        <v>52</v>
      </c>
      <c r="E7" s="67">
        <f t="shared" si="0"/>
        <v>48.3</v>
      </c>
      <c r="F7" s="67">
        <f>工程量计算数!K27</f>
        <v>48.3</v>
      </c>
      <c r="G7" s="67">
        <v>0</v>
      </c>
      <c r="H7" s="67"/>
      <c r="I7" s="67"/>
      <c r="J7" s="67">
        <f>综合单价分析!H34</f>
        <v>446.13849762</v>
      </c>
      <c r="K7" s="107">
        <f t="shared" si="1"/>
        <v>0.09</v>
      </c>
      <c r="L7" s="67">
        <f t="shared" si="2"/>
        <v>486.2909624058</v>
      </c>
      <c r="M7" s="67">
        <f t="shared" si="3"/>
        <v>23487.8534842001</v>
      </c>
      <c r="N7" s="73">
        <f t="shared" si="4"/>
        <v>23487.8534842001</v>
      </c>
      <c r="O7" s="73">
        <f t="shared" si="5"/>
        <v>0</v>
      </c>
      <c r="P7" s="73">
        <f t="shared" si="6"/>
        <v>0</v>
      </c>
      <c r="Q7" s="73">
        <f t="shared" si="7"/>
        <v>0</v>
      </c>
    </row>
    <row r="8" customHeight="1" spans="1:17">
      <c r="A8" s="14">
        <v>5</v>
      </c>
      <c r="B8" s="13" t="s">
        <v>92</v>
      </c>
      <c r="C8" s="12" t="s">
        <v>97</v>
      </c>
      <c r="D8" s="12" t="s">
        <v>52</v>
      </c>
      <c r="E8" s="67">
        <f t="shared" si="0"/>
        <v>3.6</v>
      </c>
      <c r="F8" s="67"/>
      <c r="G8" s="67">
        <f>工程量计算数!K55</f>
        <v>3.6</v>
      </c>
      <c r="H8" s="67"/>
      <c r="I8" s="67"/>
      <c r="J8" s="67">
        <f>综合单价分析!H34</f>
        <v>446.13849762</v>
      </c>
      <c r="K8" s="107">
        <f t="shared" si="1"/>
        <v>0.09</v>
      </c>
      <c r="L8" s="67">
        <f t="shared" si="2"/>
        <v>486.2909624058</v>
      </c>
      <c r="M8" s="67">
        <f t="shared" si="3"/>
        <v>1750.64746466088</v>
      </c>
      <c r="N8" s="73">
        <f t="shared" si="4"/>
        <v>0</v>
      </c>
      <c r="O8" s="73">
        <f t="shared" si="5"/>
        <v>1750.64746466088</v>
      </c>
      <c r="P8" s="73">
        <f t="shared" si="6"/>
        <v>0</v>
      </c>
      <c r="Q8" s="73">
        <f t="shared" si="7"/>
        <v>0</v>
      </c>
    </row>
    <row r="9" customHeight="1" spans="1:17">
      <c r="A9" s="14">
        <v>6</v>
      </c>
      <c r="B9" s="13" t="s">
        <v>92</v>
      </c>
      <c r="C9" s="12" t="s">
        <v>98</v>
      </c>
      <c r="D9" s="12" t="s">
        <v>52</v>
      </c>
      <c r="E9" s="67">
        <f t="shared" si="0"/>
        <v>73.44</v>
      </c>
      <c r="F9" s="67">
        <f>工程量计算数!K26</f>
        <v>73.44</v>
      </c>
      <c r="G9" s="67"/>
      <c r="H9" s="67"/>
      <c r="I9" s="67"/>
      <c r="J9" s="67">
        <f>综合单价分析!H34</f>
        <v>446.13849762</v>
      </c>
      <c r="K9" s="107">
        <f t="shared" si="1"/>
        <v>0.09</v>
      </c>
      <c r="L9" s="67">
        <f t="shared" si="2"/>
        <v>486.2909624058</v>
      </c>
      <c r="M9" s="67">
        <f t="shared" si="3"/>
        <v>35713.208279082</v>
      </c>
      <c r="N9" s="73">
        <f t="shared" si="4"/>
        <v>35713.208279082</v>
      </c>
      <c r="O9" s="73">
        <f t="shared" si="5"/>
        <v>0</v>
      </c>
      <c r="P9" s="73">
        <f t="shared" si="6"/>
        <v>0</v>
      </c>
      <c r="Q9" s="73">
        <f t="shared" si="7"/>
        <v>0</v>
      </c>
    </row>
    <row r="10" customHeight="1" spans="1:17">
      <c r="A10" s="14">
        <v>7</v>
      </c>
      <c r="B10" s="13" t="s">
        <v>99</v>
      </c>
      <c r="C10" s="11" t="s">
        <v>93</v>
      </c>
      <c r="D10" s="12" t="s">
        <v>61</v>
      </c>
      <c r="E10" s="67">
        <f t="shared" si="0"/>
        <v>2.52</v>
      </c>
      <c r="F10" s="67"/>
      <c r="G10" s="67">
        <f>工程量计算数!K53</f>
        <v>2.52</v>
      </c>
      <c r="H10" s="67"/>
      <c r="I10" s="67"/>
      <c r="J10" s="67">
        <f>综合单价分析!H67</f>
        <v>369.6339285</v>
      </c>
      <c r="K10" s="107">
        <f t="shared" si="1"/>
        <v>0.09</v>
      </c>
      <c r="L10" s="67">
        <f t="shared" si="2"/>
        <v>402.900982065</v>
      </c>
      <c r="M10" s="67">
        <f t="shared" si="3"/>
        <v>1015.3104748038</v>
      </c>
      <c r="N10" s="73">
        <f t="shared" si="4"/>
        <v>0</v>
      </c>
      <c r="O10" s="73">
        <f t="shared" si="5"/>
        <v>1015.3104748038</v>
      </c>
      <c r="P10" s="73">
        <f t="shared" si="6"/>
        <v>0</v>
      </c>
      <c r="Q10" s="73">
        <f t="shared" si="7"/>
        <v>0</v>
      </c>
    </row>
    <row r="11" customHeight="1" spans="1:17">
      <c r="A11" s="14">
        <v>8</v>
      </c>
      <c r="B11" s="13" t="s">
        <v>100</v>
      </c>
      <c r="C11" s="11" t="s">
        <v>101</v>
      </c>
      <c r="D11" s="12" t="s">
        <v>50</v>
      </c>
      <c r="E11" s="67">
        <f t="shared" si="0"/>
        <v>180.5</v>
      </c>
      <c r="F11" s="67">
        <f>工程量计算数!K30</f>
        <v>138</v>
      </c>
      <c r="G11" s="67">
        <f>工程量计算数!K56</f>
        <v>26</v>
      </c>
      <c r="H11" s="67">
        <f>工程量计算数!K85</f>
        <v>16.5</v>
      </c>
      <c r="I11" s="67"/>
      <c r="J11" s="67">
        <f>综合单价分析!H100</f>
        <v>544.5971253</v>
      </c>
      <c r="K11" s="107">
        <f t="shared" si="1"/>
        <v>0.09</v>
      </c>
      <c r="L11" s="67">
        <f t="shared" si="2"/>
        <v>593.610866577</v>
      </c>
      <c r="M11" s="67">
        <f t="shared" si="3"/>
        <v>107146.761417149</v>
      </c>
      <c r="N11" s="73">
        <f t="shared" si="4"/>
        <v>81918.299587626</v>
      </c>
      <c r="O11" s="73">
        <f t="shared" si="5"/>
        <v>15433.882531002</v>
      </c>
      <c r="P11" s="73">
        <f t="shared" si="6"/>
        <v>9794.5792985205</v>
      </c>
      <c r="Q11" s="73">
        <f t="shared" si="7"/>
        <v>0</v>
      </c>
    </row>
    <row r="12" customHeight="1" spans="1:17">
      <c r="A12" s="14">
        <v>9</v>
      </c>
      <c r="B12" s="13" t="s">
        <v>100</v>
      </c>
      <c r="C12" s="11" t="s">
        <v>102</v>
      </c>
      <c r="D12" s="12" t="s">
        <v>50</v>
      </c>
      <c r="E12" s="67">
        <f t="shared" si="0"/>
        <v>2.88</v>
      </c>
      <c r="F12" s="67"/>
      <c r="G12" s="67">
        <f>工程量计算数!K64</f>
        <v>2.88</v>
      </c>
      <c r="H12" s="67"/>
      <c r="I12" s="67"/>
      <c r="J12" s="67">
        <f>综合单价分析!H100</f>
        <v>544.5971253</v>
      </c>
      <c r="K12" s="107">
        <f t="shared" si="1"/>
        <v>0.09</v>
      </c>
      <c r="L12" s="67">
        <f t="shared" si="2"/>
        <v>593.610866577</v>
      </c>
      <c r="M12" s="67">
        <f t="shared" si="3"/>
        <v>1709.59929574176</v>
      </c>
      <c r="N12" s="73">
        <f t="shared" si="4"/>
        <v>0</v>
      </c>
      <c r="O12" s="73">
        <f t="shared" si="5"/>
        <v>1709.59929574176</v>
      </c>
      <c r="P12" s="73">
        <f t="shared" si="6"/>
        <v>0</v>
      </c>
      <c r="Q12" s="73">
        <f t="shared" si="7"/>
        <v>0</v>
      </c>
    </row>
    <row r="13" customHeight="1" spans="1:17">
      <c r="A13" s="14">
        <v>10</v>
      </c>
      <c r="B13" s="13" t="s">
        <v>103</v>
      </c>
      <c r="C13" s="11" t="s">
        <v>104</v>
      </c>
      <c r="D13" s="12" t="s">
        <v>105</v>
      </c>
      <c r="E13" s="67">
        <f t="shared" si="0"/>
        <v>69.3</v>
      </c>
      <c r="F13" s="67">
        <f>工程量计算数!K22+工程量计算数!K23</f>
        <v>69.3</v>
      </c>
      <c r="G13" s="67"/>
      <c r="H13" s="67"/>
      <c r="I13" s="67"/>
      <c r="J13" s="67">
        <f>综合单价分析!H138</f>
        <v>536.169317328</v>
      </c>
      <c r="K13" s="107">
        <f t="shared" si="1"/>
        <v>0.09</v>
      </c>
      <c r="L13" s="67">
        <f t="shared" si="2"/>
        <v>584.42455588752</v>
      </c>
      <c r="M13" s="67">
        <f t="shared" si="3"/>
        <v>40500.6217230051</v>
      </c>
      <c r="N13" s="73">
        <f t="shared" si="4"/>
        <v>40500.6217230051</v>
      </c>
      <c r="O13" s="73">
        <f t="shared" si="5"/>
        <v>0</v>
      </c>
      <c r="P13" s="73">
        <f t="shared" si="6"/>
        <v>0</v>
      </c>
      <c r="Q13" s="73">
        <f t="shared" si="7"/>
        <v>0</v>
      </c>
    </row>
    <row r="14" customHeight="1" spans="1:17">
      <c r="A14" s="14">
        <v>11</v>
      </c>
      <c r="B14" s="13" t="s">
        <v>103</v>
      </c>
      <c r="C14" s="11" t="s">
        <v>96</v>
      </c>
      <c r="D14" s="98" t="s">
        <v>105</v>
      </c>
      <c r="E14" s="67">
        <f t="shared" si="0"/>
        <v>96.6</v>
      </c>
      <c r="F14" s="67">
        <f>工程量计算数!K18+工程量计算数!K19</f>
        <v>96.6</v>
      </c>
      <c r="G14" s="67"/>
      <c r="H14" s="67"/>
      <c r="I14" s="67"/>
      <c r="J14" s="67">
        <f>综合单价分析!H138</f>
        <v>536.169317328</v>
      </c>
      <c r="K14" s="107">
        <f t="shared" si="1"/>
        <v>0.09</v>
      </c>
      <c r="L14" s="67">
        <f t="shared" si="2"/>
        <v>584.42455588752</v>
      </c>
      <c r="M14" s="67">
        <f t="shared" si="3"/>
        <v>56455.4120987344</v>
      </c>
      <c r="N14" s="73">
        <f t="shared" si="4"/>
        <v>56455.4120987344</v>
      </c>
      <c r="O14" s="73">
        <f t="shared" si="5"/>
        <v>0</v>
      </c>
      <c r="P14" s="73">
        <f t="shared" si="6"/>
        <v>0</v>
      </c>
      <c r="Q14" s="73">
        <f t="shared" si="7"/>
        <v>0</v>
      </c>
    </row>
    <row r="15" customHeight="1" spans="1:17">
      <c r="A15" s="14">
        <v>12</v>
      </c>
      <c r="B15" s="13" t="s">
        <v>103</v>
      </c>
      <c r="C15" s="11" t="s">
        <v>106</v>
      </c>
      <c r="D15" s="12" t="s">
        <v>105</v>
      </c>
      <c r="E15" s="67">
        <f t="shared" si="0"/>
        <v>156.6</v>
      </c>
      <c r="F15" s="67"/>
      <c r="G15" s="67">
        <f>工程量计算数!K46+工程量计算数!K47</f>
        <v>84.825</v>
      </c>
      <c r="H15" s="67">
        <f>工程量计算数!K77+工程量计算数!K78</f>
        <v>71.775</v>
      </c>
      <c r="I15" s="67"/>
      <c r="J15" s="67">
        <f t="shared" ref="J15:J22" si="8">J14</f>
        <v>536.169317328</v>
      </c>
      <c r="K15" s="107">
        <f t="shared" si="1"/>
        <v>0.09</v>
      </c>
      <c r="L15" s="67">
        <f t="shared" si="2"/>
        <v>584.42455588752</v>
      </c>
      <c r="M15" s="67">
        <f t="shared" si="3"/>
        <v>91520.8854519857</v>
      </c>
      <c r="N15" s="73">
        <f t="shared" si="4"/>
        <v>0</v>
      </c>
      <c r="O15" s="73">
        <f t="shared" si="5"/>
        <v>49573.8129531589</v>
      </c>
      <c r="P15" s="73">
        <f t="shared" si="6"/>
        <v>41947.0724988268</v>
      </c>
      <c r="Q15" s="73">
        <f t="shared" si="7"/>
        <v>0</v>
      </c>
    </row>
    <row r="16" customHeight="1" spans="1:17">
      <c r="A16" s="14">
        <v>13</v>
      </c>
      <c r="B16" s="13" t="s">
        <v>103</v>
      </c>
      <c r="C16" s="11" t="s">
        <v>107</v>
      </c>
      <c r="D16" s="12" t="s">
        <v>105</v>
      </c>
      <c r="E16" s="67">
        <f t="shared" si="0"/>
        <v>13.5</v>
      </c>
      <c r="F16" s="67"/>
      <c r="G16" s="67"/>
      <c r="H16" s="67"/>
      <c r="I16" s="67">
        <f>工程量计算数!K97</f>
        <v>13.5</v>
      </c>
      <c r="J16" s="67">
        <f t="shared" si="8"/>
        <v>536.169317328</v>
      </c>
      <c r="K16" s="107">
        <f t="shared" si="1"/>
        <v>0.09</v>
      </c>
      <c r="L16" s="67">
        <f t="shared" si="2"/>
        <v>584.42455588752</v>
      </c>
      <c r="M16" s="67">
        <f t="shared" si="3"/>
        <v>7889.73150448152</v>
      </c>
      <c r="N16" s="73">
        <f t="shared" si="4"/>
        <v>0</v>
      </c>
      <c r="O16" s="73">
        <f t="shared" si="5"/>
        <v>0</v>
      </c>
      <c r="P16" s="73">
        <f t="shared" si="6"/>
        <v>0</v>
      </c>
      <c r="Q16" s="73">
        <f t="shared" si="7"/>
        <v>7889.73150448152</v>
      </c>
    </row>
    <row r="17" customHeight="1" spans="1:17">
      <c r="A17" s="14">
        <v>14</v>
      </c>
      <c r="B17" s="13" t="s">
        <v>103</v>
      </c>
      <c r="C17" s="11" t="s">
        <v>108</v>
      </c>
      <c r="D17" s="12" t="s">
        <v>105</v>
      </c>
      <c r="E17" s="67">
        <f t="shared" si="0"/>
        <v>57.12</v>
      </c>
      <c r="F17" s="67">
        <f>工程量计算数!K14+工程量计算数!K15</f>
        <v>57.12</v>
      </c>
      <c r="G17" s="67"/>
      <c r="H17" s="67"/>
      <c r="I17" s="67"/>
      <c r="J17" s="67">
        <f t="shared" si="8"/>
        <v>536.169317328</v>
      </c>
      <c r="K17" s="107">
        <f t="shared" si="1"/>
        <v>0.09</v>
      </c>
      <c r="L17" s="67">
        <f t="shared" si="2"/>
        <v>584.42455588752</v>
      </c>
      <c r="M17" s="67">
        <f t="shared" si="3"/>
        <v>33382.3306322951</v>
      </c>
      <c r="N17" s="73">
        <f t="shared" si="4"/>
        <v>33382.3306322951</v>
      </c>
      <c r="O17" s="73">
        <f t="shared" si="5"/>
        <v>0</v>
      </c>
      <c r="P17" s="73">
        <f t="shared" si="6"/>
        <v>0</v>
      </c>
      <c r="Q17" s="73">
        <f t="shared" si="7"/>
        <v>0</v>
      </c>
    </row>
    <row r="18" customHeight="1" spans="1:17">
      <c r="A18" s="14">
        <v>15</v>
      </c>
      <c r="B18" s="13" t="s">
        <v>103</v>
      </c>
      <c r="C18" s="11" t="s">
        <v>93</v>
      </c>
      <c r="D18" s="12" t="s">
        <v>105</v>
      </c>
      <c r="E18" s="67">
        <f t="shared" si="0"/>
        <v>181.44</v>
      </c>
      <c r="F18" s="67">
        <f>工程量计算数!K12+工程量计算数!K13</f>
        <v>115.92</v>
      </c>
      <c r="G18" s="67">
        <f>工程量计算数!K44+工程量计算数!K45</f>
        <v>65.52</v>
      </c>
      <c r="H18" s="67"/>
      <c r="I18" s="67"/>
      <c r="J18" s="67">
        <f t="shared" si="8"/>
        <v>536.169317328</v>
      </c>
      <c r="K18" s="107">
        <f t="shared" si="1"/>
        <v>0.09</v>
      </c>
      <c r="L18" s="67">
        <f t="shared" si="2"/>
        <v>584.42455588752</v>
      </c>
      <c r="M18" s="67">
        <f t="shared" si="3"/>
        <v>106037.991420232</v>
      </c>
      <c r="N18" s="73">
        <f t="shared" si="4"/>
        <v>67746.4945184813</v>
      </c>
      <c r="O18" s="73">
        <f t="shared" si="5"/>
        <v>38291.4969017503</v>
      </c>
      <c r="P18" s="73">
        <f t="shared" si="6"/>
        <v>0</v>
      </c>
      <c r="Q18" s="73">
        <f t="shared" si="7"/>
        <v>0</v>
      </c>
    </row>
    <row r="19" customHeight="1" spans="1:17">
      <c r="A19" s="14">
        <v>16</v>
      </c>
      <c r="B19" s="13" t="s">
        <v>103</v>
      </c>
      <c r="C19" s="11" t="s">
        <v>109</v>
      </c>
      <c r="D19" s="12" t="s">
        <v>105</v>
      </c>
      <c r="E19" s="67">
        <f t="shared" si="0"/>
        <v>57.42</v>
      </c>
      <c r="F19" s="67"/>
      <c r="G19" s="67"/>
      <c r="H19" s="67">
        <f>工程量计算数!K75+工程量计算数!K76</f>
        <v>57.42</v>
      </c>
      <c r="I19" s="67"/>
      <c r="J19" s="67">
        <f t="shared" si="8"/>
        <v>536.169317328</v>
      </c>
      <c r="K19" s="107">
        <f t="shared" si="1"/>
        <v>0.09</v>
      </c>
      <c r="L19" s="67">
        <f t="shared" si="2"/>
        <v>584.42455588752</v>
      </c>
      <c r="M19" s="67">
        <f t="shared" si="3"/>
        <v>33557.6579990614</v>
      </c>
      <c r="N19" s="73">
        <f t="shared" si="4"/>
        <v>0</v>
      </c>
      <c r="O19" s="73">
        <f t="shared" si="5"/>
        <v>0</v>
      </c>
      <c r="P19" s="73">
        <f t="shared" si="6"/>
        <v>33557.6579990614</v>
      </c>
      <c r="Q19" s="73">
        <f t="shared" si="7"/>
        <v>0</v>
      </c>
    </row>
    <row r="20" customHeight="1" spans="1:17">
      <c r="A20" s="14">
        <v>17</v>
      </c>
      <c r="B20" s="13" t="s">
        <v>103</v>
      </c>
      <c r="C20" s="11" t="s">
        <v>110</v>
      </c>
      <c r="D20" s="12" t="s">
        <v>105</v>
      </c>
      <c r="E20" s="67">
        <f t="shared" si="0"/>
        <v>247.68</v>
      </c>
      <c r="F20" s="67"/>
      <c r="G20" s="67">
        <f>工程量计算数!K48+工程量计算数!K49</f>
        <v>134.16</v>
      </c>
      <c r="H20" s="67">
        <f>工程量计算数!K79+工程量计算数!K80</f>
        <v>113.52</v>
      </c>
      <c r="I20" s="67"/>
      <c r="J20" s="67">
        <f t="shared" si="8"/>
        <v>536.169317328</v>
      </c>
      <c r="K20" s="107">
        <f t="shared" si="1"/>
        <v>0.09</v>
      </c>
      <c r="L20" s="67">
        <f t="shared" si="2"/>
        <v>584.42455588752</v>
      </c>
      <c r="M20" s="67">
        <f t="shared" si="3"/>
        <v>144750.274002221</v>
      </c>
      <c r="N20" s="73">
        <f t="shared" si="4"/>
        <v>0</v>
      </c>
      <c r="O20" s="73">
        <f t="shared" si="5"/>
        <v>78406.3984178697</v>
      </c>
      <c r="P20" s="73">
        <f t="shared" si="6"/>
        <v>66343.8755843513</v>
      </c>
      <c r="Q20" s="73">
        <f t="shared" si="7"/>
        <v>0</v>
      </c>
    </row>
    <row r="21" customHeight="1" spans="1:17">
      <c r="A21" s="14">
        <v>18</v>
      </c>
      <c r="B21" s="13" t="s">
        <v>103</v>
      </c>
      <c r="C21" s="11" t="s">
        <v>111</v>
      </c>
      <c r="D21" s="12" t="s">
        <v>54</v>
      </c>
      <c r="E21" s="67">
        <f t="shared" si="0"/>
        <v>433.44</v>
      </c>
      <c r="F21" s="67"/>
      <c r="G21" s="67">
        <f>工程量计算数!K50+工程量计算数!K51</f>
        <v>234.78</v>
      </c>
      <c r="H21" s="67">
        <f>工程量计算数!K81+工程量计算数!K82</f>
        <v>198.66</v>
      </c>
      <c r="I21" s="67"/>
      <c r="J21" s="67">
        <f t="shared" si="8"/>
        <v>536.169317328</v>
      </c>
      <c r="K21" s="107">
        <f t="shared" si="1"/>
        <v>0.09</v>
      </c>
      <c r="L21" s="67">
        <f t="shared" si="2"/>
        <v>584.42455588752</v>
      </c>
      <c r="M21" s="67">
        <f t="shared" si="3"/>
        <v>253312.979503887</v>
      </c>
      <c r="N21" s="73">
        <f t="shared" si="4"/>
        <v>0</v>
      </c>
      <c r="O21" s="73">
        <f t="shared" si="5"/>
        <v>137211.197231272</v>
      </c>
      <c r="P21" s="73">
        <f t="shared" si="6"/>
        <v>116101.782272615</v>
      </c>
      <c r="Q21" s="73">
        <f t="shared" si="7"/>
        <v>0</v>
      </c>
    </row>
    <row r="22" customHeight="1" spans="1:17">
      <c r="A22" s="14">
        <v>19</v>
      </c>
      <c r="B22" s="13" t="s">
        <v>103</v>
      </c>
      <c r="C22" s="11" t="s">
        <v>112</v>
      </c>
      <c r="D22" s="12" t="s">
        <v>113</v>
      </c>
      <c r="E22" s="67">
        <f t="shared" si="0"/>
        <v>226.38</v>
      </c>
      <c r="F22" s="67">
        <f>工程量计算数!K20+工程量计算数!K21</f>
        <v>226.38</v>
      </c>
      <c r="G22" s="67"/>
      <c r="H22" s="67"/>
      <c r="I22" s="67"/>
      <c r="J22" s="67">
        <f t="shared" si="8"/>
        <v>536.169317328</v>
      </c>
      <c r="K22" s="107">
        <f t="shared" si="1"/>
        <v>0.09</v>
      </c>
      <c r="L22" s="67">
        <f t="shared" si="2"/>
        <v>584.42455588752</v>
      </c>
      <c r="M22" s="67">
        <f t="shared" si="3"/>
        <v>132302.030961817</v>
      </c>
      <c r="N22" s="73">
        <f t="shared" si="4"/>
        <v>132302.030961817</v>
      </c>
      <c r="O22" s="73">
        <f t="shared" si="5"/>
        <v>0</v>
      </c>
      <c r="P22" s="73">
        <f t="shared" si="6"/>
        <v>0</v>
      </c>
      <c r="Q22" s="73">
        <f t="shared" si="7"/>
        <v>0</v>
      </c>
    </row>
    <row r="23" customHeight="1" spans="1:17">
      <c r="A23" s="14">
        <v>20</v>
      </c>
      <c r="B23" s="13" t="s">
        <v>114</v>
      </c>
      <c r="C23" s="11" t="s">
        <v>115</v>
      </c>
      <c r="D23" s="12" t="s">
        <v>59</v>
      </c>
      <c r="E23" s="67">
        <f t="shared" si="0"/>
        <v>16.1</v>
      </c>
      <c r="F23" s="67">
        <f>工程量计算数!K8+工程量计算数!K9</f>
        <v>16.1</v>
      </c>
      <c r="G23" s="67"/>
      <c r="H23" s="67"/>
      <c r="I23" s="67"/>
      <c r="J23" s="67">
        <f>综合单价分析!H174</f>
        <v>714.61861632</v>
      </c>
      <c r="K23" s="107">
        <f t="shared" si="1"/>
        <v>0.09</v>
      </c>
      <c r="L23" s="67">
        <f t="shared" si="2"/>
        <v>778.9342917888</v>
      </c>
      <c r="M23" s="67">
        <f t="shared" si="3"/>
        <v>12540.8420977997</v>
      </c>
      <c r="N23" s="73">
        <f t="shared" si="4"/>
        <v>12540.8420977997</v>
      </c>
      <c r="O23" s="73">
        <f t="shared" si="5"/>
        <v>0</v>
      </c>
      <c r="P23" s="73">
        <f t="shared" si="6"/>
        <v>0</v>
      </c>
      <c r="Q23" s="73">
        <f t="shared" si="7"/>
        <v>0</v>
      </c>
    </row>
    <row r="24" customHeight="1" spans="1:17">
      <c r="A24" s="14">
        <v>21</v>
      </c>
      <c r="B24" s="13" t="s">
        <v>114</v>
      </c>
      <c r="C24" s="11" t="s">
        <v>116</v>
      </c>
      <c r="D24" s="12" t="s">
        <v>59</v>
      </c>
      <c r="E24" s="67">
        <f t="shared" si="0"/>
        <v>52.2</v>
      </c>
      <c r="F24" s="67"/>
      <c r="G24" s="67">
        <f>工程量计算数!K38+工程量计算数!K39</f>
        <v>28.275</v>
      </c>
      <c r="H24" s="67">
        <f>工程量计算数!K69+工程量计算数!K70</f>
        <v>23.925</v>
      </c>
      <c r="I24" s="67"/>
      <c r="J24" s="67">
        <f t="shared" ref="J24:J29" si="9">J23</f>
        <v>714.61861632</v>
      </c>
      <c r="K24" s="107">
        <f t="shared" si="1"/>
        <v>0.09</v>
      </c>
      <c r="L24" s="67">
        <f t="shared" si="2"/>
        <v>778.9342917888</v>
      </c>
      <c r="M24" s="67">
        <f t="shared" si="3"/>
        <v>40660.3700313754</v>
      </c>
      <c r="N24" s="73">
        <f t="shared" si="4"/>
        <v>0</v>
      </c>
      <c r="O24" s="73">
        <f t="shared" si="5"/>
        <v>22024.3671003283</v>
      </c>
      <c r="P24" s="73">
        <f t="shared" si="6"/>
        <v>18636.002931047</v>
      </c>
      <c r="Q24" s="73">
        <f t="shared" si="7"/>
        <v>0</v>
      </c>
    </row>
    <row r="25" customHeight="1" spans="1:17">
      <c r="A25" s="14">
        <v>22</v>
      </c>
      <c r="B25" s="13" t="s">
        <v>114</v>
      </c>
      <c r="C25" s="11" t="s">
        <v>117</v>
      </c>
      <c r="D25" s="12" t="s">
        <v>59</v>
      </c>
      <c r="E25" s="67">
        <f t="shared" si="0"/>
        <v>17.71</v>
      </c>
      <c r="F25" s="67">
        <f>工程量计算数!K10+工程量计算数!K11</f>
        <v>17.71</v>
      </c>
      <c r="G25" s="67"/>
      <c r="H25" s="67"/>
      <c r="I25" s="67"/>
      <c r="J25" s="67">
        <f t="shared" si="9"/>
        <v>714.61861632</v>
      </c>
      <c r="K25" s="107">
        <f t="shared" si="1"/>
        <v>0.09</v>
      </c>
      <c r="L25" s="67">
        <f t="shared" si="2"/>
        <v>778.9342917888</v>
      </c>
      <c r="M25" s="67">
        <f t="shared" si="3"/>
        <v>13794.9263075796</v>
      </c>
      <c r="N25" s="73">
        <f t="shared" si="4"/>
        <v>13794.9263075796</v>
      </c>
      <c r="O25" s="73">
        <f t="shared" si="5"/>
        <v>0</v>
      </c>
      <c r="P25" s="73">
        <f t="shared" si="6"/>
        <v>0</v>
      </c>
      <c r="Q25" s="73">
        <f t="shared" si="7"/>
        <v>0</v>
      </c>
    </row>
    <row r="26" customHeight="1" spans="1:17">
      <c r="A26" s="14">
        <v>23</v>
      </c>
      <c r="B26" s="13" t="s">
        <v>114</v>
      </c>
      <c r="C26" s="11" t="s">
        <v>108</v>
      </c>
      <c r="D26" s="12" t="s">
        <v>59</v>
      </c>
      <c r="E26" s="67">
        <f t="shared" si="0"/>
        <v>133.56</v>
      </c>
      <c r="F26" s="67">
        <f>工程量计算数!K6+工程量计算数!K7</f>
        <v>133.56</v>
      </c>
      <c r="G26" s="67"/>
      <c r="H26" s="67"/>
      <c r="I26" s="67"/>
      <c r="J26" s="67">
        <f t="shared" si="9"/>
        <v>714.61861632</v>
      </c>
      <c r="K26" s="107">
        <f t="shared" si="1"/>
        <v>0.09</v>
      </c>
      <c r="L26" s="67">
        <f t="shared" si="2"/>
        <v>778.9342917888</v>
      </c>
      <c r="M26" s="67">
        <f t="shared" si="3"/>
        <v>104034.464011312</v>
      </c>
      <c r="N26" s="73">
        <f t="shared" si="4"/>
        <v>104034.464011312</v>
      </c>
      <c r="O26" s="73">
        <f t="shared" si="5"/>
        <v>0</v>
      </c>
      <c r="P26" s="73">
        <f t="shared" si="6"/>
        <v>0</v>
      </c>
      <c r="Q26" s="73">
        <f t="shared" si="7"/>
        <v>0</v>
      </c>
    </row>
    <row r="27" customHeight="1" spans="1:17">
      <c r="A27" s="14">
        <v>24</v>
      </c>
      <c r="B27" s="13" t="s">
        <v>114</v>
      </c>
      <c r="C27" s="11" t="s">
        <v>118</v>
      </c>
      <c r="D27" s="12" t="s">
        <v>59</v>
      </c>
      <c r="E27" s="67">
        <f t="shared" si="0"/>
        <v>41.76</v>
      </c>
      <c r="F27" s="67"/>
      <c r="G27" s="67">
        <f>工程量计算数!K40+工程量计算数!K41</f>
        <v>22.62</v>
      </c>
      <c r="H27" s="67">
        <f>工程量计算数!K71+工程量计算数!K72</f>
        <v>19.14</v>
      </c>
      <c r="I27" s="67"/>
      <c r="J27" s="67">
        <f t="shared" si="9"/>
        <v>714.61861632</v>
      </c>
      <c r="K27" s="107">
        <f t="shared" si="1"/>
        <v>0.09</v>
      </c>
      <c r="L27" s="67">
        <f t="shared" si="2"/>
        <v>778.9342917888</v>
      </c>
      <c r="M27" s="67">
        <f t="shared" si="3"/>
        <v>32528.2960251003</v>
      </c>
      <c r="N27" s="73">
        <f t="shared" si="4"/>
        <v>0</v>
      </c>
      <c r="O27" s="73">
        <f t="shared" si="5"/>
        <v>17619.4936802627</v>
      </c>
      <c r="P27" s="73">
        <f t="shared" si="6"/>
        <v>14908.8023448376</v>
      </c>
      <c r="Q27" s="73">
        <f t="shared" si="7"/>
        <v>0</v>
      </c>
    </row>
    <row r="28" customHeight="1" spans="1:17">
      <c r="A28" s="14">
        <v>25</v>
      </c>
      <c r="B28" s="13" t="s">
        <v>114</v>
      </c>
      <c r="C28" s="11" t="s">
        <v>93</v>
      </c>
      <c r="D28" s="12" t="s">
        <v>59</v>
      </c>
      <c r="E28" s="67">
        <f t="shared" si="0"/>
        <v>86.94</v>
      </c>
      <c r="F28" s="67">
        <f>工程量计算数!K4+工程量计算数!K5</f>
        <v>86.94</v>
      </c>
      <c r="G28" s="67"/>
      <c r="H28" s="67"/>
      <c r="I28" s="67"/>
      <c r="J28" s="67">
        <f t="shared" si="9"/>
        <v>714.61861632</v>
      </c>
      <c r="K28" s="107">
        <f t="shared" si="1"/>
        <v>0.09</v>
      </c>
      <c r="L28" s="67">
        <f t="shared" si="2"/>
        <v>778.9342917888</v>
      </c>
      <c r="M28" s="67">
        <f t="shared" si="3"/>
        <v>67720.5473281183</v>
      </c>
      <c r="N28" s="73">
        <f t="shared" si="4"/>
        <v>67720.5473281183</v>
      </c>
      <c r="O28" s="73">
        <f t="shared" si="5"/>
        <v>0</v>
      </c>
      <c r="P28" s="73">
        <f t="shared" si="6"/>
        <v>0</v>
      </c>
      <c r="Q28" s="73">
        <f t="shared" si="7"/>
        <v>0</v>
      </c>
    </row>
    <row r="29" customHeight="1" spans="1:17">
      <c r="A29" s="14">
        <v>26</v>
      </c>
      <c r="B29" s="13" t="s">
        <v>114</v>
      </c>
      <c r="C29" s="11" t="s">
        <v>109</v>
      </c>
      <c r="D29" s="12" t="s">
        <v>59</v>
      </c>
      <c r="E29" s="67">
        <f t="shared" si="0"/>
        <v>93.96</v>
      </c>
      <c r="F29" s="67"/>
      <c r="G29" s="67">
        <f>工程量计算数!K42+工程量计算数!K43</f>
        <v>50.895</v>
      </c>
      <c r="H29" s="67">
        <f>工程量计算数!K73+工程量计算数!K74</f>
        <v>43.065</v>
      </c>
      <c r="I29" s="67"/>
      <c r="J29" s="67">
        <f t="shared" si="9"/>
        <v>714.61861632</v>
      </c>
      <c r="K29" s="107">
        <f t="shared" si="1"/>
        <v>0.09</v>
      </c>
      <c r="L29" s="67">
        <f t="shared" si="2"/>
        <v>778.9342917888</v>
      </c>
      <c r="M29" s="67">
        <f t="shared" si="3"/>
        <v>73188.6660564757</v>
      </c>
      <c r="N29" s="73">
        <f t="shared" si="4"/>
        <v>0</v>
      </c>
      <c r="O29" s="73">
        <f t="shared" si="5"/>
        <v>39643.860780591</v>
      </c>
      <c r="P29" s="73">
        <f t="shared" si="6"/>
        <v>33544.8052758847</v>
      </c>
      <c r="Q29" s="73">
        <f t="shared" si="7"/>
        <v>0</v>
      </c>
    </row>
    <row r="30" customHeight="1" spans="1:17">
      <c r="A30" s="14">
        <v>27</v>
      </c>
      <c r="B30" s="13" t="s">
        <v>119</v>
      </c>
      <c r="C30" s="11" t="s">
        <v>120</v>
      </c>
      <c r="D30" s="12" t="s">
        <v>121</v>
      </c>
      <c r="E30" s="67">
        <f t="shared" si="0"/>
        <v>608.58</v>
      </c>
      <c r="F30" s="67">
        <f>工程量计算数!K17</f>
        <v>608.58</v>
      </c>
      <c r="G30" s="67"/>
      <c r="H30" s="67"/>
      <c r="I30" s="67"/>
      <c r="J30" s="67">
        <f>综合单价分析!H245</f>
        <v>681.594444144</v>
      </c>
      <c r="K30" s="107">
        <f t="shared" si="1"/>
        <v>0.09</v>
      </c>
      <c r="L30" s="67">
        <f t="shared" ref="L30:L46" si="10">J30*(1+K30)</f>
        <v>742.93794411696</v>
      </c>
      <c r="M30" s="67">
        <f t="shared" ref="M30:M46" si="11">E30*L30</f>
        <v>452137.1740307</v>
      </c>
      <c r="N30" s="73">
        <f t="shared" ref="N30:N46" si="12">F30*L30</f>
        <v>452137.1740307</v>
      </c>
      <c r="O30" s="73">
        <f t="shared" ref="O30:O46" si="13">G30*L30</f>
        <v>0</v>
      </c>
      <c r="P30" s="73">
        <f t="shared" ref="P30:P46" si="14">H30*L30</f>
        <v>0</v>
      </c>
      <c r="Q30" s="73">
        <f t="shared" ref="Q30:Q46" si="15">I30*L30</f>
        <v>0</v>
      </c>
    </row>
    <row r="31" customHeight="1" spans="1:17">
      <c r="A31" s="14">
        <v>28</v>
      </c>
      <c r="B31" s="13" t="s">
        <v>119</v>
      </c>
      <c r="C31" s="11" t="s">
        <v>122</v>
      </c>
      <c r="D31" s="12" t="s">
        <v>121</v>
      </c>
      <c r="E31" s="67">
        <f t="shared" si="0"/>
        <v>0</v>
      </c>
      <c r="F31" s="67"/>
      <c r="G31" s="67"/>
      <c r="H31" s="67"/>
      <c r="I31" s="67"/>
      <c r="J31" s="67">
        <f>J30</f>
        <v>681.594444144</v>
      </c>
      <c r="K31" s="107">
        <f t="shared" si="1"/>
        <v>0.09</v>
      </c>
      <c r="L31" s="67">
        <f t="shared" si="10"/>
        <v>742.93794411696</v>
      </c>
      <c r="M31" s="67">
        <f t="shared" si="11"/>
        <v>0</v>
      </c>
      <c r="N31" s="73">
        <f t="shared" si="12"/>
        <v>0</v>
      </c>
      <c r="O31" s="73">
        <f t="shared" si="13"/>
        <v>0</v>
      </c>
      <c r="P31" s="73">
        <f t="shared" si="14"/>
        <v>0</v>
      </c>
      <c r="Q31" s="73">
        <f t="shared" si="15"/>
        <v>0</v>
      </c>
    </row>
    <row r="32" customHeight="1" spans="1:17">
      <c r="A32" s="14">
        <v>29</v>
      </c>
      <c r="B32" s="13" t="s">
        <v>119</v>
      </c>
      <c r="C32" s="11" t="s">
        <v>96</v>
      </c>
      <c r="D32" s="12" t="s">
        <v>73</v>
      </c>
      <c r="E32" s="67">
        <f t="shared" si="0"/>
        <v>46.2</v>
      </c>
      <c r="F32" s="67">
        <f>工程量计算数!K16</f>
        <v>46.2</v>
      </c>
      <c r="G32" s="67"/>
      <c r="H32" s="67"/>
      <c r="I32" s="67"/>
      <c r="J32" s="67">
        <f>J31</f>
        <v>681.594444144</v>
      </c>
      <c r="K32" s="107">
        <f t="shared" si="1"/>
        <v>0.09</v>
      </c>
      <c r="L32" s="67">
        <f t="shared" si="10"/>
        <v>742.93794411696</v>
      </c>
      <c r="M32" s="67">
        <f t="shared" si="11"/>
        <v>34323.7330182036</v>
      </c>
      <c r="N32" s="73">
        <f t="shared" si="12"/>
        <v>34323.7330182036</v>
      </c>
      <c r="O32" s="73">
        <f t="shared" si="13"/>
        <v>0</v>
      </c>
      <c r="P32" s="73">
        <f t="shared" si="14"/>
        <v>0</v>
      </c>
      <c r="Q32" s="73">
        <f t="shared" si="15"/>
        <v>0</v>
      </c>
    </row>
    <row r="33" customHeight="1" spans="1:17">
      <c r="A33" s="14">
        <v>30</v>
      </c>
      <c r="B33" s="13" t="s">
        <v>123</v>
      </c>
      <c r="C33" s="11" t="s">
        <v>124</v>
      </c>
      <c r="D33" s="12" t="s">
        <v>57</v>
      </c>
      <c r="E33" s="67">
        <f t="shared" si="0"/>
        <v>36.3</v>
      </c>
      <c r="F33" s="67"/>
      <c r="G33" s="67"/>
      <c r="H33" s="67">
        <f>工程量计算数!K83</f>
        <v>36.3</v>
      </c>
      <c r="I33" s="67"/>
      <c r="J33" s="67">
        <f>综合单价分析!H279</f>
        <v>366.1409844</v>
      </c>
      <c r="K33" s="107">
        <f t="shared" si="1"/>
        <v>0.09</v>
      </c>
      <c r="L33" s="67">
        <f t="shared" si="10"/>
        <v>399.093672996</v>
      </c>
      <c r="M33" s="67">
        <f t="shared" si="11"/>
        <v>14487.1003297548</v>
      </c>
      <c r="N33" s="73">
        <f t="shared" si="12"/>
        <v>0</v>
      </c>
      <c r="O33" s="73">
        <f t="shared" si="13"/>
        <v>0</v>
      </c>
      <c r="P33" s="73">
        <f t="shared" si="14"/>
        <v>14487.1003297548</v>
      </c>
      <c r="Q33" s="73">
        <f t="shared" si="15"/>
        <v>0</v>
      </c>
    </row>
    <row r="34" customHeight="1" spans="1:17">
      <c r="A34" s="14">
        <v>31</v>
      </c>
      <c r="B34" s="13" t="s">
        <v>123</v>
      </c>
      <c r="C34" s="11" t="s">
        <v>95</v>
      </c>
      <c r="D34" s="12" t="s">
        <v>57</v>
      </c>
      <c r="E34" s="67">
        <f t="shared" si="0"/>
        <v>80.64</v>
      </c>
      <c r="F34" s="67">
        <f>工程量计算数!K24</f>
        <v>80.64</v>
      </c>
      <c r="G34" s="67"/>
      <c r="H34" s="67"/>
      <c r="I34" s="67"/>
      <c r="J34" s="67">
        <f>J33</f>
        <v>366.1409844</v>
      </c>
      <c r="K34" s="107">
        <f t="shared" si="1"/>
        <v>0.09</v>
      </c>
      <c r="L34" s="67">
        <f t="shared" si="10"/>
        <v>399.093672996</v>
      </c>
      <c r="M34" s="67">
        <f t="shared" si="11"/>
        <v>32182.9137903974</v>
      </c>
      <c r="N34" s="73">
        <f t="shared" si="12"/>
        <v>32182.9137903974</v>
      </c>
      <c r="O34" s="73">
        <f t="shared" si="13"/>
        <v>0</v>
      </c>
      <c r="P34" s="73">
        <f t="shared" si="14"/>
        <v>0</v>
      </c>
      <c r="Q34" s="73">
        <f t="shared" si="15"/>
        <v>0</v>
      </c>
    </row>
    <row r="35" customHeight="1" spans="1:17">
      <c r="A35" s="14">
        <v>32</v>
      </c>
      <c r="B35" s="13" t="s">
        <v>123</v>
      </c>
      <c r="C35" s="11" t="s">
        <v>107</v>
      </c>
      <c r="D35" s="12" t="s">
        <v>57</v>
      </c>
      <c r="E35" s="67">
        <f t="shared" si="0"/>
        <v>58.5</v>
      </c>
      <c r="F35" s="67"/>
      <c r="G35" s="67">
        <f>工程量计算数!K52</f>
        <v>58.5</v>
      </c>
      <c r="H35" s="67"/>
      <c r="I35" s="67"/>
      <c r="J35" s="67">
        <f>J34</f>
        <v>366.1409844</v>
      </c>
      <c r="K35" s="107">
        <f t="shared" si="1"/>
        <v>0.09</v>
      </c>
      <c r="L35" s="67">
        <f t="shared" si="10"/>
        <v>399.093672996</v>
      </c>
      <c r="M35" s="67">
        <f t="shared" si="11"/>
        <v>23346.979870266</v>
      </c>
      <c r="N35" s="73">
        <f t="shared" si="12"/>
        <v>0</v>
      </c>
      <c r="O35" s="73">
        <f t="shared" si="13"/>
        <v>23346.979870266</v>
      </c>
      <c r="P35" s="73">
        <f t="shared" si="14"/>
        <v>0</v>
      </c>
      <c r="Q35" s="73">
        <f t="shared" si="15"/>
        <v>0</v>
      </c>
    </row>
    <row r="36" customHeight="1" spans="1:17">
      <c r="A36" s="14">
        <v>33</v>
      </c>
      <c r="B36" s="13" t="s">
        <v>125</v>
      </c>
      <c r="C36" s="11" t="s">
        <v>126</v>
      </c>
      <c r="D36" s="12" t="s">
        <v>64</v>
      </c>
      <c r="E36" s="67">
        <f t="shared" ref="E36:E48" si="16">SUM(F36:I36)</f>
        <v>144.76</v>
      </c>
      <c r="F36" s="67"/>
      <c r="G36" s="67">
        <f>工程量计算数!K62</f>
        <v>78.96</v>
      </c>
      <c r="H36" s="67">
        <f>工程量计算数!K91</f>
        <v>65.8</v>
      </c>
      <c r="I36" s="67"/>
      <c r="J36" s="67">
        <f>综合单价分析!H383</f>
        <v>368.1780696</v>
      </c>
      <c r="K36" s="107">
        <f t="shared" ref="K36:K46" si="17">$K$3</f>
        <v>0.09</v>
      </c>
      <c r="L36" s="67">
        <f t="shared" si="10"/>
        <v>401.314095864</v>
      </c>
      <c r="M36" s="67">
        <f t="shared" si="11"/>
        <v>58094.2285172726</v>
      </c>
      <c r="N36" s="73">
        <f t="shared" si="12"/>
        <v>0</v>
      </c>
      <c r="O36" s="73">
        <f t="shared" si="13"/>
        <v>31687.7610094214</v>
      </c>
      <c r="P36" s="73">
        <f t="shared" si="14"/>
        <v>26406.4675078512</v>
      </c>
      <c r="Q36" s="73">
        <f t="shared" si="15"/>
        <v>0</v>
      </c>
    </row>
    <row r="37" customHeight="1" spans="1:17">
      <c r="A37" s="14">
        <v>34</v>
      </c>
      <c r="B37" s="13" t="s">
        <v>127</v>
      </c>
      <c r="C37" s="11" t="s">
        <v>128</v>
      </c>
      <c r="D37" s="12" t="s">
        <v>65</v>
      </c>
      <c r="E37" s="67">
        <f t="shared" si="16"/>
        <v>253.92</v>
      </c>
      <c r="F37" s="67">
        <f>工程量计算数!K33</f>
        <v>253.92</v>
      </c>
      <c r="G37" s="67"/>
      <c r="H37" s="67"/>
      <c r="I37" s="67"/>
      <c r="J37" s="67">
        <f>综合单价分析!H349</f>
        <v>754.025597568</v>
      </c>
      <c r="K37" s="107">
        <f t="shared" si="17"/>
        <v>0.09</v>
      </c>
      <c r="L37" s="67">
        <f t="shared" si="10"/>
        <v>821.88790134912</v>
      </c>
      <c r="M37" s="67">
        <f t="shared" si="11"/>
        <v>208693.775910569</v>
      </c>
      <c r="N37" s="73">
        <f t="shared" si="12"/>
        <v>208693.775910569</v>
      </c>
      <c r="O37" s="73">
        <f t="shared" si="13"/>
        <v>0</v>
      </c>
      <c r="P37" s="73">
        <f t="shared" si="14"/>
        <v>0</v>
      </c>
      <c r="Q37" s="73">
        <f t="shared" si="15"/>
        <v>0</v>
      </c>
    </row>
    <row r="38" customHeight="1" spans="1:17">
      <c r="A38" s="14">
        <v>35</v>
      </c>
      <c r="B38" s="13" t="s">
        <v>125</v>
      </c>
      <c r="C38" s="11" t="s">
        <v>129</v>
      </c>
      <c r="D38" s="12" t="s">
        <v>64</v>
      </c>
      <c r="E38" s="67">
        <f t="shared" si="16"/>
        <v>203.04</v>
      </c>
      <c r="F38" s="67"/>
      <c r="G38" s="67">
        <f>工程量计算数!K57</f>
        <v>109.98</v>
      </c>
      <c r="H38" s="67">
        <f>工程量计算数!K86</f>
        <v>93.06</v>
      </c>
      <c r="I38" s="67"/>
      <c r="J38" s="67">
        <f>综合单价分析!H383</f>
        <v>368.1780696</v>
      </c>
      <c r="K38" s="107">
        <f t="shared" si="17"/>
        <v>0.09</v>
      </c>
      <c r="L38" s="67">
        <f t="shared" si="10"/>
        <v>401.314095864</v>
      </c>
      <c r="M38" s="67">
        <f t="shared" si="11"/>
        <v>81482.8140242266</v>
      </c>
      <c r="N38" s="73">
        <f t="shared" si="12"/>
        <v>0</v>
      </c>
      <c r="O38" s="73">
        <f t="shared" si="13"/>
        <v>44136.5242631227</v>
      </c>
      <c r="P38" s="73">
        <f t="shared" si="14"/>
        <v>37346.2897611038</v>
      </c>
      <c r="Q38" s="73">
        <f t="shared" si="15"/>
        <v>0</v>
      </c>
    </row>
    <row r="39" customHeight="1" spans="1:17">
      <c r="A39" s="14">
        <v>36</v>
      </c>
      <c r="B39" s="13" t="s">
        <v>130</v>
      </c>
      <c r="C39" s="11" t="s">
        <v>131</v>
      </c>
      <c r="D39" s="12" t="s">
        <v>67</v>
      </c>
      <c r="E39" s="67">
        <f t="shared" si="16"/>
        <v>11.52</v>
      </c>
      <c r="F39" s="67"/>
      <c r="G39" s="67">
        <f>工程量计算数!K63</f>
        <v>5.76</v>
      </c>
      <c r="H39" s="67">
        <f>工程量计算数!K92</f>
        <v>5.76</v>
      </c>
      <c r="I39" s="67"/>
      <c r="J39" s="67">
        <f>综合单价分析!H418</f>
        <v>627.183740448</v>
      </c>
      <c r="K39" s="107">
        <f t="shared" si="17"/>
        <v>0.09</v>
      </c>
      <c r="L39" s="67">
        <f t="shared" si="10"/>
        <v>683.63027708832</v>
      </c>
      <c r="M39" s="67">
        <f t="shared" si="11"/>
        <v>7875.42079205745</v>
      </c>
      <c r="N39" s="73">
        <f t="shared" si="12"/>
        <v>0</v>
      </c>
      <c r="O39" s="73">
        <f t="shared" si="13"/>
        <v>3937.71039602872</v>
      </c>
      <c r="P39" s="73">
        <f t="shared" si="14"/>
        <v>3937.71039602872</v>
      </c>
      <c r="Q39" s="73">
        <f t="shared" si="15"/>
        <v>0</v>
      </c>
    </row>
    <row r="40" customHeight="1" spans="1:17">
      <c r="A40" s="14">
        <v>37</v>
      </c>
      <c r="B40" s="13" t="s">
        <v>132</v>
      </c>
      <c r="C40" s="11" t="s">
        <v>133</v>
      </c>
      <c r="D40" s="12" t="s">
        <v>69</v>
      </c>
      <c r="E40" s="67">
        <f t="shared" si="16"/>
        <v>84.6</v>
      </c>
      <c r="F40" s="67"/>
      <c r="G40" s="67">
        <f>工程量计算数!K59</f>
        <v>45.825</v>
      </c>
      <c r="H40" s="67">
        <f>工程量计算数!K88</f>
        <v>38.775</v>
      </c>
      <c r="I40" s="67"/>
      <c r="J40" s="67">
        <f>综合单价分析!H454</f>
        <v>314.7285888</v>
      </c>
      <c r="K40" s="107">
        <f t="shared" si="17"/>
        <v>0.09</v>
      </c>
      <c r="L40" s="67">
        <f t="shared" si="10"/>
        <v>343.054161792</v>
      </c>
      <c r="M40" s="67">
        <f t="shared" si="11"/>
        <v>29022.3820876032</v>
      </c>
      <c r="N40" s="73">
        <f t="shared" si="12"/>
        <v>0</v>
      </c>
      <c r="O40" s="73">
        <f t="shared" si="13"/>
        <v>15720.4569641184</v>
      </c>
      <c r="P40" s="73">
        <f t="shared" si="14"/>
        <v>13301.9251234848</v>
      </c>
      <c r="Q40" s="73">
        <f t="shared" si="15"/>
        <v>0</v>
      </c>
    </row>
    <row r="41" customHeight="1" spans="1:17">
      <c r="A41" s="14">
        <v>38</v>
      </c>
      <c r="B41" s="13" t="s">
        <v>132</v>
      </c>
      <c r="C41" s="11" t="s">
        <v>134</v>
      </c>
      <c r="D41" s="12" t="s">
        <v>69</v>
      </c>
      <c r="E41" s="67">
        <f t="shared" si="16"/>
        <v>588.8</v>
      </c>
      <c r="F41" s="67">
        <f>工程量计算数!K31</f>
        <v>588.8</v>
      </c>
      <c r="G41" s="67"/>
      <c r="H41" s="67"/>
      <c r="I41" s="67"/>
      <c r="J41" s="67">
        <f>J40</f>
        <v>314.7285888</v>
      </c>
      <c r="K41" s="107">
        <f t="shared" si="17"/>
        <v>0.09</v>
      </c>
      <c r="L41" s="67">
        <f t="shared" si="10"/>
        <v>343.054161792</v>
      </c>
      <c r="M41" s="67">
        <f t="shared" si="11"/>
        <v>201990.29046313</v>
      </c>
      <c r="N41" s="73">
        <f t="shared" si="12"/>
        <v>201990.29046313</v>
      </c>
      <c r="O41" s="73">
        <f t="shared" si="13"/>
        <v>0</v>
      </c>
      <c r="P41" s="73">
        <f t="shared" si="14"/>
        <v>0</v>
      </c>
      <c r="Q41" s="73">
        <f t="shared" si="15"/>
        <v>0</v>
      </c>
    </row>
    <row r="42" customHeight="1" spans="1:17">
      <c r="A42" s="14">
        <v>39</v>
      </c>
      <c r="B42" s="13" t="s">
        <v>132</v>
      </c>
      <c r="C42" s="11" t="s">
        <v>135</v>
      </c>
      <c r="D42" s="12" t="s">
        <v>69</v>
      </c>
      <c r="E42" s="67">
        <f t="shared" si="16"/>
        <v>90.24</v>
      </c>
      <c r="F42" s="67"/>
      <c r="G42" s="67">
        <f>工程量计算数!K60</f>
        <v>48.88</v>
      </c>
      <c r="H42" s="67">
        <f>工程量计算数!K89</f>
        <v>41.36</v>
      </c>
      <c r="I42" s="67"/>
      <c r="J42" s="67">
        <f>J41</f>
        <v>314.7285888</v>
      </c>
      <c r="K42" s="107">
        <f t="shared" si="17"/>
        <v>0.09</v>
      </c>
      <c r="L42" s="67">
        <f t="shared" si="10"/>
        <v>343.054161792</v>
      </c>
      <c r="M42" s="67">
        <f t="shared" si="11"/>
        <v>30957.2075601101</v>
      </c>
      <c r="N42" s="73">
        <f t="shared" si="12"/>
        <v>0</v>
      </c>
      <c r="O42" s="73">
        <f t="shared" si="13"/>
        <v>16768.487428393</v>
      </c>
      <c r="P42" s="73">
        <f t="shared" si="14"/>
        <v>14188.7201317171</v>
      </c>
      <c r="Q42" s="73">
        <f t="shared" si="15"/>
        <v>0</v>
      </c>
    </row>
    <row r="43" customHeight="1" spans="1:17">
      <c r="A43" s="14">
        <v>40</v>
      </c>
      <c r="B43" s="13" t="s">
        <v>132</v>
      </c>
      <c r="C43" s="11" t="s">
        <v>136</v>
      </c>
      <c r="D43" s="12" t="s">
        <v>69</v>
      </c>
      <c r="E43" s="67">
        <f t="shared" si="16"/>
        <v>812.16</v>
      </c>
      <c r="F43" s="67"/>
      <c r="G43" s="67">
        <f>工程量计算数!K61</f>
        <v>439.92</v>
      </c>
      <c r="H43" s="67">
        <f>工程量计算数!K90</f>
        <v>372.24</v>
      </c>
      <c r="I43" s="67"/>
      <c r="J43" s="67">
        <f>J42</f>
        <v>314.7285888</v>
      </c>
      <c r="K43" s="107">
        <f t="shared" si="17"/>
        <v>0.09</v>
      </c>
      <c r="L43" s="67">
        <f t="shared" si="10"/>
        <v>343.054161792</v>
      </c>
      <c r="M43" s="67">
        <f t="shared" si="11"/>
        <v>278614.868040991</v>
      </c>
      <c r="N43" s="73">
        <f t="shared" si="12"/>
        <v>0</v>
      </c>
      <c r="O43" s="73">
        <f t="shared" si="13"/>
        <v>150916.386855537</v>
      </c>
      <c r="P43" s="73">
        <f t="shared" si="14"/>
        <v>127698.481185454</v>
      </c>
      <c r="Q43" s="73">
        <f t="shared" si="15"/>
        <v>0</v>
      </c>
    </row>
    <row r="44" customHeight="1" spans="1:17">
      <c r="A44" s="14">
        <v>41</v>
      </c>
      <c r="B44" s="13" t="s">
        <v>132</v>
      </c>
      <c r="C44" s="11" t="s">
        <v>137</v>
      </c>
      <c r="D44" s="12" t="s">
        <v>70</v>
      </c>
      <c r="E44" s="67">
        <f t="shared" si="16"/>
        <v>879.06</v>
      </c>
      <c r="F44" s="67">
        <f>工程量计算数!K32</f>
        <v>879.06</v>
      </c>
      <c r="G44" s="67"/>
      <c r="H44" s="67"/>
      <c r="I44" s="67"/>
      <c r="J44" s="67">
        <f>J43</f>
        <v>314.7285888</v>
      </c>
      <c r="K44" s="107">
        <f t="shared" si="17"/>
        <v>0.09</v>
      </c>
      <c r="L44" s="67">
        <f t="shared" si="10"/>
        <v>343.054161792</v>
      </c>
      <c r="M44" s="67">
        <f t="shared" si="11"/>
        <v>301565.191464876</v>
      </c>
      <c r="N44" s="73">
        <f t="shared" si="12"/>
        <v>301565.191464876</v>
      </c>
      <c r="O44" s="73">
        <f t="shared" si="13"/>
        <v>0</v>
      </c>
      <c r="P44" s="73">
        <f t="shared" si="14"/>
        <v>0</v>
      </c>
      <c r="Q44" s="73">
        <f t="shared" si="15"/>
        <v>0</v>
      </c>
    </row>
    <row r="45" customHeight="1" spans="1:17">
      <c r="A45" s="14">
        <v>42</v>
      </c>
      <c r="B45" s="13" t="s">
        <v>132</v>
      </c>
      <c r="C45" s="11" t="s">
        <v>138</v>
      </c>
      <c r="D45" s="12" t="s">
        <v>70</v>
      </c>
      <c r="E45" s="67">
        <f t="shared" si="16"/>
        <v>203.04</v>
      </c>
      <c r="F45" s="67"/>
      <c r="G45" s="67">
        <f>工程量计算数!K58</f>
        <v>109.98</v>
      </c>
      <c r="H45" s="67">
        <f>工程量计算数!K87</f>
        <v>93.06</v>
      </c>
      <c r="I45" s="67"/>
      <c r="J45" s="67">
        <f>J44</f>
        <v>314.7285888</v>
      </c>
      <c r="K45" s="107">
        <f t="shared" si="17"/>
        <v>0.09</v>
      </c>
      <c r="L45" s="67">
        <f t="shared" si="10"/>
        <v>343.054161792</v>
      </c>
      <c r="M45" s="67">
        <f t="shared" si="11"/>
        <v>69653.7170102477</v>
      </c>
      <c r="N45" s="73">
        <f t="shared" si="12"/>
        <v>0</v>
      </c>
      <c r="O45" s="73">
        <f t="shared" si="13"/>
        <v>37729.0967138842</v>
      </c>
      <c r="P45" s="73">
        <f t="shared" si="14"/>
        <v>31924.6202963635</v>
      </c>
      <c r="Q45" s="73">
        <f t="shared" si="15"/>
        <v>0</v>
      </c>
    </row>
    <row r="46" s="47" customFormat="1" customHeight="1" spans="1:17">
      <c r="A46" s="14">
        <v>43</v>
      </c>
      <c r="B46" s="13" t="s">
        <v>139</v>
      </c>
      <c r="C46" s="11" t="s">
        <v>140</v>
      </c>
      <c r="D46" s="99" t="s">
        <v>141</v>
      </c>
      <c r="E46" s="67">
        <f t="shared" si="16"/>
        <v>595.455</v>
      </c>
      <c r="F46" s="67">
        <f>[2]工程量计算数!K83+[2]工程量计算数!K84+[2]工程量计算数!K85</f>
        <v>227.3</v>
      </c>
      <c r="G46" s="67">
        <f>[2]工程量计算数!K114+[2]工程量计算数!K115+[2]工程量计算数!K116</f>
        <v>183.135</v>
      </c>
      <c r="H46" s="67">
        <f>[2]工程量计算数!K225+[2]工程量计算数!K226+[2]工程量计算数!K227</f>
        <v>185.02</v>
      </c>
      <c r="I46" s="67"/>
      <c r="J46" s="67">
        <f>综合单价分析!H560</f>
        <v>710.26379712</v>
      </c>
      <c r="K46" s="107">
        <f t="shared" si="17"/>
        <v>0.09</v>
      </c>
      <c r="L46" s="67">
        <f t="shared" si="10"/>
        <v>774.1875388608</v>
      </c>
      <c r="M46" s="67">
        <f t="shared" si="11"/>
        <v>460993.840952358</v>
      </c>
      <c r="N46" s="73">
        <f t="shared" si="12"/>
        <v>175972.82758306</v>
      </c>
      <c r="O46" s="73">
        <f t="shared" si="13"/>
        <v>141780.834929273</v>
      </c>
      <c r="P46" s="73">
        <f t="shared" si="14"/>
        <v>143240.178440025</v>
      </c>
      <c r="Q46" s="73">
        <f t="shared" si="15"/>
        <v>0</v>
      </c>
    </row>
    <row r="47" customHeight="1" spans="1:17">
      <c r="A47" s="14">
        <v>44</v>
      </c>
      <c r="B47" s="100" t="s">
        <v>79</v>
      </c>
      <c r="C47" s="101"/>
      <c r="D47" s="101"/>
      <c r="E47" s="102">
        <f>SUM(E4:E46)</f>
        <v>7056.485</v>
      </c>
      <c r="F47" s="102">
        <f>SUM(F4:F46)</f>
        <v>3825.19</v>
      </c>
      <c r="G47" s="102">
        <f>SUM(G4:G46)</f>
        <v>1739.895</v>
      </c>
      <c r="H47" s="102">
        <f>SUM(H4:H46)</f>
        <v>1477.9</v>
      </c>
      <c r="I47" s="102">
        <f>SUM(I4:I46)</f>
        <v>13.5</v>
      </c>
      <c r="J47" s="102"/>
      <c r="K47" s="108"/>
      <c r="L47" s="102"/>
      <c r="M47" s="102">
        <f>SUM(M4:M46)</f>
        <v>3732868.37844559</v>
      </c>
      <c r="N47" s="102">
        <f>SUM(N4:N46)</f>
        <v>2106282.29910571</v>
      </c>
      <c r="O47" s="102">
        <f>SUM(O4:O46)</f>
        <v>870104.823233214</v>
      </c>
      <c r="P47" s="102">
        <f>SUM(P4:P46)</f>
        <v>748591.52460219</v>
      </c>
      <c r="Q47" s="102">
        <f>SUM(Q4:Q46)</f>
        <v>7889.73150448152</v>
      </c>
    </row>
  </sheetData>
  <mergeCells count="11">
    <mergeCell ref="A1:Q1"/>
    <mergeCell ref="F2:I2"/>
    <mergeCell ref="N2:Q2"/>
    <mergeCell ref="A2:A3"/>
    <mergeCell ref="B2:B3"/>
    <mergeCell ref="C2:C3"/>
    <mergeCell ref="D2:D3"/>
    <mergeCell ref="E2:E3"/>
    <mergeCell ref="J2:J3"/>
    <mergeCell ref="L2:L3"/>
    <mergeCell ref="M2:M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60" customWidth="1"/>
    <col min="2" max="2" width="8.25" style="60" customWidth="1"/>
    <col min="3" max="3" width="16.75" style="60" customWidth="1"/>
    <col min="4" max="4" width="7.25" style="60" customWidth="1"/>
    <col min="5" max="5" width="10.6333333333333" style="47" customWidth="1"/>
    <col min="6" max="6" width="7.25" style="60" customWidth="1"/>
    <col min="7" max="7" width="12.5" style="47" customWidth="1"/>
    <col min="8" max="8" width="11.25" style="47" customWidth="1"/>
    <col min="9" max="9" width="13" style="47" customWidth="1"/>
    <col min="10" max="16384" width="9" style="47"/>
  </cols>
  <sheetData>
    <row r="1" ht="24" customHeight="1" spans="1:9">
      <c r="A1" s="66" t="s">
        <v>142</v>
      </c>
      <c r="E1" s="60"/>
      <c r="G1" s="60"/>
      <c r="H1" s="60"/>
      <c r="I1" s="60"/>
    </row>
    <row r="3" customHeight="1" spans="1:9">
      <c r="A3" s="14" t="s">
        <v>143</v>
      </c>
      <c r="B3" s="14"/>
      <c r="C3" s="14"/>
      <c r="D3" s="14"/>
      <c r="E3" s="14" t="s">
        <v>144</v>
      </c>
      <c r="F3" s="14" t="s">
        <v>92</v>
      </c>
      <c r="G3" s="14"/>
      <c r="H3" s="14" t="s">
        <v>145</v>
      </c>
      <c r="I3" s="14"/>
    </row>
    <row r="4" customHeight="1" spans="1:9">
      <c r="A4" s="14" t="s">
        <v>82</v>
      </c>
      <c r="B4" s="14"/>
      <c r="C4" s="14"/>
      <c r="D4" s="14"/>
      <c r="E4" s="14" t="s">
        <v>146</v>
      </c>
      <c r="F4" s="14" t="str">
        <f>MID(F3,7,9)</f>
        <v>外平开窗</v>
      </c>
      <c r="G4" s="14"/>
      <c r="H4" s="14"/>
      <c r="I4" s="14"/>
    </row>
    <row r="5" customHeight="1" spans="1:9">
      <c r="A5" s="13" t="s">
        <v>147</v>
      </c>
      <c r="B5" s="14">
        <v>0</v>
      </c>
      <c r="C5" s="13" t="s">
        <v>148</v>
      </c>
      <c r="D5" s="14">
        <v>0</v>
      </c>
      <c r="E5" s="14" t="s">
        <v>149</v>
      </c>
      <c r="F5" s="67"/>
      <c r="G5" s="11" t="s">
        <v>150</v>
      </c>
      <c r="H5" s="14"/>
      <c r="I5" s="14"/>
    </row>
    <row r="6" customHeight="1" spans="1:9">
      <c r="A6" s="13"/>
      <c r="B6" s="14"/>
      <c r="C6" s="13"/>
      <c r="D6" s="14"/>
      <c r="E6" s="14"/>
      <c r="F6" s="67"/>
      <c r="G6" s="12" t="s">
        <v>151</v>
      </c>
      <c r="H6" s="14"/>
      <c r="I6" s="14"/>
    </row>
    <row r="7" customHeight="1" spans="1:9">
      <c r="A7" s="14" t="s">
        <v>38</v>
      </c>
      <c r="B7" s="14" t="s">
        <v>152</v>
      </c>
      <c r="C7" s="14"/>
      <c r="D7" s="14" t="s">
        <v>153</v>
      </c>
      <c r="E7" s="14" t="s">
        <v>154</v>
      </c>
      <c r="F7" s="14" t="s">
        <v>155</v>
      </c>
      <c r="G7" s="11" t="s">
        <v>156</v>
      </c>
      <c r="H7" s="11" t="s">
        <v>157</v>
      </c>
      <c r="I7" s="12" t="s">
        <v>158</v>
      </c>
    </row>
    <row r="8" customHeight="1" spans="1:9">
      <c r="A8" s="68">
        <v>1</v>
      </c>
      <c r="B8" s="68" t="s">
        <v>159</v>
      </c>
      <c r="C8" s="68"/>
      <c r="D8" s="68"/>
      <c r="E8" s="68"/>
      <c r="F8" s="68"/>
      <c r="G8" s="68"/>
      <c r="H8" s="69">
        <f>SUM(H9:H10)</f>
        <v>165.3112015</v>
      </c>
      <c r="I8" s="86"/>
    </row>
    <row r="9" customHeight="1" spans="1:9">
      <c r="A9" s="14">
        <v>1.1</v>
      </c>
      <c r="B9" s="70" t="s">
        <v>160</v>
      </c>
      <c r="C9" s="71"/>
      <c r="D9" s="14" t="s">
        <v>161</v>
      </c>
      <c r="E9" s="67">
        <v>5.03</v>
      </c>
      <c r="F9" s="72">
        <v>0.07</v>
      </c>
      <c r="G9" s="73">
        <f>主要材料品牌单价!E$5/1000</f>
        <v>26.8</v>
      </c>
      <c r="H9" s="73">
        <f t="shared" ref="H9:H12" si="0">E9*(1+F9)*G9</f>
        <v>144.24028</v>
      </c>
      <c r="I9" s="11"/>
    </row>
    <row r="10" customHeight="1" spans="1:9">
      <c r="A10" s="14">
        <v>1.2</v>
      </c>
      <c r="B10" s="14" t="s">
        <v>162</v>
      </c>
      <c r="C10" s="14"/>
      <c r="D10" s="14" t="s">
        <v>161</v>
      </c>
      <c r="E10" s="67">
        <f>E9*0.15</f>
        <v>0.7545</v>
      </c>
      <c r="F10" s="72">
        <v>0.07</v>
      </c>
      <c r="G10" s="73">
        <f>(主要材料品牌单价!E$6-1000)/1000</f>
        <v>26.1</v>
      </c>
      <c r="H10" s="73">
        <f t="shared" si="0"/>
        <v>21.0709215</v>
      </c>
      <c r="I10" s="11"/>
    </row>
    <row r="11" customHeight="1" spans="1:9">
      <c r="A11" s="68">
        <v>2</v>
      </c>
      <c r="B11" s="68" t="s">
        <v>163</v>
      </c>
      <c r="C11" s="68"/>
      <c r="D11" s="68"/>
      <c r="E11" s="68"/>
      <c r="F11" s="68"/>
      <c r="G11" s="68"/>
      <c r="H11" s="74">
        <f>H12</f>
        <v>86.9004</v>
      </c>
      <c r="I11" s="86"/>
    </row>
    <row r="12" customHeight="1" spans="1:9">
      <c r="A12" s="14">
        <v>2.1</v>
      </c>
      <c r="B12" s="14" t="s">
        <v>164</v>
      </c>
      <c r="C12" s="14"/>
      <c r="D12" s="14" t="s">
        <v>165</v>
      </c>
      <c r="E12" s="73">
        <v>1.2</v>
      </c>
      <c r="F12" s="72">
        <v>0.01</v>
      </c>
      <c r="G12" s="73">
        <f>主要材料品牌单价!E$17</f>
        <v>71.7</v>
      </c>
      <c r="H12" s="73">
        <f>E12*(1+F12)*G12</f>
        <v>86.9004</v>
      </c>
      <c r="I12" s="11"/>
    </row>
    <row r="13" customHeight="1" spans="1:9">
      <c r="A13" s="68">
        <v>3</v>
      </c>
      <c r="B13" s="68" t="s">
        <v>166</v>
      </c>
      <c r="C13" s="68"/>
      <c r="D13" s="68"/>
      <c r="E13" s="68"/>
      <c r="F13" s="68"/>
      <c r="G13" s="68"/>
      <c r="H13" s="74">
        <f>SUM(H14:H14)</f>
        <v>43.3296</v>
      </c>
      <c r="I13" s="86"/>
    </row>
    <row r="14" customHeight="1" spans="1:9">
      <c r="A14" s="14">
        <v>3.1</v>
      </c>
      <c r="B14" s="14" t="s">
        <v>167</v>
      </c>
      <c r="C14" s="14"/>
      <c r="D14" s="14" t="s">
        <v>168</v>
      </c>
      <c r="E14" s="73">
        <v>0.9</v>
      </c>
      <c r="F14" s="72">
        <v>0.003</v>
      </c>
      <c r="G14" s="11">
        <f>主要材料品牌单价!E$29</f>
        <v>48</v>
      </c>
      <c r="H14" s="73">
        <f>E14*(1+F14)*G14</f>
        <v>43.3296</v>
      </c>
      <c r="I14" s="11"/>
    </row>
    <row r="15" customHeight="1" spans="1:9">
      <c r="A15" s="68">
        <v>4</v>
      </c>
      <c r="B15" s="68" t="s">
        <v>169</v>
      </c>
      <c r="C15" s="68"/>
      <c r="D15" s="68"/>
      <c r="E15" s="68"/>
      <c r="F15" s="68"/>
      <c r="G15" s="68"/>
      <c r="H15" s="69">
        <f>SUM(H16:H20)</f>
        <v>29.45</v>
      </c>
      <c r="I15" s="86" t="s">
        <v>170</v>
      </c>
    </row>
    <row r="16" customHeight="1" spans="1:9">
      <c r="A16" s="75">
        <v>4.1</v>
      </c>
      <c r="B16" s="14" t="s">
        <v>171</v>
      </c>
      <c r="C16" s="14"/>
      <c r="D16" s="14" t="s">
        <v>172</v>
      </c>
      <c r="E16" s="75">
        <v>0.5</v>
      </c>
      <c r="F16" s="75"/>
      <c r="G16" s="75">
        <f>主要材料品牌单价!E$44</f>
        <v>11.5</v>
      </c>
      <c r="H16" s="73">
        <f t="shared" ref="H16:H20" si="1">E16*(1+F16)*G16</f>
        <v>5.75</v>
      </c>
      <c r="I16" s="11"/>
    </row>
    <row r="17" customHeight="1" spans="1:9">
      <c r="A17" s="75">
        <v>4.2</v>
      </c>
      <c r="B17" s="70" t="s">
        <v>173</v>
      </c>
      <c r="C17" s="71"/>
      <c r="D17" s="14" t="s">
        <v>172</v>
      </c>
      <c r="E17" s="76">
        <v>0.8</v>
      </c>
      <c r="F17" s="75"/>
      <c r="G17" s="75">
        <f>主要材料品牌单价!E$43</f>
        <v>11.5</v>
      </c>
      <c r="H17" s="73">
        <f t="shared" si="1"/>
        <v>9.2</v>
      </c>
      <c r="I17" s="11"/>
    </row>
    <row r="18" customHeight="1" spans="1:9">
      <c r="A18" s="75">
        <v>4.3</v>
      </c>
      <c r="B18" s="70" t="s">
        <v>174</v>
      </c>
      <c r="C18" s="71"/>
      <c r="D18" s="14" t="s">
        <v>172</v>
      </c>
      <c r="E18" s="76">
        <v>0.2</v>
      </c>
      <c r="F18" s="75"/>
      <c r="G18" s="75">
        <f>主要材料品牌单价!E$45</f>
        <v>13.5</v>
      </c>
      <c r="H18" s="73">
        <f t="shared" si="1"/>
        <v>2.7</v>
      </c>
      <c r="I18" s="11"/>
    </row>
    <row r="19" customHeight="1" spans="1:9">
      <c r="A19" s="75">
        <v>4.4</v>
      </c>
      <c r="B19" s="77" t="s">
        <v>175</v>
      </c>
      <c r="C19" s="78"/>
      <c r="D19" s="14" t="s">
        <v>172</v>
      </c>
      <c r="E19" s="67">
        <v>0.1</v>
      </c>
      <c r="F19" s="14"/>
      <c r="G19" s="75">
        <f>主要材料品牌单价!E$46</f>
        <v>18</v>
      </c>
      <c r="H19" s="73">
        <f t="shared" si="1"/>
        <v>1.8</v>
      </c>
      <c r="I19" s="11"/>
    </row>
    <row r="20" customHeight="1" spans="1:9">
      <c r="A20" s="75">
        <v>4.5</v>
      </c>
      <c r="B20" s="79" t="s">
        <v>176</v>
      </c>
      <c r="C20" s="79"/>
      <c r="D20" s="14" t="s">
        <v>177</v>
      </c>
      <c r="E20" s="67">
        <v>1</v>
      </c>
      <c r="F20" s="14"/>
      <c r="G20" s="75">
        <v>10</v>
      </c>
      <c r="H20" s="73">
        <f t="shared" si="1"/>
        <v>10</v>
      </c>
      <c r="I20" s="11"/>
    </row>
    <row r="21" customHeight="1" spans="1:9">
      <c r="A21" s="68">
        <v>5</v>
      </c>
      <c r="B21" s="68" t="s">
        <v>178</v>
      </c>
      <c r="C21" s="68"/>
      <c r="D21" s="68"/>
      <c r="E21" s="68"/>
      <c r="F21" s="68"/>
      <c r="G21" s="68"/>
      <c r="H21" s="69">
        <f>SUM(H22:H24)</f>
        <v>7.6</v>
      </c>
      <c r="I21" s="86" t="s">
        <v>170</v>
      </c>
    </row>
    <row r="22" customHeight="1" spans="1:9">
      <c r="A22" s="75">
        <v>5.1</v>
      </c>
      <c r="B22" s="14" t="s">
        <v>179</v>
      </c>
      <c r="C22" s="14"/>
      <c r="D22" s="14" t="s">
        <v>180</v>
      </c>
      <c r="E22" s="76">
        <v>0.2</v>
      </c>
      <c r="F22" s="75"/>
      <c r="G22" s="75">
        <f>主要材料品牌单价!E48</f>
        <v>13</v>
      </c>
      <c r="H22" s="73">
        <f>E22*(1+F22)*G22</f>
        <v>2.6</v>
      </c>
      <c r="I22" s="11"/>
    </row>
    <row r="23" customHeight="1" spans="1:9">
      <c r="A23" s="75">
        <v>5.2</v>
      </c>
      <c r="B23" s="70" t="s">
        <v>181</v>
      </c>
      <c r="C23" s="71"/>
      <c r="D23" s="14" t="s">
        <v>177</v>
      </c>
      <c r="E23" s="76">
        <v>0</v>
      </c>
      <c r="F23" s="75"/>
      <c r="G23" s="75"/>
      <c r="H23" s="73">
        <f>E23*(1+F23)*G23</f>
        <v>0</v>
      </c>
      <c r="I23" s="11"/>
    </row>
    <row r="24" customHeight="1" spans="1:9">
      <c r="A24" s="75">
        <v>5.3</v>
      </c>
      <c r="B24" s="80" t="s">
        <v>182</v>
      </c>
      <c r="C24" s="81"/>
      <c r="D24" s="82" t="s">
        <v>168</v>
      </c>
      <c r="E24" s="67">
        <v>5</v>
      </c>
      <c r="F24" s="14"/>
      <c r="G24" s="75"/>
      <c r="H24" s="73">
        <f>E24</f>
        <v>5</v>
      </c>
      <c r="I24" s="11" t="s">
        <v>170</v>
      </c>
    </row>
    <row r="25" customHeight="1" spans="1:9">
      <c r="A25" s="83">
        <v>6</v>
      </c>
      <c r="B25" s="82" t="s">
        <v>183</v>
      </c>
      <c r="C25" s="82"/>
      <c r="D25" s="82" t="s">
        <v>168</v>
      </c>
      <c r="E25" s="82">
        <v>1</v>
      </c>
      <c r="F25" s="68">
        <v>0</v>
      </c>
      <c r="G25" s="75">
        <v>30</v>
      </c>
      <c r="H25" s="69">
        <f>E25*(1+F25)*G25</f>
        <v>30</v>
      </c>
      <c r="I25" s="86" t="s">
        <v>170</v>
      </c>
    </row>
    <row r="26" customHeight="1" spans="1:9">
      <c r="A26" s="68">
        <v>7</v>
      </c>
      <c r="B26" s="84" t="s">
        <v>184</v>
      </c>
      <c r="C26" s="85"/>
      <c r="D26" s="82" t="s">
        <v>168</v>
      </c>
      <c r="E26" s="82">
        <v>1</v>
      </c>
      <c r="F26" s="68">
        <v>0</v>
      </c>
      <c r="G26" s="75">
        <v>45</v>
      </c>
      <c r="H26" s="69">
        <f t="shared" ref="H25:H31" si="2">E26*(1+F26)*G26</f>
        <v>45</v>
      </c>
      <c r="I26" s="86" t="s">
        <v>170</v>
      </c>
    </row>
    <row r="27" customHeight="1" spans="1:9">
      <c r="A27" s="68">
        <v>8</v>
      </c>
      <c r="B27" s="82" t="s">
        <v>185</v>
      </c>
      <c r="C27" s="82"/>
      <c r="D27" s="82" t="s">
        <v>168</v>
      </c>
      <c r="E27" s="82">
        <v>1</v>
      </c>
      <c r="F27" s="68">
        <v>0</v>
      </c>
      <c r="G27" s="75">
        <v>3</v>
      </c>
      <c r="H27" s="69">
        <f t="shared" si="2"/>
        <v>3</v>
      </c>
      <c r="I27" s="86" t="s">
        <v>170</v>
      </c>
    </row>
    <row r="28" customHeight="1" spans="1:9">
      <c r="A28" s="82">
        <v>9</v>
      </c>
      <c r="B28" s="82" t="s">
        <v>186</v>
      </c>
      <c r="C28" s="82"/>
      <c r="D28" s="82" t="s">
        <v>168</v>
      </c>
      <c r="E28" s="82">
        <v>1</v>
      </c>
      <c r="F28" s="82">
        <v>0</v>
      </c>
      <c r="G28" s="75">
        <v>0.5</v>
      </c>
      <c r="H28" s="69">
        <f t="shared" si="2"/>
        <v>0.5</v>
      </c>
      <c r="I28" s="86" t="s">
        <v>170</v>
      </c>
    </row>
    <row r="29" customHeight="1" spans="1:9">
      <c r="A29" s="82">
        <v>10</v>
      </c>
      <c r="B29" s="82" t="s">
        <v>187</v>
      </c>
      <c r="C29" s="82"/>
      <c r="D29" s="82" t="s">
        <v>168</v>
      </c>
      <c r="E29" s="82">
        <v>1</v>
      </c>
      <c r="F29" s="82">
        <v>0</v>
      </c>
      <c r="G29" s="75">
        <v>0.5</v>
      </c>
      <c r="H29" s="69">
        <f t="shared" si="2"/>
        <v>0.5</v>
      </c>
      <c r="I29" s="86" t="s">
        <v>170</v>
      </c>
    </row>
    <row r="30" customHeight="1" spans="1:9">
      <c r="A30" s="82">
        <v>11</v>
      </c>
      <c r="B30" s="84" t="s">
        <v>188</v>
      </c>
      <c r="C30" s="85"/>
      <c r="D30" s="82" t="s">
        <v>168</v>
      </c>
      <c r="E30" s="82">
        <v>1</v>
      </c>
      <c r="F30" s="82">
        <v>0</v>
      </c>
      <c r="G30" s="75">
        <v>1</v>
      </c>
      <c r="H30" s="69">
        <f t="shared" si="2"/>
        <v>1</v>
      </c>
      <c r="I30" s="86" t="s">
        <v>170</v>
      </c>
    </row>
    <row r="31" customHeight="1" spans="1:9">
      <c r="A31" s="82">
        <v>12</v>
      </c>
      <c r="B31" s="82" t="s">
        <v>189</v>
      </c>
      <c r="C31" s="82"/>
      <c r="D31" s="82" t="s">
        <v>168</v>
      </c>
      <c r="E31" s="82">
        <v>1</v>
      </c>
      <c r="F31" s="82">
        <v>0</v>
      </c>
      <c r="G31" s="75">
        <v>0.5</v>
      </c>
      <c r="H31" s="69">
        <f t="shared" si="2"/>
        <v>0.5</v>
      </c>
      <c r="I31" s="86" t="s">
        <v>170</v>
      </c>
    </row>
    <row r="32" customHeight="1" spans="1:9">
      <c r="A32" s="82">
        <v>13</v>
      </c>
      <c r="B32" s="84" t="s">
        <v>190</v>
      </c>
      <c r="C32" s="85"/>
      <c r="D32" s="82" t="s">
        <v>6</v>
      </c>
      <c r="E32" s="84" t="s">
        <v>191</v>
      </c>
      <c r="F32" s="85"/>
      <c r="G32" s="86"/>
      <c r="H32" s="69">
        <f>H8+H11+H15+H21+H25+H26+H27+H28+H29+H31+H30+H13</f>
        <v>413.0912015</v>
      </c>
      <c r="I32" s="89" t="s">
        <v>192</v>
      </c>
    </row>
    <row r="33" customHeight="1" spans="1:9">
      <c r="A33" s="82">
        <v>14</v>
      </c>
      <c r="B33" s="84" t="s">
        <v>193</v>
      </c>
      <c r="C33" s="85"/>
      <c r="D33" s="82" t="s">
        <v>6</v>
      </c>
      <c r="E33" s="84" t="s">
        <v>194</v>
      </c>
      <c r="F33" s="85"/>
      <c r="G33" s="87">
        <v>0.08</v>
      </c>
      <c r="H33" s="69">
        <f>H32*(G33)</f>
        <v>33.04729612</v>
      </c>
      <c r="I33" s="90"/>
    </row>
    <row r="34" customHeight="1" spans="1:9">
      <c r="A34" s="82">
        <v>15</v>
      </c>
      <c r="B34" s="84" t="s">
        <v>195</v>
      </c>
      <c r="C34" s="85"/>
      <c r="D34" s="82" t="s">
        <v>6</v>
      </c>
      <c r="E34" s="84" t="s">
        <v>196</v>
      </c>
      <c r="F34" s="85"/>
      <c r="G34" s="86"/>
      <c r="H34" s="69">
        <f>H32+H33</f>
        <v>446.13849762</v>
      </c>
      <c r="I34" s="91">
        <f>H34</f>
        <v>446.13849762</v>
      </c>
    </row>
    <row r="36" customHeight="1" spans="1:9">
      <c r="A36" s="14" t="s">
        <v>143</v>
      </c>
      <c r="B36" s="88"/>
      <c r="C36" s="88"/>
      <c r="D36" s="88"/>
      <c r="E36" s="14" t="s">
        <v>144</v>
      </c>
      <c r="F36" s="14" t="s">
        <v>99</v>
      </c>
      <c r="G36" s="14"/>
      <c r="H36" s="14" t="s">
        <v>145</v>
      </c>
      <c r="I36" s="14"/>
    </row>
    <row r="37" customHeight="1" spans="1:9">
      <c r="A37" s="14" t="s">
        <v>82</v>
      </c>
      <c r="B37" s="14" t="str">
        <f>工程量清单清单!C10</f>
        <v>900*1400</v>
      </c>
      <c r="C37" s="14"/>
      <c r="D37" s="14"/>
      <c r="E37" s="14" t="s">
        <v>146</v>
      </c>
      <c r="F37" s="14" t="str">
        <f>MID(F36,7,9)</f>
        <v>固定</v>
      </c>
      <c r="G37" s="14"/>
      <c r="H37" s="14"/>
      <c r="I37" s="14"/>
    </row>
    <row r="38" customHeight="1" spans="1:9">
      <c r="A38" s="13" t="s">
        <v>147</v>
      </c>
      <c r="B38" s="14">
        <v>900</v>
      </c>
      <c r="C38" s="13" t="s">
        <v>148</v>
      </c>
      <c r="D38" s="14">
        <v>1400</v>
      </c>
      <c r="E38" s="14" t="s">
        <v>149</v>
      </c>
      <c r="F38" s="67"/>
      <c r="G38" s="11" t="s">
        <v>150</v>
      </c>
      <c r="H38" s="14"/>
      <c r="I38" s="14"/>
    </row>
    <row r="39" customHeight="1" spans="1:9">
      <c r="A39" s="13"/>
      <c r="B39" s="14"/>
      <c r="C39" s="13"/>
      <c r="D39" s="14"/>
      <c r="E39" s="14"/>
      <c r="F39" s="67"/>
      <c r="G39" s="12" t="s">
        <v>151</v>
      </c>
      <c r="H39" s="14"/>
      <c r="I39" s="14"/>
    </row>
    <row r="40" customHeight="1" spans="1:9">
      <c r="A40" s="14" t="s">
        <v>38</v>
      </c>
      <c r="B40" s="14" t="s">
        <v>152</v>
      </c>
      <c r="C40" s="14"/>
      <c r="D40" s="14" t="s">
        <v>153</v>
      </c>
      <c r="E40" s="14" t="s">
        <v>154</v>
      </c>
      <c r="F40" s="14" t="s">
        <v>155</v>
      </c>
      <c r="G40" s="11" t="s">
        <v>156</v>
      </c>
      <c r="H40" s="11" t="s">
        <v>157</v>
      </c>
      <c r="I40" s="12" t="s">
        <v>158</v>
      </c>
    </row>
    <row r="41" customHeight="1" spans="1:9">
      <c r="A41" s="68">
        <v>1</v>
      </c>
      <c r="B41" s="68" t="s">
        <v>159</v>
      </c>
      <c r="C41" s="68"/>
      <c r="D41" s="68"/>
      <c r="E41" s="68"/>
      <c r="F41" s="68"/>
      <c r="G41" s="68"/>
      <c r="H41" s="69">
        <f>SUM(H42:H43)</f>
        <v>188.9740375</v>
      </c>
      <c r="I41" s="86"/>
    </row>
    <row r="42" customHeight="1" spans="1:9">
      <c r="A42" s="14">
        <v>1.1</v>
      </c>
      <c r="B42" s="70" t="s">
        <v>160</v>
      </c>
      <c r="C42" s="71"/>
      <c r="D42" s="14" t="s">
        <v>161</v>
      </c>
      <c r="E42" s="67">
        <v>5.75</v>
      </c>
      <c r="F42" s="72">
        <v>0.07</v>
      </c>
      <c r="G42" s="73">
        <f>主要材料品牌单价!E$5/1000</f>
        <v>26.8</v>
      </c>
      <c r="H42" s="73">
        <f t="shared" ref="H42:H45" si="3">E42*(1+F42)*G42</f>
        <v>164.887</v>
      </c>
      <c r="I42" s="11"/>
    </row>
    <row r="43" customHeight="1" spans="1:9">
      <c r="A43" s="14">
        <v>1.2</v>
      </c>
      <c r="B43" s="14" t="s">
        <v>162</v>
      </c>
      <c r="C43" s="14"/>
      <c r="D43" s="14" t="s">
        <v>161</v>
      </c>
      <c r="E43" s="67">
        <f>E42*0.15</f>
        <v>0.8625</v>
      </c>
      <c r="F43" s="72">
        <v>0.07</v>
      </c>
      <c r="G43" s="73">
        <f>(主要材料品牌单价!E$6-1000)/1000</f>
        <v>26.1</v>
      </c>
      <c r="H43" s="73">
        <f t="shared" si="3"/>
        <v>24.0870375</v>
      </c>
      <c r="I43" s="11"/>
    </row>
    <row r="44" customHeight="1" spans="1:9">
      <c r="A44" s="68">
        <v>2</v>
      </c>
      <c r="B44" s="68" t="s">
        <v>163</v>
      </c>
      <c r="C44" s="68"/>
      <c r="D44" s="68"/>
      <c r="E44" s="68"/>
      <c r="F44" s="68"/>
      <c r="G44" s="68"/>
      <c r="H44" s="74">
        <f>H45</f>
        <v>0</v>
      </c>
      <c r="I44" s="86"/>
    </row>
    <row r="45" customHeight="1" spans="1:9">
      <c r="A45" s="14">
        <v>2.1</v>
      </c>
      <c r="B45" s="14" t="s">
        <v>164</v>
      </c>
      <c r="C45" s="14"/>
      <c r="D45" s="14" t="s">
        <v>165</v>
      </c>
      <c r="E45" s="73">
        <v>0</v>
      </c>
      <c r="F45" s="72">
        <v>0.01</v>
      </c>
      <c r="G45" s="73">
        <v>0</v>
      </c>
      <c r="H45" s="73">
        <f t="shared" si="3"/>
        <v>0</v>
      </c>
      <c r="I45" s="11"/>
    </row>
    <row r="46" customHeight="1" spans="1:9">
      <c r="A46" s="68">
        <v>3</v>
      </c>
      <c r="B46" s="68" t="s">
        <v>166</v>
      </c>
      <c r="C46" s="68"/>
      <c r="D46" s="68"/>
      <c r="E46" s="68"/>
      <c r="F46" s="68"/>
      <c r="G46" s="68"/>
      <c r="H46" s="74">
        <f>SUM(H47:H47)</f>
        <v>43.3296</v>
      </c>
      <c r="I46" s="86"/>
    </row>
    <row r="47" customHeight="1" spans="1:9">
      <c r="A47" s="14">
        <v>3.1</v>
      </c>
      <c r="B47" s="14" t="s">
        <v>167</v>
      </c>
      <c r="C47" s="14"/>
      <c r="D47" s="14" t="s">
        <v>168</v>
      </c>
      <c r="E47" s="73">
        <v>0.9</v>
      </c>
      <c r="F47" s="72">
        <v>0.003</v>
      </c>
      <c r="G47" s="11">
        <f>主要材料品牌单价!E$29</f>
        <v>48</v>
      </c>
      <c r="H47" s="73">
        <f t="shared" ref="H47:H53" si="4">E47*(1+F47)*G47</f>
        <v>43.3296</v>
      </c>
      <c r="I47" s="11"/>
    </row>
    <row r="48" customHeight="1" spans="1:9">
      <c r="A48" s="68">
        <v>4</v>
      </c>
      <c r="B48" s="68" t="s">
        <v>169</v>
      </c>
      <c r="C48" s="68"/>
      <c r="D48" s="68"/>
      <c r="E48" s="68"/>
      <c r="F48" s="68"/>
      <c r="G48" s="68"/>
      <c r="H48" s="69">
        <f>SUM(H49:H53)</f>
        <v>29.45</v>
      </c>
      <c r="I48" s="86" t="s">
        <v>170</v>
      </c>
    </row>
    <row r="49" customHeight="1" spans="1:9">
      <c r="A49" s="75">
        <v>4.1</v>
      </c>
      <c r="B49" s="14" t="s">
        <v>171</v>
      </c>
      <c r="C49" s="14"/>
      <c r="D49" s="14" t="s">
        <v>172</v>
      </c>
      <c r="E49" s="75">
        <v>0.5</v>
      </c>
      <c r="F49" s="75"/>
      <c r="G49" s="75">
        <f>主要材料品牌单价!E$44</f>
        <v>11.5</v>
      </c>
      <c r="H49" s="73">
        <f t="shared" si="4"/>
        <v>5.75</v>
      </c>
      <c r="I49" s="11"/>
    </row>
    <row r="50" customHeight="1" spans="1:9">
      <c r="A50" s="75">
        <v>4.2</v>
      </c>
      <c r="B50" s="70" t="s">
        <v>173</v>
      </c>
      <c r="C50" s="71"/>
      <c r="D50" s="14" t="s">
        <v>172</v>
      </c>
      <c r="E50" s="76">
        <v>0.8</v>
      </c>
      <c r="F50" s="75"/>
      <c r="G50" s="75">
        <f>主要材料品牌单价!E$43</f>
        <v>11.5</v>
      </c>
      <c r="H50" s="73">
        <f t="shared" si="4"/>
        <v>9.2</v>
      </c>
      <c r="I50" s="11"/>
    </row>
    <row r="51" customHeight="1" spans="1:9">
      <c r="A51" s="75">
        <v>4.3</v>
      </c>
      <c r="B51" s="70" t="s">
        <v>174</v>
      </c>
      <c r="C51" s="71"/>
      <c r="D51" s="14" t="s">
        <v>172</v>
      </c>
      <c r="E51" s="76">
        <v>0.2</v>
      </c>
      <c r="F51" s="75"/>
      <c r="G51" s="75">
        <f>主要材料品牌单价!E$45</f>
        <v>13.5</v>
      </c>
      <c r="H51" s="73">
        <f t="shared" si="4"/>
        <v>2.7</v>
      </c>
      <c r="I51" s="11"/>
    </row>
    <row r="52" customHeight="1" spans="1:9">
      <c r="A52" s="75">
        <v>4.4</v>
      </c>
      <c r="B52" s="77" t="s">
        <v>175</v>
      </c>
      <c r="C52" s="78"/>
      <c r="D52" s="14" t="s">
        <v>172</v>
      </c>
      <c r="E52" s="67">
        <v>0.1</v>
      </c>
      <c r="F52" s="14"/>
      <c r="G52" s="75">
        <f>主要材料品牌单价!E$46</f>
        <v>18</v>
      </c>
      <c r="H52" s="73">
        <f t="shared" si="4"/>
        <v>1.8</v>
      </c>
      <c r="I52" s="11"/>
    </row>
    <row r="53" customHeight="1" spans="1:9">
      <c r="A53" s="75">
        <v>4.5</v>
      </c>
      <c r="B53" s="79" t="s">
        <v>176</v>
      </c>
      <c r="C53" s="79"/>
      <c r="D53" s="14" t="s">
        <v>177</v>
      </c>
      <c r="E53" s="67">
        <v>1</v>
      </c>
      <c r="F53" s="14"/>
      <c r="G53" s="75">
        <v>10</v>
      </c>
      <c r="H53" s="73">
        <f t="shared" si="4"/>
        <v>10</v>
      </c>
      <c r="I53" s="11"/>
    </row>
    <row r="54" customHeight="1" spans="1:9">
      <c r="A54" s="68">
        <v>5</v>
      </c>
      <c r="B54" s="68" t="s">
        <v>178</v>
      </c>
      <c r="C54" s="68"/>
      <c r="D54" s="68"/>
      <c r="E54" s="68"/>
      <c r="F54" s="68"/>
      <c r="G54" s="68"/>
      <c r="H54" s="69">
        <f>SUM(H55:H57)</f>
        <v>5</v>
      </c>
      <c r="I54" s="86" t="s">
        <v>170</v>
      </c>
    </row>
    <row r="55" customHeight="1" spans="1:9">
      <c r="A55" s="75">
        <v>5.1</v>
      </c>
      <c r="B55" s="14" t="s">
        <v>179</v>
      </c>
      <c r="C55" s="14"/>
      <c r="D55" s="14" t="s">
        <v>180</v>
      </c>
      <c r="E55" s="76">
        <v>0</v>
      </c>
      <c r="F55" s="75"/>
      <c r="G55" s="75"/>
      <c r="H55" s="73">
        <f t="shared" ref="H55:H64" si="5">E55*(1+F55)*G55</f>
        <v>0</v>
      </c>
      <c r="I55" s="11"/>
    </row>
    <row r="56" customHeight="1" spans="1:9">
      <c r="A56" s="75">
        <v>5.2</v>
      </c>
      <c r="B56" s="70" t="s">
        <v>181</v>
      </c>
      <c r="C56" s="71"/>
      <c r="D56" s="14" t="s">
        <v>177</v>
      </c>
      <c r="E56" s="76">
        <v>0</v>
      </c>
      <c r="F56" s="75"/>
      <c r="G56" s="75"/>
      <c r="H56" s="73">
        <f t="shared" si="5"/>
        <v>0</v>
      </c>
      <c r="I56" s="11"/>
    </row>
    <row r="57" customHeight="1" spans="1:9">
      <c r="A57" s="75">
        <v>5.3</v>
      </c>
      <c r="B57" s="80" t="s">
        <v>182</v>
      </c>
      <c r="C57" s="81"/>
      <c r="D57" s="82" t="s">
        <v>168</v>
      </c>
      <c r="E57" s="67">
        <v>5</v>
      </c>
      <c r="F57" s="14"/>
      <c r="G57" s="75"/>
      <c r="H57" s="73">
        <v>5</v>
      </c>
      <c r="I57" s="11" t="s">
        <v>170</v>
      </c>
    </row>
    <row r="58" customHeight="1" spans="1:9">
      <c r="A58" s="83">
        <v>6</v>
      </c>
      <c r="B58" s="82" t="s">
        <v>183</v>
      </c>
      <c r="C58" s="82"/>
      <c r="D58" s="82" t="s">
        <v>168</v>
      </c>
      <c r="E58" s="82">
        <v>1</v>
      </c>
      <c r="F58" s="68">
        <v>0</v>
      </c>
      <c r="G58" s="75">
        <v>25</v>
      </c>
      <c r="H58" s="69">
        <f t="shared" si="5"/>
        <v>25</v>
      </c>
      <c r="I58" s="86" t="s">
        <v>170</v>
      </c>
    </row>
    <row r="59" customHeight="1" spans="1:9">
      <c r="A59" s="68">
        <v>7</v>
      </c>
      <c r="B59" s="84" t="s">
        <v>184</v>
      </c>
      <c r="C59" s="85"/>
      <c r="D59" s="82" t="s">
        <v>168</v>
      </c>
      <c r="E59" s="82">
        <v>1</v>
      </c>
      <c r="F59" s="68">
        <v>0</v>
      </c>
      <c r="G59" s="75">
        <v>45</v>
      </c>
      <c r="H59" s="69">
        <f t="shared" si="5"/>
        <v>45</v>
      </c>
      <c r="I59" s="86" t="s">
        <v>170</v>
      </c>
    </row>
    <row r="60" customHeight="1" spans="1:9">
      <c r="A60" s="68">
        <v>8</v>
      </c>
      <c r="B60" s="82" t="s">
        <v>185</v>
      </c>
      <c r="C60" s="82"/>
      <c r="D60" s="82" t="s">
        <v>168</v>
      </c>
      <c r="E60" s="82">
        <v>1</v>
      </c>
      <c r="F60" s="68">
        <v>0</v>
      </c>
      <c r="G60" s="75">
        <v>3</v>
      </c>
      <c r="H60" s="69">
        <f t="shared" si="5"/>
        <v>3</v>
      </c>
      <c r="I60" s="86" t="s">
        <v>170</v>
      </c>
    </row>
    <row r="61" customHeight="1" spans="1:9">
      <c r="A61" s="82">
        <v>9</v>
      </c>
      <c r="B61" s="82" t="s">
        <v>186</v>
      </c>
      <c r="C61" s="82"/>
      <c r="D61" s="82" t="s">
        <v>168</v>
      </c>
      <c r="E61" s="82">
        <v>1</v>
      </c>
      <c r="F61" s="82">
        <v>0</v>
      </c>
      <c r="G61" s="75">
        <v>0.5</v>
      </c>
      <c r="H61" s="69">
        <f t="shared" si="5"/>
        <v>0.5</v>
      </c>
      <c r="I61" s="86" t="s">
        <v>170</v>
      </c>
    </row>
    <row r="62" customHeight="1" spans="1:9">
      <c r="A62" s="82">
        <v>10</v>
      </c>
      <c r="B62" s="82" t="s">
        <v>187</v>
      </c>
      <c r="C62" s="82"/>
      <c r="D62" s="82" t="s">
        <v>168</v>
      </c>
      <c r="E62" s="82">
        <v>1</v>
      </c>
      <c r="F62" s="82">
        <v>0</v>
      </c>
      <c r="G62" s="75">
        <v>0.5</v>
      </c>
      <c r="H62" s="69">
        <f t="shared" si="5"/>
        <v>0.5</v>
      </c>
      <c r="I62" s="86" t="s">
        <v>170</v>
      </c>
    </row>
    <row r="63" customHeight="1" spans="1:9">
      <c r="A63" s="82">
        <v>11</v>
      </c>
      <c r="B63" s="84" t="s">
        <v>188</v>
      </c>
      <c r="C63" s="85"/>
      <c r="D63" s="82" t="s">
        <v>168</v>
      </c>
      <c r="E63" s="82">
        <v>1</v>
      </c>
      <c r="F63" s="82">
        <v>0</v>
      </c>
      <c r="G63" s="75">
        <v>1</v>
      </c>
      <c r="H63" s="69">
        <f t="shared" si="5"/>
        <v>1</v>
      </c>
      <c r="I63" s="86" t="s">
        <v>170</v>
      </c>
    </row>
    <row r="64" customHeight="1" spans="1:9">
      <c r="A64" s="82">
        <v>12</v>
      </c>
      <c r="B64" s="82" t="s">
        <v>189</v>
      </c>
      <c r="C64" s="82"/>
      <c r="D64" s="82" t="s">
        <v>168</v>
      </c>
      <c r="E64" s="82">
        <v>1</v>
      </c>
      <c r="F64" s="82">
        <v>0</v>
      </c>
      <c r="G64" s="75">
        <v>0.5</v>
      </c>
      <c r="H64" s="69">
        <f t="shared" si="5"/>
        <v>0.5</v>
      </c>
      <c r="I64" s="86" t="s">
        <v>170</v>
      </c>
    </row>
    <row r="65" customHeight="1" spans="1:9">
      <c r="A65" s="82">
        <v>13</v>
      </c>
      <c r="B65" s="84" t="s">
        <v>190</v>
      </c>
      <c r="C65" s="85"/>
      <c r="D65" s="82" t="s">
        <v>6</v>
      </c>
      <c r="E65" s="84" t="s">
        <v>191</v>
      </c>
      <c r="F65" s="85"/>
      <c r="G65" s="86"/>
      <c r="H65" s="69">
        <f>H41+H44+H48+H54+H58+H59+H60+H61+H62+H64+H63+H46</f>
        <v>342.2536375</v>
      </c>
      <c r="I65" s="89" t="s">
        <v>192</v>
      </c>
    </row>
    <row r="66" customHeight="1" spans="1:9">
      <c r="A66" s="82">
        <v>14</v>
      </c>
      <c r="B66" s="84" t="s">
        <v>193</v>
      </c>
      <c r="C66" s="85"/>
      <c r="D66" s="82" t="s">
        <v>6</v>
      </c>
      <c r="E66" s="84" t="s">
        <v>194</v>
      </c>
      <c r="F66" s="85"/>
      <c r="G66" s="87">
        <v>0.08</v>
      </c>
      <c r="H66" s="69">
        <f>H65*(G66)</f>
        <v>27.380291</v>
      </c>
      <c r="I66" s="90"/>
    </row>
    <row r="67" customHeight="1" spans="1:9">
      <c r="A67" s="82">
        <v>15</v>
      </c>
      <c r="B67" s="84" t="s">
        <v>195</v>
      </c>
      <c r="C67" s="85"/>
      <c r="D67" s="82" t="s">
        <v>6</v>
      </c>
      <c r="E67" s="84" t="s">
        <v>196</v>
      </c>
      <c r="F67" s="85"/>
      <c r="G67" s="86"/>
      <c r="H67" s="69">
        <f>H65+H66</f>
        <v>369.6339285</v>
      </c>
      <c r="I67" s="91">
        <f>H67</f>
        <v>369.6339285</v>
      </c>
    </row>
    <row r="69" customHeight="1" spans="1:9">
      <c r="A69" s="14" t="s">
        <v>143</v>
      </c>
      <c r="B69" s="88"/>
      <c r="C69" s="88"/>
      <c r="D69" s="88"/>
      <c r="E69" s="14" t="s">
        <v>144</v>
      </c>
      <c r="F69" s="14" t="s">
        <v>100</v>
      </c>
      <c r="G69" s="14"/>
      <c r="H69" s="14" t="s">
        <v>145</v>
      </c>
      <c r="I69" s="14"/>
    </row>
    <row r="70" customHeight="1" spans="1:9">
      <c r="A70" s="14" t="s">
        <v>82</v>
      </c>
      <c r="B70" s="14"/>
      <c r="C70" s="14"/>
      <c r="D70" s="14"/>
      <c r="E70" s="14" t="s">
        <v>146</v>
      </c>
      <c r="F70" s="14" t="str">
        <f>MID(F69,7,9)</f>
        <v>内开窗</v>
      </c>
      <c r="G70" s="14"/>
      <c r="H70" s="14"/>
      <c r="I70" s="14"/>
    </row>
    <row r="71" customHeight="1" spans="1:9">
      <c r="A71" s="13" t="s">
        <v>147</v>
      </c>
      <c r="B71" s="14">
        <v>0</v>
      </c>
      <c r="C71" s="13" t="s">
        <v>148</v>
      </c>
      <c r="D71" s="14">
        <v>0</v>
      </c>
      <c r="E71" s="14" t="s">
        <v>149</v>
      </c>
      <c r="F71" s="67"/>
      <c r="G71" s="11" t="s">
        <v>150</v>
      </c>
      <c r="H71" s="14"/>
      <c r="I71" s="14"/>
    </row>
    <row r="72" customHeight="1" spans="1:9">
      <c r="A72" s="13"/>
      <c r="B72" s="14"/>
      <c r="C72" s="13"/>
      <c r="D72" s="14"/>
      <c r="E72" s="14"/>
      <c r="F72" s="67"/>
      <c r="G72" s="12" t="s">
        <v>151</v>
      </c>
      <c r="H72" s="14"/>
      <c r="I72" s="14"/>
    </row>
    <row r="73" customHeight="1" spans="1:9">
      <c r="A73" s="14" t="s">
        <v>38</v>
      </c>
      <c r="B73" s="14" t="s">
        <v>152</v>
      </c>
      <c r="C73" s="14"/>
      <c r="D73" s="14" t="s">
        <v>153</v>
      </c>
      <c r="E73" s="14" t="s">
        <v>154</v>
      </c>
      <c r="F73" s="14" t="s">
        <v>155</v>
      </c>
      <c r="G73" s="11" t="s">
        <v>156</v>
      </c>
      <c r="H73" s="11" t="s">
        <v>157</v>
      </c>
      <c r="I73" s="12" t="s">
        <v>158</v>
      </c>
    </row>
    <row r="74" customHeight="1" spans="1:9">
      <c r="A74" s="68">
        <v>1</v>
      </c>
      <c r="B74" s="68" t="s">
        <v>159</v>
      </c>
      <c r="C74" s="68"/>
      <c r="D74" s="68"/>
      <c r="E74" s="68"/>
      <c r="F74" s="68"/>
      <c r="G74" s="68"/>
      <c r="H74" s="69">
        <f>SUM(H75:H76)</f>
        <v>228.4120975</v>
      </c>
      <c r="I74" s="86"/>
    </row>
    <row r="75" customHeight="1" spans="1:9">
      <c r="A75" s="14">
        <v>1.1</v>
      </c>
      <c r="B75" s="70" t="s">
        <v>160</v>
      </c>
      <c r="C75" s="71"/>
      <c r="D75" s="14" t="s">
        <v>161</v>
      </c>
      <c r="E75" s="67">
        <v>6.95</v>
      </c>
      <c r="F75" s="72">
        <v>0.07</v>
      </c>
      <c r="G75" s="73">
        <f>主要材料品牌单价!E$5/1000</f>
        <v>26.8</v>
      </c>
      <c r="H75" s="73">
        <f t="shared" ref="H75:H78" si="6">E75*(1+F75)*G75</f>
        <v>199.2982</v>
      </c>
      <c r="I75" s="11"/>
    </row>
    <row r="76" customHeight="1" spans="1:9">
      <c r="A76" s="14">
        <v>1.2</v>
      </c>
      <c r="B76" s="14" t="s">
        <v>162</v>
      </c>
      <c r="C76" s="14"/>
      <c r="D76" s="14" t="s">
        <v>161</v>
      </c>
      <c r="E76" s="67">
        <f>E75*0.15</f>
        <v>1.0425</v>
      </c>
      <c r="F76" s="72">
        <v>0.07</v>
      </c>
      <c r="G76" s="73">
        <f>(主要材料品牌单价!E$6-1000)/1000</f>
        <v>26.1</v>
      </c>
      <c r="H76" s="73">
        <f t="shared" si="6"/>
        <v>29.1138975</v>
      </c>
      <c r="I76" s="11"/>
    </row>
    <row r="77" customHeight="1" spans="1:9">
      <c r="A77" s="68">
        <v>2</v>
      </c>
      <c r="B77" s="68" t="s">
        <v>163</v>
      </c>
      <c r="C77" s="68"/>
      <c r="D77" s="68"/>
      <c r="E77" s="68"/>
      <c r="F77" s="68"/>
      <c r="G77" s="68"/>
      <c r="H77" s="74">
        <f>H78</f>
        <v>105.646</v>
      </c>
      <c r="I77" s="86"/>
    </row>
    <row r="78" customHeight="1" spans="1:9">
      <c r="A78" s="14">
        <v>2.1</v>
      </c>
      <c r="B78" s="14" t="s">
        <v>164</v>
      </c>
      <c r="C78" s="14"/>
      <c r="D78" s="14" t="s">
        <v>165</v>
      </c>
      <c r="E78" s="73">
        <v>2</v>
      </c>
      <c r="F78" s="72">
        <v>0.01</v>
      </c>
      <c r="G78" s="73">
        <f>主要材料品牌单价!E16</f>
        <v>52.3</v>
      </c>
      <c r="H78" s="73">
        <f t="shared" si="6"/>
        <v>105.646</v>
      </c>
      <c r="I78" s="11"/>
    </row>
    <row r="79" customHeight="1" spans="1:9">
      <c r="A79" s="68">
        <v>3</v>
      </c>
      <c r="B79" s="68" t="s">
        <v>166</v>
      </c>
      <c r="C79" s="68"/>
      <c r="D79" s="68"/>
      <c r="E79" s="68"/>
      <c r="F79" s="68"/>
      <c r="G79" s="68"/>
      <c r="H79" s="74">
        <f>SUM(H80:H80)</f>
        <v>49.6485</v>
      </c>
      <c r="I79" s="86"/>
    </row>
    <row r="80" customHeight="1" spans="1:9">
      <c r="A80" s="14">
        <v>3.1</v>
      </c>
      <c r="B80" s="14" t="s">
        <v>197</v>
      </c>
      <c r="C80" s="14"/>
      <c r="D80" s="14" t="s">
        <v>168</v>
      </c>
      <c r="E80" s="73">
        <v>0.9</v>
      </c>
      <c r="F80" s="72">
        <v>0.003</v>
      </c>
      <c r="G80" s="11">
        <f>主要材料品牌单价!E$30</f>
        <v>55</v>
      </c>
      <c r="H80" s="73">
        <f>E80*(1+F80)*G80</f>
        <v>49.6485</v>
      </c>
      <c r="I80" s="11"/>
    </row>
    <row r="81" customHeight="1" spans="1:9">
      <c r="A81" s="68">
        <v>4</v>
      </c>
      <c r="B81" s="68" t="s">
        <v>169</v>
      </c>
      <c r="C81" s="68"/>
      <c r="D81" s="68"/>
      <c r="E81" s="68"/>
      <c r="F81" s="68"/>
      <c r="G81" s="68"/>
      <c r="H81" s="69">
        <f>SUM(H82:H86)</f>
        <v>29.45</v>
      </c>
      <c r="I81" s="86" t="s">
        <v>170</v>
      </c>
    </row>
    <row r="82" customHeight="1" spans="1:9">
      <c r="A82" s="75">
        <v>4.1</v>
      </c>
      <c r="B82" s="14" t="s">
        <v>171</v>
      </c>
      <c r="C82" s="14"/>
      <c r="D82" s="14" t="s">
        <v>172</v>
      </c>
      <c r="E82" s="75">
        <v>0.5</v>
      </c>
      <c r="F82" s="75"/>
      <c r="G82" s="75">
        <f>主要材料品牌单价!E$44</f>
        <v>11.5</v>
      </c>
      <c r="H82" s="73">
        <f t="shared" ref="H82:H86" si="7">E82*(1+F82)*G82</f>
        <v>5.75</v>
      </c>
      <c r="I82" s="11"/>
    </row>
    <row r="83" customHeight="1" spans="1:9">
      <c r="A83" s="75">
        <v>4.2</v>
      </c>
      <c r="B83" s="70" t="s">
        <v>173</v>
      </c>
      <c r="C83" s="71"/>
      <c r="D83" s="14" t="s">
        <v>172</v>
      </c>
      <c r="E83" s="76">
        <v>0.8</v>
      </c>
      <c r="F83" s="75"/>
      <c r="G83" s="75">
        <f>主要材料品牌单价!E$43</f>
        <v>11.5</v>
      </c>
      <c r="H83" s="73">
        <f t="shared" si="7"/>
        <v>9.2</v>
      </c>
      <c r="I83" s="11"/>
    </row>
    <row r="84" customHeight="1" spans="1:9">
      <c r="A84" s="75">
        <v>4.3</v>
      </c>
      <c r="B84" s="70" t="s">
        <v>174</v>
      </c>
      <c r="C84" s="71"/>
      <c r="D84" s="14" t="s">
        <v>172</v>
      </c>
      <c r="E84" s="76">
        <v>0.2</v>
      </c>
      <c r="F84" s="75"/>
      <c r="G84" s="75">
        <f>主要材料品牌单价!E$45</f>
        <v>13.5</v>
      </c>
      <c r="H84" s="73">
        <f t="shared" si="7"/>
        <v>2.7</v>
      </c>
      <c r="I84" s="11"/>
    </row>
    <row r="85" customHeight="1" spans="1:9">
      <c r="A85" s="75">
        <v>4.4</v>
      </c>
      <c r="B85" s="77" t="s">
        <v>175</v>
      </c>
      <c r="C85" s="78"/>
      <c r="D85" s="14" t="s">
        <v>172</v>
      </c>
      <c r="E85" s="67">
        <v>0.1</v>
      </c>
      <c r="F85" s="14"/>
      <c r="G85" s="75">
        <f>主要材料品牌单价!E$46</f>
        <v>18</v>
      </c>
      <c r="H85" s="73">
        <f t="shared" si="7"/>
        <v>1.8</v>
      </c>
      <c r="I85" s="11"/>
    </row>
    <row r="86" customHeight="1" spans="1:9">
      <c r="A86" s="75">
        <v>4.5</v>
      </c>
      <c r="B86" s="79" t="s">
        <v>176</v>
      </c>
      <c r="C86" s="79"/>
      <c r="D86" s="14" t="s">
        <v>177</v>
      </c>
      <c r="E86" s="67">
        <v>1</v>
      </c>
      <c r="F86" s="14"/>
      <c r="G86" s="75">
        <v>10</v>
      </c>
      <c r="H86" s="73">
        <f t="shared" si="7"/>
        <v>10</v>
      </c>
      <c r="I86" s="11"/>
    </row>
    <row r="87" customHeight="1" spans="1:9">
      <c r="A87" s="68">
        <v>5</v>
      </c>
      <c r="B87" s="68" t="s">
        <v>178</v>
      </c>
      <c r="C87" s="68"/>
      <c r="D87" s="68"/>
      <c r="E87" s="68"/>
      <c r="F87" s="68"/>
      <c r="G87" s="68"/>
      <c r="H87" s="69">
        <f>SUM(H88:H90)</f>
        <v>10.6</v>
      </c>
      <c r="I87" s="86" t="s">
        <v>170</v>
      </c>
    </row>
    <row r="88" customHeight="1" spans="1:9">
      <c r="A88" s="75">
        <v>5.1</v>
      </c>
      <c r="B88" s="14" t="s">
        <v>179</v>
      </c>
      <c r="C88" s="14"/>
      <c r="D88" s="14" t="s">
        <v>180</v>
      </c>
      <c r="E88" s="76">
        <v>0.2</v>
      </c>
      <c r="F88" s="75"/>
      <c r="G88" s="75">
        <f>主要材料品牌单价!E48</f>
        <v>13</v>
      </c>
      <c r="H88" s="73">
        <f t="shared" ref="H88:H97" si="8">E88*(1+F88)*G88</f>
        <v>2.6</v>
      </c>
      <c r="I88" s="11"/>
    </row>
    <row r="89" customHeight="1" spans="1:9">
      <c r="A89" s="75">
        <v>5.2</v>
      </c>
      <c r="B89" s="70" t="s">
        <v>181</v>
      </c>
      <c r="C89" s="71"/>
      <c r="D89" s="14" t="s">
        <v>177</v>
      </c>
      <c r="E89" s="76">
        <v>0</v>
      </c>
      <c r="F89" s="75"/>
      <c r="G89" s="75"/>
      <c r="H89" s="73">
        <f t="shared" si="8"/>
        <v>0</v>
      </c>
      <c r="I89" s="11"/>
    </row>
    <row r="90" customHeight="1" spans="1:9">
      <c r="A90" s="75">
        <v>5.3</v>
      </c>
      <c r="B90" s="80" t="s">
        <v>182</v>
      </c>
      <c r="C90" s="81"/>
      <c r="D90" s="82" t="s">
        <v>168</v>
      </c>
      <c r="E90" s="67">
        <v>8</v>
      </c>
      <c r="F90" s="14"/>
      <c r="G90" s="75"/>
      <c r="H90" s="73">
        <v>8</v>
      </c>
      <c r="I90" s="11" t="s">
        <v>170</v>
      </c>
    </row>
    <row r="91" customHeight="1" spans="1:9">
      <c r="A91" s="83">
        <v>6</v>
      </c>
      <c r="B91" s="82" t="s">
        <v>183</v>
      </c>
      <c r="C91" s="82"/>
      <c r="D91" s="82" t="s">
        <v>168</v>
      </c>
      <c r="E91" s="82">
        <v>1</v>
      </c>
      <c r="F91" s="68">
        <v>0</v>
      </c>
      <c r="G91" s="75">
        <v>30</v>
      </c>
      <c r="H91" s="69">
        <f t="shared" si="8"/>
        <v>30</v>
      </c>
      <c r="I91" s="86" t="s">
        <v>170</v>
      </c>
    </row>
    <row r="92" customHeight="1" spans="1:9">
      <c r="A92" s="68">
        <v>7</v>
      </c>
      <c r="B92" s="84" t="s">
        <v>184</v>
      </c>
      <c r="C92" s="85"/>
      <c r="D92" s="82" t="s">
        <v>168</v>
      </c>
      <c r="E92" s="82">
        <v>1</v>
      </c>
      <c r="F92" s="68">
        <v>0</v>
      </c>
      <c r="G92" s="75">
        <v>45</v>
      </c>
      <c r="H92" s="69">
        <f t="shared" si="8"/>
        <v>45</v>
      </c>
      <c r="I92" s="86" t="s">
        <v>170</v>
      </c>
    </row>
    <row r="93" customHeight="1" spans="1:9">
      <c r="A93" s="68">
        <v>8</v>
      </c>
      <c r="B93" s="82" t="s">
        <v>185</v>
      </c>
      <c r="C93" s="82"/>
      <c r="D93" s="82" t="s">
        <v>168</v>
      </c>
      <c r="E93" s="82">
        <v>1</v>
      </c>
      <c r="F93" s="68">
        <v>0</v>
      </c>
      <c r="G93" s="75">
        <v>3</v>
      </c>
      <c r="H93" s="69">
        <f t="shared" si="8"/>
        <v>3</v>
      </c>
      <c r="I93" s="86" t="s">
        <v>170</v>
      </c>
    </row>
    <row r="94" customHeight="1" spans="1:9">
      <c r="A94" s="82">
        <v>9</v>
      </c>
      <c r="B94" s="82" t="s">
        <v>186</v>
      </c>
      <c r="C94" s="82"/>
      <c r="D94" s="82" t="s">
        <v>168</v>
      </c>
      <c r="E94" s="82">
        <v>1</v>
      </c>
      <c r="F94" s="82">
        <v>0</v>
      </c>
      <c r="G94" s="75">
        <v>0.5</v>
      </c>
      <c r="H94" s="69">
        <f t="shared" si="8"/>
        <v>0.5</v>
      </c>
      <c r="I94" s="86" t="s">
        <v>170</v>
      </c>
    </row>
    <row r="95" customHeight="1" spans="1:9">
      <c r="A95" s="82">
        <v>10</v>
      </c>
      <c r="B95" s="82" t="s">
        <v>187</v>
      </c>
      <c r="C95" s="82"/>
      <c r="D95" s="82" t="s">
        <v>168</v>
      </c>
      <c r="E95" s="82">
        <v>1</v>
      </c>
      <c r="F95" s="82">
        <v>0</v>
      </c>
      <c r="G95" s="75">
        <v>0.5</v>
      </c>
      <c r="H95" s="69">
        <f t="shared" si="8"/>
        <v>0.5</v>
      </c>
      <c r="I95" s="86" t="s">
        <v>170</v>
      </c>
    </row>
    <row r="96" customHeight="1" spans="1:9">
      <c r="A96" s="82">
        <v>11</v>
      </c>
      <c r="B96" s="84" t="s">
        <v>188</v>
      </c>
      <c r="C96" s="85"/>
      <c r="D96" s="82" t="s">
        <v>168</v>
      </c>
      <c r="E96" s="82">
        <v>1</v>
      </c>
      <c r="F96" s="82">
        <v>0</v>
      </c>
      <c r="G96" s="75">
        <v>1</v>
      </c>
      <c r="H96" s="69">
        <f t="shared" si="8"/>
        <v>1</v>
      </c>
      <c r="I96" s="86" t="s">
        <v>170</v>
      </c>
    </row>
    <row r="97" customHeight="1" spans="1:9">
      <c r="A97" s="82">
        <v>12</v>
      </c>
      <c r="B97" s="82" t="s">
        <v>189</v>
      </c>
      <c r="C97" s="82"/>
      <c r="D97" s="82" t="s">
        <v>168</v>
      </c>
      <c r="E97" s="82">
        <v>1</v>
      </c>
      <c r="F97" s="82">
        <v>0</v>
      </c>
      <c r="G97" s="75">
        <v>0.5</v>
      </c>
      <c r="H97" s="69">
        <f t="shared" si="8"/>
        <v>0.5</v>
      </c>
      <c r="I97" s="86" t="s">
        <v>170</v>
      </c>
    </row>
    <row r="98" customHeight="1" spans="1:9">
      <c r="A98" s="82">
        <v>13</v>
      </c>
      <c r="B98" s="84" t="s">
        <v>190</v>
      </c>
      <c r="C98" s="85"/>
      <c r="D98" s="82" t="s">
        <v>6</v>
      </c>
      <c r="E98" s="84" t="s">
        <v>191</v>
      </c>
      <c r="F98" s="85"/>
      <c r="G98" s="86"/>
      <c r="H98" s="69">
        <f>H74+H77+H81+H87+H91+H92+H93+H94+H95+H97+H96+H79</f>
        <v>504.2565975</v>
      </c>
      <c r="I98" s="89" t="s">
        <v>192</v>
      </c>
    </row>
    <row r="99" customHeight="1" spans="1:9">
      <c r="A99" s="82">
        <v>14</v>
      </c>
      <c r="B99" s="84" t="s">
        <v>193</v>
      </c>
      <c r="C99" s="85"/>
      <c r="D99" s="82" t="s">
        <v>6</v>
      </c>
      <c r="E99" s="84" t="s">
        <v>194</v>
      </c>
      <c r="F99" s="85"/>
      <c r="G99" s="87">
        <v>0.08</v>
      </c>
      <c r="H99" s="69">
        <f>H98*(G99)</f>
        <v>40.3405278</v>
      </c>
      <c r="I99" s="90"/>
    </row>
    <row r="100" customHeight="1" spans="1:9">
      <c r="A100" s="82">
        <v>15</v>
      </c>
      <c r="B100" s="84" t="s">
        <v>195</v>
      </c>
      <c r="C100" s="85"/>
      <c r="D100" s="82" t="s">
        <v>6</v>
      </c>
      <c r="E100" s="84" t="s">
        <v>196</v>
      </c>
      <c r="F100" s="85"/>
      <c r="G100" s="86"/>
      <c r="H100" s="69">
        <f>H98+H99</f>
        <v>544.5971253</v>
      </c>
      <c r="I100" s="91">
        <f>H100</f>
        <v>544.5971253</v>
      </c>
    </row>
    <row r="103" customHeight="1" spans="1:9">
      <c r="A103" s="66" t="s">
        <v>198</v>
      </c>
      <c r="E103" s="60"/>
      <c r="G103" s="60"/>
      <c r="H103" s="60"/>
      <c r="I103" s="60"/>
    </row>
    <row r="104" customHeight="1" spans="1:9">
      <c r="A104" s="14" t="s">
        <v>143</v>
      </c>
      <c r="B104" s="88"/>
      <c r="C104" s="88"/>
      <c r="D104" s="88"/>
      <c r="E104" s="14" t="s">
        <v>144</v>
      </c>
      <c r="F104" s="14" t="s">
        <v>199</v>
      </c>
      <c r="G104" s="14"/>
      <c r="H104" s="14" t="s">
        <v>145</v>
      </c>
      <c r="I104" s="14"/>
    </row>
    <row r="105" customHeight="1" spans="1:9">
      <c r="A105" s="14" t="s">
        <v>82</v>
      </c>
      <c r="B105" s="14"/>
      <c r="C105" s="14"/>
      <c r="D105" s="14"/>
      <c r="E105" s="14" t="s">
        <v>146</v>
      </c>
      <c r="F105" s="14"/>
      <c r="G105" s="14"/>
      <c r="H105" s="14"/>
      <c r="I105" s="14"/>
    </row>
    <row r="106" customHeight="1" spans="1:9">
      <c r="A106" s="13" t="s">
        <v>147</v>
      </c>
      <c r="B106" s="14">
        <v>0</v>
      </c>
      <c r="C106" s="13" t="s">
        <v>148</v>
      </c>
      <c r="D106" s="14">
        <v>0</v>
      </c>
      <c r="E106" s="14" t="s">
        <v>149</v>
      </c>
      <c r="F106" s="67">
        <v>0</v>
      </c>
      <c r="G106" s="11" t="s">
        <v>150</v>
      </c>
      <c r="H106" s="14"/>
      <c r="I106" s="14"/>
    </row>
    <row r="107" customHeight="1" spans="1:9">
      <c r="A107" s="13"/>
      <c r="B107" s="14"/>
      <c r="C107" s="13"/>
      <c r="D107" s="14"/>
      <c r="E107" s="14"/>
      <c r="F107" s="67">
        <v>0</v>
      </c>
      <c r="G107" s="12" t="s">
        <v>151</v>
      </c>
      <c r="H107" s="14"/>
      <c r="I107" s="14"/>
    </row>
    <row r="108" customHeight="1" spans="1:9">
      <c r="A108" s="14" t="s">
        <v>38</v>
      </c>
      <c r="B108" s="14" t="s">
        <v>152</v>
      </c>
      <c r="C108" s="14"/>
      <c r="D108" s="14" t="s">
        <v>153</v>
      </c>
      <c r="E108" s="14" t="s">
        <v>154</v>
      </c>
      <c r="F108" s="14" t="s">
        <v>155</v>
      </c>
      <c r="G108" s="11" t="s">
        <v>156</v>
      </c>
      <c r="H108" s="11" t="s">
        <v>157</v>
      </c>
      <c r="I108" s="12" t="s">
        <v>158</v>
      </c>
    </row>
    <row r="109" customHeight="1" spans="1:9">
      <c r="A109" s="68">
        <v>1</v>
      </c>
      <c r="B109" s="68" t="s">
        <v>159</v>
      </c>
      <c r="C109" s="68"/>
      <c r="D109" s="68"/>
      <c r="E109" s="68"/>
      <c r="F109" s="68"/>
      <c r="G109" s="68"/>
      <c r="H109" s="69">
        <f>SUM(H110:H112)</f>
        <v>203.6658116</v>
      </c>
      <c r="I109" s="86"/>
    </row>
    <row r="110" customHeight="1" spans="1:9">
      <c r="A110" s="14">
        <v>1.1</v>
      </c>
      <c r="B110" s="70" t="s">
        <v>200</v>
      </c>
      <c r="C110" s="71"/>
      <c r="D110" s="14" t="s">
        <v>161</v>
      </c>
      <c r="E110" s="67">
        <v>5.69</v>
      </c>
      <c r="F110" s="72">
        <v>0.07</v>
      </c>
      <c r="G110" s="73">
        <f>主要材料品牌单价!E$6/1000</f>
        <v>27.1</v>
      </c>
      <c r="H110" s="73">
        <f t="shared" ref="H110:H114" si="9">E110*(1+F110)*G110</f>
        <v>164.99293</v>
      </c>
      <c r="I110" s="11"/>
    </row>
    <row r="111" customHeight="1" spans="1:9">
      <c r="A111" s="14">
        <v>1.2</v>
      </c>
      <c r="B111" s="70" t="s">
        <v>160</v>
      </c>
      <c r="C111" s="71"/>
      <c r="D111" s="14" t="s">
        <v>161</v>
      </c>
      <c r="E111" s="67">
        <f>E110*0.16</f>
        <v>0.9104</v>
      </c>
      <c r="F111" s="72">
        <v>0.07</v>
      </c>
      <c r="G111" s="73">
        <f>主要材料品牌单价!E$5/1000</f>
        <v>26.8</v>
      </c>
      <c r="H111" s="73">
        <f t="shared" si="9"/>
        <v>26.1066304</v>
      </c>
      <c r="I111" s="11"/>
    </row>
    <row r="112" customHeight="1" spans="1:9">
      <c r="A112" s="14">
        <v>1.3</v>
      </c>
      <c r="B112" s="14" t="s">
        <v>162</v>
      </c>
      <c r="C112" s="14"/>
      <c r="D112" s="14" t="s">
        <v>161</v>
      </c>
      <c r="E112" s="67">
        <f>E110*0.08</f>
        <v>0.4552</v>
      </c>
      <c r="F112" s="72">
        <v>0.07</v>
      </c>
      <c r="G112" s="73">
        <f>(主要材料品牌单价!E$5-1000)/1000</f>
        <v>25.8</v>
      </c>
      <c r="H112" s="73">
        <f t="shared" si="9"/>
        <v>12.5662512</v>
      </c>
      <c r="I112" s="11"/>
    </row>
    <row r="113" customHeight="1" spans="1:9">
      <c r="A113" s="68">
        <v>2</v>
      </c>
      <c r="B113" s="68" t="s">
        <v>163</v>
      </c>
      <c r="C113" s="68"/>
      <c r="D113" s="68"/>
      <c r="E113" s="68"/>
      <c r="F113" s="68"/>
      <c r="G113" s="68"/>
      <c r="H113" s="74">
        <f>H114</f>
        <v>20.27676</v>
      </c>
      <c r="I113" s="86"/>
    </row>
    <row r="114" customHeight="1" spans="1:9">
      <c r="A114" s="14">
        <v>2.1</v>
      </c>
      <c r="B114" s="14" t="s">
        <v>164</v>
      </c>
      <c r="C114" s="14"/>
      <c r="D114" s="14" t="s">
        <v>165</v>
      </c>
      <c r="E114" s="73">
        <v>0.28</v>
      </c>
      <c r="F114" s="72">
        <v>0.01</v>
      </c>
      <c r="G114" s="73">
        <f>主要材料品牌单价!E14</f>
        <v>71.7</v>
      </c>
      <c r="H114" s="73">
        <f t="shared" si="9"/>
        <v>20.27676</v>
      </c>
      <c r="I114" s="11"/>
    </row>
    <row r="115" customHeight="1" spans="1:9">
      <c r="A115" s="68">
        <v>3</v>
      </c>
      <c r="B115" s="68" t="s">
        <v>166</v>
      </c>
      <c r="C115" s="68"/>
      <c r="D115" s="68"/>
      <c r="E115" s="68"/>
      <c r="F115" s="68"/>
      <c r="G115" s="68"/>
      <c r="H115" s="69">
        <f>SUM(H116:H118)</f>
        <v>153.9605</v>
      </c>
      <c r="I115" s="86"/>
    </row>
    <row r="116" customHeight="1" spans="1:9">
      <c r="A116" s="14">
        <v>3.1</v>
      </c>
      <c r="B116" s="14" t="s">
        <v>201</v>
      </c>
      <c r="C116" s="14"/>
      <c r="D116" s="14" t="s">
        <v>168</v>
      </c>
      <c r="E116" s="73">
        <v>0.73</v>
      </c>
      <c r="F116" s="72">
        <v>0.003</v>
      </c>
      <c r="G116" s="11">
        <f>主要材料品牌单价!E37</f>
        <v>165</v>
      </c>
      <c r="H116" s="73">
        <f>E116*(1+F116)*G116</f>
        <v>120.81135</v>
      </c>
      <c r="I116" s="11"/>
    </row>
    <row r="117" customHeight="1" spans="1:9">
      <c r="A117" s="14">
        <v>3.2</v>
      </c>
      <c r="B117" s="14" t="s">
        <v>202</v>
      </c>
      <c r="C117" s="14"/>
      <c r="D117" s="14" t="s">
        <v>168</v>
      </c>
      <c r="E117" s="73">
        <v>0.15</v>
      </c>
      <c r="F117" s="72">
        <v>0.003</v>
      </c>
      <c r="G117" s="11">
        <f>主要材料品牌单价!E38</f>
        <v>185</v>
      </c>
      <c r="H117" s="73">
        <f>E117*(1+F117)*G117</f>
        <v>27.83325</v>
      </c>
      <c r="I117" s="11"/>
    </row>
    <row r="118" customHeight="1" spans="1:9">
      <c r="A118" s="14">
        <v>3.3</v>
      </c>
      <c r="B118" s="14" t="s">
        <v>203</v>
      </c>
      <c r="C118" s="14"/>
      <c r="D118" s="14" t="s">
        <v>168</v>
      </c>
      <c r="E118" s="73">
        <v>0.02</v>
      </c>
      <c r="F118" s="72">
        <v>0.003</v>
      </c>
      <c r="G118" s="11">
        <f>主要材料品牌单价!E39</f>
        <v>265</v>
      </c>
      <c r="H118" s="73">
        <f>E118*(1+F118)*G118</f>
        <v>5.3159</v>
      </c>
      <c r="I118" s="11"/>
    </row>
    <row r="119" customHeight="1" spans="1:9">
      <c r="A119" s="68">
        <v>4</v>
      </c>
      <c r="B119" s="68" t="s">
        <v>169</v>
      </c>
      <c r="C119" s="68"/>
      <c r="D119" s="68"/>
      <c r="E119" s="68"/>
      <c r="F119" s="68"/>
      <c r="G119" s="68"/>
      <c r="H119" s="69">
        <f>SUM(H120:H124)</f>
        <v>27.45</v>
      </c>
      <c r="I119" s="86" t="s">
        <v>170</v>
      </c>
    </row>
    <row r="120" customHeight="1" spans="1:9">
      <c r="A120" s="75">
        <v>4.1</v>
      </c>
      <c r="B120" s="14" t="s">
        <v>171</v>
      </c>
      <c r="C120" s="14"/>
      <c r="D120" s="14" t="s">
        <v>172</v>
      </c>
      <c r="E120" s="75">
        <v>0.5</v>
      </c>
      <c r="F120" s="75"/>
      <c r="G120" s="75">
        <f>主要材料品牌单价!E$44</f>
        <v>11.5</v>
      </c>
      <c r="H120" s="73">
        <f t="shared" ref="H120:H124" si="10">E120*(1+F120)*G120</f>
        <v>5.75</v>
      </c>
      <c r="I120" s="11"/>
    </row>
    <row r="121" customHeight="1" spans="1:9">
      <c r="A121" s="75">
        <v>4.2</v>
      </c>
      <c r="B121" s="70" t="s">
        <v>173</v>
      </c>
      <c r="C121" s="71"/>
      <c r="D121" s="14" t="s">
        <v>172</v>
      </c>
      <c r="E121" s="76">
        <v>0.8</v>
      </c>
      <c r="F121" s="75"/>
      <c r="G121" s="75">
        <f>主要材料品牌单价!E$43</f>
        <v>11.5</v>
      </c>
      <c r="H121" s="73">
        <f t="shared" si="10"/>
        <v>9.2</v>
      </c>
      <c r="I121" s="11"/>
    </row>
    <row r="122" customHeight="1" spans="1:9">
      <c r="A122" s="75">
        <v>4.3</v>
      </c>
      <c r="B122" s="70" t="s">
        <v>174</v>
      </c>
      <c r="C122" s="71"/>
      <c r="D122" s="14" t="s">
        <v>172</v>
      </c>
      <c r="E122" s="76">
        <v>0.2</v>
      </c>
      <c r="F122" s="75"/>
      <c r="G122" s="75">
        <f>主要材料品牌单价!E$45</f>
        <v>13.5</v>
      </c>
      <c r="H122" s="73">
        <f t="shared" si="10"/>
        <v>2.7</v>
      </c>
      <c r="I122" s="11"/>
    </row>
    <row r="123" customHeight="1" spans="1:9">
      <c r="A123" s="75">
        <v>4.4</v>
      </c>
      <c r="B123" s="77" t="s">
        <v>175</v>
      </c>
      <c r="C123" s="78"/>
      <c r="D123" s="14" t="s">
        <v>172</v>
      </c>
      <c r="E123" s="67">
        <v>0.1</v>
      </c>
      <c r="F123" s="14"/>
      <c r="G123" s="75">
        <f>主要材料品牌单价!E$46</f>
        <v>18</v>
      </c>
      <c r="H123" s="73">
        <f t="shared" si="10"/>
        <v>1.8</v>
      </c>
      <c r="I123" s="11"/>
    </row>
    <row r="124" customHeight="1" spans="1:9">
      <c r="A124" s="75">
        <v>4.5</v>
      </c>
      <c r="B124" s="79" t="s">
        <v>176</v>
      </c>
      <c r="C124" s="79"/>
      <c r="D124" s="14" t="s">
        <v>177</v>
      </c>
      <c r="E124" s="67">
        <v>1</v>
      </c>
      <c r="F124" s="14"/>
      <c r="G124" s="75">
        <v>8</v>
      </c>
      <c r="H124" s="73">
        <f t="shared" si="10"/>
        <v>8</v>
      </c>
      <c r="I124" s="11"/>
    </row>
    <row r="125" customHeight="1" spans="1:9">
      <c r="A125" s="68">
        <v>5</v>
      </c>
      <c r="B125" s="68" t="s">
        <v>178</v>
      </c>
      <c r="C125" s="68"/>
      <c r="D125" s="68"/>
      <c r="E125" s="68"/>
      <c r="F125" s="68"/>
      <c r="G125" s="68"/>
      <c r="H125" s="69">
        <f>SUM(H126:H128)</f>
        <v>10.6</v>
      </c>
      <c r="I125" s="86" t="s">
        <v>170</v>
      </c>
    </row>
    <row r="126" customHeight="1" spans="1:9">
      <c r="A126" s="75">
        <v>5.1</v>
      </c>
      <c r="B126" s="14" t="s">
        <v>179</v>
      </c>
      <c r="C126" s="14"/>
      <c r="D126" s="14" t="s">
        <v>180</v>
      </c>
      <c r="E126" s="76">
        <v>0.2</v>
      </c>
      <c r="F126" s="75"/>
      <c r="G126" s="75">
        <f>主要材料品牌单价!E48</f>
        <v>13</v>
      </c>
      <c r="H126" s="73">
        <f>E126*(1+F126)*G126</f>
        <v>2.6</v>
      </c>
      <c r="I126" s="11"/>
    </row>
    <row r="127" customHeight="1" spans="1:9">
      <c r="A127" s="75">
        <v>5.2</v>
      </c>
      <c r="B127" s="70" t="s">
        <v>181</v>
      </c>
      <c r="C127" s="71"/>
      <c r="D127" s="14" t="s">
        <v>177</v>
      </c>
      <c r="E127" s="76">
        <v>0</v>
      </c>
      <c r="F127" s="75"/>
      <c r="G127" s="75"/>
      <c r="H127" s="73">
        <f>E127*(1+F127)*G127</f>
        <v>0</v>
      </c>
      <c r="I127" s="11"/>
    </row>
    <row r="128" customHeight="1" spans="1:9">
      <c r="A128" s="75">
        <v>5.3</v>
      </c>
      <c r="B128" s="80" t="s">
        <v>182</v>
      </c>
      <c r="C128" s="81"/>
      <c r="D128" s="82" t="s">
        <v>168</v>
      </c>
      <c r="E128" s="67">
        <v>5</v>
      </c>
      <c r="F128" s="14"/>
      <c r="G128" s="75"/>
      <c r="H128" s="73">
        <v>8</v>
      </c>
      <c r="I128" s="11"/>
    </row>
    <row r="129" customHeight="1" spans="1:9">
      <c r="A129" s="83">
        <v>6</v>
      </c>
      <c r="B129" s="82" t="s">
        <v>183</v>
      </c>
      <c r="C129" s="82"/>
      <c r="D129" s="82" t="s">
        <v>168</v>
      </c>
      <c r="E129" s="82">
        <v>1</v>
      </c>
      <c r="F129" s="68">
        <v>0</v>
      </c>
      <c r="G129" s="75">
        <v>30</v>
      </c>
      <c r="H129" s="69">
        <f t="shared" ref="H128:H135" si="11">E129*(1+F129)*G129</f>
        <v>30</v>
      </c>
      <c r="I129" s="86" t="s">
        <v>170</v>
      </c>
    </row>
    <row r="130" customHeight="1" spans="1:9">
      <c r="A130" s="68">
        <v>7</v>
      </c>
      <c r="B130" s="84" t="s">
        <v>184</v>
      </c>
      <c r="C130" s="85"/>
      <c r="D130" s="82" t="s">
        <v>168</v>
      </c>
      <c r="E130" s="82">
        <v>1</v>
      </c>
      <c r="F130" s="68">
        <v>0</v>
      </c>
      <c r="G130" s="75">
        <v>45</v>
      </c>
      <c r="H130" s="69">
        <f t="shared" si="11"/>
        <v>45</v>
      </c>
      <c r="I130" s="86" t="s">
        <v>170</v>
      </c>
    </row>
    <row r="131" customHeight="1" spans="1:9">
      <c r="A131" s="68">
        <v>8</v>
      </c>
      <c r="B131" s="82" t="s">
        <v>185</v>
      </c>
      <c r="C131" s="82"/>
      <c r="D131" s="82" t="s">
        <v>168</v>
      </c>
      <c r="E131" s="82">
        <v>1</v>
      </c>
      <c r="F131" s="68">
        <v>0</v>
      </c>
      <c r="G131" s="75">
        <v>3</v>
      </c>
      <c r="H131" s="69">
        <f t="shared" si="11"/>
        <v>3</v>
      </c>
      <c r="I131" s="86" t="s">
        <v>170</v>
      </c>
    </row>
    <row r="132" customHeight="1" spans="1:9">
      <c r="A132" s="82">
        <v>9</v>
      </c>
      <c r="B132" s="82" t="s">
        <v>186</v>
      </c>
      <c r="C132" s="82"/>
      <c r="D132" s="82" t="s">
        <v>168</v>
      </c>
      <c r="E132" s="82">
        <v>1</v>
      </c>
      <c r="F132" s="82">
        <v>0</v>
      </c>
      <c r="G132" s="75">
        <v>0.5</v>
      </c>
      <c r="H132" s="69">
        <f t="shared" si="11"/>
        <v>0.5</v>
      </c>
      <c r="I132" s="86" t="s">
        <v>170</v>
      </c>
    </row>
    <row r="133" customHeight="1" spans="1:9">
      <c r="A133" s="82">
        <v>10</v>
      </c>
      <c r="B133" s="82" t="s">
        <v>187</v>
      </c>
      <c r="C133" s="82"/>
      <c r="D133" s="82" t="s">
        <v>168</v>
      </c>
      <c r="E133" s="82">
        <v>1</v>
      </c>
      <c r="F133" s="82">
        <v>0</v>
      </c>
      <c r="G133" s="75">
        <v>0.5</v>
      </c>
      <c r="H133" s="69">
        <f t="shared" si="11"/>
        <v>0.5</v>
      </c>
      <c r="I133" s="86" t="s">
        <v>170</v>
      </c>
    </row>
    <row r="134" customHeight="1" spans="1:9">
      <c r="A134" s="82">
        <v>11</v>
      </c>
      <c r="B134" s="84" t="s">
        <v>188</v>
      </c>
      <c r="C134" s="85"/>
      <c r="D134" s="82" t="s">
        <v>168</v>
      </c>
      <c r="E134" s="82">
        <v>1</v>
      </c>
      <c r="F134" s="82">
        <v>0</v>
      </c>
      <c r="G134" s="75">
        <v>1</v>
      </c>
      <c r="H134" s="69">
        <f t="shared" si="11"/>
        <v>1</v>
      </c>
      <c r="I134" s="86" t="s">
        <v>170</v>
      </c>
    </row>
    <row r="135" customHeight="1" spans="1:9">
      <c r="A135" s="82">
        <v>12</v>
      </c>
      <c r="B135" s="82" t="s">
        <v>189</v>
      </c>
      <c r="C135" s="82"/>
      <c r="D135" s="82" t="s">
        <v>168</v>
      </c>
      <c r="E135" s="82">
        <v>1</v>
      </c>
      <c r="F135" s="82">
        <v>0</v>
      </c>
      <c r="G135" s="75">
        <v>0.5</v>
      </c>
      <c r="H135" s="69">
        <f t="shared" si="11"/>
        <v>0.5</v>
      </c>
      <c r="I135" s="86" t="s">
        <v>170</v>
      </c>
    </row>
    <row r="136" customHeight="1" spans="1:9">
      <c r="A136" s="82">
        <v>13</v>
      </c>
      <c r="B136" s="84" t="s">
        <v>190</v>
      </c>
      <c r="C136" s="85"/>
      <c r="D136" s="82" t="s">
        <v>6</v>
      </c>
      <c r="E136" s="84" t="s">
        <v>191</v>
      </c>
      <c r="F136" s="85"/>
      <c r="G136" s="86"/>
      <c r="H136" s="69">
        <f>H109+H113+H119+H125+H129+H130+H131+H132+H133+H135+H134+H115</f>
        <v>496.4530716</v>
      </c>
      <c r="I136" s="89" t="s">
        <v>192</v>
      </c>
    </row>
    <row r="137" customHeight="1" spans="1:9">
      <c r="A137" s="82">
        <v>14</v>
      </c>
      <c r="B137" s="84" t="s">
        <v>193</v>
      </c>
      <c r="C137" s="85"/>
      <c r="D137" s="82" t="s">
        <v>6</v>
      </c>
      <c r="E137" s="84" t="s">
        <v>194</v>
      </c>
      <c r="F137" s="85"/>
      <c r="G137" s="87">
        <v>0.08</v>
      </c>
      <c r="H137" s="69">
        <f>H136*(G137)</f>
        <v>39.716245728</v>
      </c>
      <c r="I137" s="90"/>
    </row>
    <row r="138" customHeight="1" spans="1:9">
      <c r="A138" s="82">
        <v>15</v>
      </c>
      <c r="B138" s="84" t="s">
        <v>195</v>
      </c>
      <c r="C138" s="85"/>
      <c r="D138" s="82" t="s">
        <v>6</v>
      </c>
      <c r="E138" s="84" t="s">
        <v>196</v>
      </c>
      <c r="F138" s="85"/>
      <c r="G138" s="86"/>
      <c r="H138" s="69">
        <f>H136+H137</f>
        <v>536.169317328</v>
      </c>
      <c r="I138" s="91">
        <f>H138</f>
        <v>536.169317328</v>
      </c>
    </row>
    <row r="140" customHeight="1" spans="1:9">
      <c r="A140" s="66" t="s">
        <v>198</v>
      </c>
      <c r="E140" s="60"/>
      <c r="G140" s="60"/>
      <c r="H140" s="60"/>
      <c r="I140" s="60"/>
    </row>
    <row r="141" customHeight="1" spans="1:9">
      <c r="A141" s="14" t="s">
        <v>143</v>
      </c>
      <c r="B141" s="88"/>
      <c r="C141" s="88"/>
      <c r="D141" s="88"/>
      <c r="E141" s="14" t="s">
        <v>144</v>
      </c>
      <c r="F141" s="14" t="s">
        <v>114</v>
      </c>
      <c r="G141" s="14"/>
      <c r="H141" s="14" t="s">
        <v>145</v>
      </c>
      <c r="I141" s="14"/>
    </row>
    <row r="142" customHeight="1" spans="1:9">
      <c r="A142" s="14" t="s">
        <v>82</v>
      </c>
      <c r="B142" s="14"/>
      <c r="C142" s="14"/>
      <c r="D142" s="14"/>
      <c r="E142" s="14" t="s">
        <v>146</v>
      </c>
      <c r="F142" s="14"/>
      <c r="G142" s="14"/>
      <c r="H142" s="14"/>
      <c r="I142" s="14"/>
    </row>
    <row r="143" customHeight="1" spans="1:9">
      <c r="A143" s="13" t="s">
        <v>147</v>
      </c>
      <c r="B143" s="14">
        <v>0</v>
      </c>
      <c r="C143" s="13" t="s">
        <v>148</v>
      </c>
      <c r="D143" s="14">
        <v>0</v>
      </c>
      <c r="E143" s="14" t="s">
        <v>149</v>
      </c>
      <c r="F143" s="67">
        <v>0</v>
      </c>
      <c r="G143" s="11" t="s">
        <v>150</v>
      </c>
      <c r="H143" s="14"/>
      <c r="I143" s="14"/>
    </row>
    <row r="144" customHeight="1" spans="1:9">
      <c r="A144" s="13"/>
      <c r="B144" s="14"/>
      <c r="C144" s="13"/>
      <c r="D144" s="14"/>
      <c r="E144" s="14"/>
      <c r="F144" s="67">
        <v>0</v>
      </c>
      <c r="G144" s="12" t="s">
        <v>151</v>
      </c>
      <c r="H144" s="14"/>
      <c r="I144" s="14"/>
    </row>
    <row r="145" customHeight="1" spans="1:9">
      <c r="A145" s="14" t="s">
        <v>38</v>
      </c>
      <c r="B145" s="14" t="s">
        <v>152</v>
      </c>
      <c r="C145" s="14"/>
      <c r="D145" s="14" t="s">
        <v>153</v>
      </c>
      <c r="E145" s="14" t="s">
        <v>154</v>
      </c>
      <c r="F145" s="14" t="s">
        <v>155</v>
      </c>
      <c r="G145" s="11" t="s">
        <v>156</v>
      </c>
      <c r="H145" s="11" t="s">
        <v>157</v>
      </c>
      <c r="I145" s="12" t="s">
        <v>158</v>
      </c>
    </row>
    <row r="146" customHeight="1" spans="1:9">
      <c r="A146" s="68">
        <v>1</v>
      </c>
      <c r="B146" s="68" t="s">
        <v>159</v>
      </c>
      <c r="C146" s="68"/>
      <c r="D146" s="68"/>
      <c r="E146" s="68"/>
      <c r="F146" s="68"/>
      <c r="G146" s="68"/>
      <c r="H146" s="69">
        <f>SUM(H147:H149)</f>
        <v>280.980074</v>
      </c>
      <c r="I146" s="86"/>
    </row>
    <row r="147" customHeight="1" spans="1:9">
      <c r="A147" s="14">
        <v>1.1</v>
      </c>
      <c r="B147" s="70" t="s">
        <v>200</v>
      </c>
      <c r="C147" s="71"/>
      <c r="D147" s="14" t="s">
        <v>161</v>
      </c>
      <c r="E147" s="67">
        <v>7.85</v>
      </c>
      <c r="F147" s="72">
        <v>0.07</v>
      </c>
      <c r="G147" s="73">
        <f>主要材料品牌单价!E$6/1000</f>
        <v>27.1</v>
      </c>
      <c r="H147" s="73">
        <f t="shared" ref="H147:H151" si="12">E147*(1+F147)*G147</f>
        <v>227.62645</v>
      </c>
      <c r="I147" s="11"/>
    </row>
    <row r="148" customHeight="1" spans="1:9">
      <c r="A148" s="14">
        <v>1.2</v>
      </c>
      <c r="B148" s="70" t="s">
        <v>160</v>
      </c>
      <c r="C148" s="71"/>
      <c r="D148" s="14" t="s">
        <v>161</v>
      </c>
      <c r="E148" s="67">
        <f>E147*0.16</f>
        <v>1.256</v>
      </c>
      <c r="F148" s="72">
        <v>0.07</v>
      </c>
      <c r="G148" s="73">
        <f>主要材料品牌单价!E$5/1000</f>
        <v>26.8</v>
      </c>
      <c r="H148" s="73">
        <f t="shared" si="12"/>
        <v>36.017056</v>
      </c>
      <c r="I148" s="11"/>
    </row>
    <row r="149" customHeight="1" spans="1:9">
      <c r="A149" s="14">
        <v>1.3</v>
      </c>
      <c r="B149" s="14" t="s">
        <v>162</v>
      </c>
      <c r="C149" s="14"/>
      <c r="D149" s="14" t="s">
        <v>161</v>
      </c>
      <c r="E149" s="67">
        <f>E147*0.08</f>
        <v>0.628</v>
      </c>
      <c r="F149" s="72">
        <v>0.07</v>
      </c>
      <c r="G149" s="73">
        <f>(主要材料品牌单价!E$5-1000)/1000</f>
        <v>25.8</v>
      </c>
      <c r="H149" s="73">
        <f t="shared" si="12"/>
        <v>17.336568</v>
      </c>
      <c r="I149" s="11"/>
    </row>
    <row r="150" customHeight="1" spans="1:9">
      <c r="A150" s="68">
        <v>2</v>
      </c>
      <c r="B150" s="68" t="s">
        <v>163</v>
      </c>
      <c r="C150" s="68"/>
      <c r="D150" s="68"/>
      <c r="E150" s="68"/>
      <c r="F150" s="68"/>
      <c r="G150" s="68"/>
      <c r="H150" s="74">
        <f>H151</f>
        <v>86.64083</v>
      </c>
      <c r="I150" s="86"/>
    </row>
    <row r="151" customHeight="1" spans="1:9">
      <c r="A151" s="14">
        <v>2.1</v>
      </c>
      <c r="B151" s="14" t="s">
        <v>164</v>
      </c>
      <c r="C151" s="14"/>
      <c r="D151" s="14" t="s">
        <v>165</v>
      </c>
      <c r="E151" s="73">
        <v>1.09</v>
      </c>
      <c r="F151" s="72">
        <v>0.01</v>
      </c>
      <c r="G151" s="73">
        <f>主要材料品牌单价!E15</f>
        <v>78.7</v>
      </c>
      <c r="H151" s="73">
        <f t="shared" si="12"/>
        <v>86.64083</v>
      </c>
      <c r="I151" s="11"/>
    </row>
    <row r="152" customHeight="1" spans="1:9">
      <c r="A152" s="68">
        <v>3</v>
      </c>
      <c r="B152" s="68" t="s">
        <v>166</v>
      </c>
      <c r="C152" s="68"/>
      <c r="D152" s="68"/>
      <c r="E152" s="68"/>
      <c r="F152" s="68"/>
      <c r="G152" s="68"/>
      <c r="H152" s="74">
        <f>H153+H154</f>
        <v>171.513</v>
      </c>
      <c r="I152" s="86"/>
    </row>
    <row r="153" customHeight="1" spans="1:9">
      <c r="A153" s="14">
        <v>3.1</v>
      </c>
      <c r="B153" s="14" t="s">
        <v>201</v>
      </c>
      <c r="C153" s="14"/>
      <c r="D153" s="14" t="s">
        <v>168</v>
      </c>
      <c r="E153" s="73">
        <v>0.7</v>
      </c>
      <c r="F153" s="72">
        <v>0.003</v>
      </c>
      <c r="G153" s="11">
        <f>主要材料品牌单价!E37</f>
        <v>165</v>
      </c>
      <c r="H153" s="73">
        <f>E153*(1+F153)*G153</f>
        <v>115.8465</v>
      </c>
      <c r="I153" s="11"/>
    </row>
    <row r="154" customHeight="1" spans="1:9">
      <c r="A154" s="14">
        <v>3.2</v>
      </c>
      <c r="B154" s="14" t="s">
        <v>202</v>
      </c>
      <c r="C154" s="14"/>
      <c r="D154" s="14" t="s">
        <v>168</v>
      </c>
      <c r="E154" s="73">
        <v>0.3</v>
      </c>
      <c r="F154" s="72">
        <v>0.003</v>
      </c>
      <c r="G154" s="11">
        <f>主要材料品牌单价!E38</f>
        <v>185</v>
      </c>
      <c r="H154" s="73">
        <f>E154*(1+F154)*G154</f>
        <v>55.6665</v>
      </c>
      <c r="I154" s="11"/>
    </row>
    <row r="155" customHeight="1" spans="1:9">
      <c r="A155" s="68">
        <v>4</v>
      </c>
      <c r="B155" s="68" t="s">
        <v>169</v>
      </c>
      <c r="C155" s="68"/>
      <c r="D155" s="68"/>
      <c r="E155" s="68"/>
      <c r="F155" s="68"/>
      <c r="G155" s="68"/>
      <c r="H155" s="69">
        <f>SUM(H156:H160)</f>
        <v>27.45</v>
      </c>
      <c r="I155" s="86" t="s">
        <v>170</v>
      </c>
    </row>
    <row r="156" customHeight="1" spans="1:9">
      <c r="A156" s="75">
        <v>4.1</v>
      </c>
      <c r="B156" s="14" t="s">
        <v>171</v>
      </c>
      <c r="C156" s="14"/>
      <c r="D156" s="14" t="s">
        <v>172</v>
      </c>
      <c r="E156" s="75">
        <v>0.5</v>
      </c>
      <c r="F156" s="75"/>
      <c r="G156" s="75">
        <f>主要材料品牌单价!E$44</f>
        <v>11.5</v>
      </c>
      <c r="H156" s="73">
        <f t="shared" ref="H156:H160" si="13">E156*(1+F156)*G156</f>
        <v>5.75</v>
      </c>
      <c r="I156" s="11"/>
    </row>
    <row r="157" customHeight="1" spans="1:9">
      <c r="A157" s="75">
        <v>4.2</v>
      </c>
      <c r="B157" s="70" t="s">
        <v>173</v>
      </c>
      <c r="C157" s="71"/>
      <c r="D157" s="14" t="s">
        <v>172</v>
      </c>
      <c r="E157" s="76">
        <v>0.8</v>
      </c>
      <c r="F157" s="75"/>
      <c r="G157" s="75">
        <f>主要材料品牌单价!E$43</f>
        <v>11.5</v>
      </c>
      <c r="H157" s="73">
        <f t="shared" si="13"/>
        <v>9.2</v>
      </c>
      <c r="I157" s="11"/>
    </row>
    <row r="158" customHeight="1" spans="1:9">
      <c r="A158" s="75">
        <v>4.3</v>
      </c>
      <c r="B158" s="70" t="s">
        <v>174</v>
      </c>
      <c r="C158" s="71"/>
      <c r="D158" s="14" t="s">
        <v>172</v>
      </c>
      <c r="E158" s="76">
        <v>0.2</v>
      </c>
      <c r="F158" s="75"/>
      <c r="G158" s="75">
        <f>主要材料品牌单价!E$45</f>
        <v>13.5</v>
      </c>
      <c r="H158" s="73">
        <f t="shared" si="13"/>
        <v>2.7</v>
      </c>
      <c r="I158" s="11"/>
    </row>
    <row r="159" customHeight="1" spans="1:9">
      <c r="A159" s="75">
        <v>4.4</v>
      </c>
      <c r="B159" s="77" t="s">
        <v>175</v>
      </c>
      <c r="C159" s="78"/>
      <c r="D159" s="14" t="s">
        <v>172</v>
      </c>
      <c r="E159" s="67">
        <v>0.1</v>
      </c>
      <c r="F159" s="14"/>
      <c r="G159" s="75">
        <f>主要材料品牌单价!E$46</f>
        <v>18</v>
      </c>
      <c r="H159" s="73">
        <f t="shared" si="13"/>
        <v>1.8</v>
      </c>
      <c r="I159" s="11"/>
    </row>
    <row r="160" customHeight="1" spans="1:9">
      <c r="A160" s="75">
        <v>4.5</v>
      </c>
      <c r="B160" s="79" t="s">
        <v>176</v>
      </c>
      <c r="C160" s="79"/>
      <c r="D160" s="14" t="s">
        <v>177</v>
      </c>
      <c r="E160" s="67">
        <v>1</v>
      </c>
      <c r="F160" s="14"/>
      <c r="G160" s="75">
        <v>8</v>
      </c>
      <c r="H160" s="73">
        <f t="shared" si="13"/>
        <v>8</v>
      </c>
      <c r="I160" s="11"/>
    </row>
    <row r="161" customHeight="1" spans="1:9">
      <c r="A161" s="68">
        <v>5</v>
      </c>
      <c r="B161" s="68" t="s">
        <v>178</v>
      </c>
      <c r="C161" s="68"/>
      <c r="D161" s="68"/>
      <c r="E161" s="68"/>
      <c r="F161" s="68"/>
      <c r="G161" s="68"/>
      <c r="H161" s="69">
        <f>SUM(H162:H164)</f>
        <v>9.6</v>
      </c>
      <c r="I161" s="86" t="s">
        <v>170</v>
      </c>
    </row>
    <row r="162" customHeight="1" spans="1:9">
      <c r="A162" s="75">
        <v>5.1</v>
      </c>
      <c r="B162" s="14" t="s">
        <v>179</v>
      </c>
      <c r="C162" s="14"/>
      <c r="D162" s="14" t="s">
        <v>180</v>
      </c>
      <c r="E162" s="76">
        <v>0.2</v>
      </c>
      <c r="F162" s="75"/>
      <c r="G162" s="75">
        <f>主要材料品牌单价!E48</f>
        <v>13</v>
      </c>
      <c r="H162" s="73">
        <f t="shared" ref="H162:H171" si="14">E162*(1+F162)*G162</f>
        <v>2.6</v>
      </c>
      <c r="I162" s="11"/>
    </row>
    <row r="163" customHeight="1" spans="1:9">
      <c r="A163" s="75">
        <v>5.2</v>
      </c>
      <c r="B163" s="70" t="s">
        <v>181</v>
      </c>
      <c r="C163" s="71"/>
      <c r="D163" s="14" t="s">
        <v>177</v>
      </c>
      <c r="E163" s="76">
        <v>0</v>
      </c>
      <c r="F163" s="75"/>
      <c r="G163" s="75"/>
      <c r="H163" s="73">
        <f t="shared" si="14"/>
        <v>0</v>
      </c>
      <c r="I163" s="11"/>
    </row>
    <row r="164" customHeight="1" spans="1:9">
      <c r="A164" s="75">
        <v>5.3</v>
      </c>
      <c r="B164" s="80" t="s">
        <v>182</v>
      </c>
      <c r="C164" s="81"/>
      <c r="D164" s="82" t="s">
        <v>168</v>
      </c>
      <c r="E164" s="67">
        <v>7</v>
      </c>
      <c r="F164" s="14"/>
      <c r="G164" s="75"/>
      <c r="H164" s="73">
        <v>7</v>
      </c>
      <c r="I164" s="11"/>
    </row>
    <row r="165" customHeight="1" spans="1:9">
      <c r="A165" s="83">
        <v>6</v>
      </c>
      <c r="B165" s="82" t="s">
        <v>183</v>
      </c>
      <c r="C165" s="82"/>
      <c r="D165" s="82" t="s">
        <v>168</v>
      </c>
      <c r="E165" s="82">
        <v>1</v>
      </c>
      <c r="F165" s="68">
        <v>0</v>
      </c>
      <c r="G165" s="75">
        <v>35</v>
      </c>
      <c r="H165" s="69">
        <f t="shared" si="14"/>
        <v>35</v>
      </c>
      <c r="I165" s="86" t="s">
        <v>170</v>
      </c>
    </row>
    <row r="166" customHeight="1" spans="1:9">
      <c r="A166" s="68">
        <v>7</v>
      </c>
      <c r="B166" s="84" t="s">
        <v>184</v>
      </c>
      <c r="C166" s="85"/>
      <c r="D166" s="82" t="s">
        <v>168</v>
      </c>
      <c r="E166" s="82">
        <v>1</v>
      </c>
      <c r="F166" s="68">
        <v>0</v>
      </c>
      <c r="G166" s="75">
        <v>45</v>
      </c>
      <c r="H166" s="69">
        <f t="shared" si="14"/>
        <v>45</v>
      </c>
      <c r="I166" s="86" t="s">
        <v>170</v>
      </c>
    </row>
    <row r="167" customHeight="1" spans="1:9">
      <c r="A167" s="68">
        <v>8</v>
      </c>
      <c r="B167" s="82" t="s">
        <v>185</v>
      </c>
      <c r="C167" s="82"/>
      <c r="D167" s="82" t="s">
        <v>168</v>
      </c>
      <c r="E167" s="82">
        <v>1</v>
      </c>
      <c r="F167" s="68">
        <v>0</v>
      </c>
      <c r="G167" s="75">
        <v>3</v>
      </c>
      <c r="H167" s="69">
        <f t="shared" si="14"/>
        <v>3</v>
      </c>
      <c r="I167" s="86" t="s">
        <v>170</v>
      </c>
    </row>
    <row r="168" customHeight="1" spans="1:9">
      <c r="A168" s="82">
        <v>9</v>
      </c>
      <c r="B168" s="82" t="s">
        <v>186</v>
      </c>
      <c r="C168" s="82"/>
      <c r="D168" s="82" t="s">
        <v>168</v>
      </c>
      <c r="E168" s="82">
        <v>1</v>
      </c>
      <c r="F168" s="82">
        <v>0</v>
      </c>
      <c r="G168" s="75">
        <v>0.5</v>
      </c>
      <c r="H168" s="69">
        <f t="shared" si="14"/>
        <v>0.5</v>
      </c>
      <c r="I168" s="86" t="s">
        <v>170</v>
      </c>
    </row>
    <row r="169" customHeight="1" spans="1:9">
      <c r="A169" s="82">
        <v>10</v>
      </c>
      <c r="B169" s="82" t="s">
        <v>187</v>
      </c>
      <c r="C169" s="82"/>
      <c r="D169" s="82" t="s">
        <v>168</v>
      </c>
      <c r="E169" s="82">
        <v>1</v>
      </c>
      <c r="F169" s="82">
        <v>0</v>
      </c>
      <c r="G169" s="75">
        <v>0.5</v>
      </c>
      <c r="H169" s="69">
        <f t="shared" si="14"/>
        <v>0.5</v>
      </c>
      <c r="I169" s="86" t="s">
        <v>170</v>
      </c>
    </row>
    <row r="170" customHeight="1" spans="1:9">
      <c r="A170" s="82">
        <v>11</v>
      </c>
      <c r="B170" s="84" t="s">
        <v>188</v>
      </c>
      <c r="C170" s="85"/>
      <c r="D170" s="82" t="s">
        <v>168</v>
      </c>
      <c r="E170" s="82">
        <v>1</v>
      </c>
      <c r="F170" s="82">
        <v>0</v>
      </c>
      <c r="G170" s="75">
        <v>1</v>
      </c>
      <c r="H170" s="69">
        <f t="shared" si="14"/>
        <v>1</v>
      </c>
      <c r="I170" s="86" t="s">
        <v>170</v>
      </c>
    </row>
    <row r="171" customHeight="1" spans="1:9">
      <c r="A171" s="82">
        <v>12</v>
      </c>
      <c r="B171" s="82" t="s">
        <v>189</v>
      </c>
      <c r="C171" s="82"/>
      <c r="D171" s="82" t="s">
        <v>168</v>
      </c>
      <c r="E171" s="82">
        <v>1</v>
      </c>
      <c r="F171" s="82">
        <v>0</v>
      </c>
      <c r="G171" s="75">
        <v>0.5</v>
      </c>
      <c r="H171" s="69">
        <f t="shared" si="14"/>
        <v>0.5</v>
      </c>
      <c r="I171" s="86" t="s">
        <v>170</v>
      </c>
    </row>
    <row r="172" customHeight="1" spans="1:9">
      <c r="A172" s="82">
        <v>13</v>
      </c>
      <c r="B172" s="84" t="s">
        <v>190</v>
      </c>
      <c r="C172" s="85"/>
      <c r="D172" s="82" t="s">
        <v>6</v>
      </c>
      <c r="E172" s="84" t="s">
        <v>191</v>
      </c>
      <c r="F172" s="85"/>
      <c r="G172" s="86"/>
      <c r="H172" s="69">
        <f>H146+H150+H155+H161+H165+H166+H167+H168+H169+H171+H170+H152</f>
        <v>661.683904</v>
      </c>
      <c r="I172" s="89" t="s">
        <v>192</v>
      </c>
    </row>
    <row r="173" customHeight="1" spans="1:9">
      <c r="A173" s="82">
        <v>14</v>
      </c>
      <c r="B173" s="84" t="s">
        <v>193</v>
      </c>
      <c r="C173" s="85"/>
      <c r="D173" s="82" t="s">
        <v>6</v>
      </c>
      <c r="E173" s="84" t="s">
        <v>194</v>
      </c>
      <c r="F173" s="85"/>
      <c r="G173" s="87">
        <v>0.08</v>
      </c>
      <c r="H173" s="69">
        <f>H172*(G173)</f>
        <v>52.93471232</v>
      </c>
      <c r="I173" s="90"/>
    </row>
    <row r="174" customHeight="1" spans="1:9">
      <c r="A174" s="82">
        <v>15</v>
      </c>
      <c r="B174" s="84" t="s">
        <v>195</v>
      </c>
      <c r="C174" s="85"/>
      <c r="D174" s="82" t="s">
        <v>6</v>
      </c>
      <c r="E174" s="84" t="s">
        <v>196</v>
      </c>
      <c r="F174" s="85"/>
      <c r="G174" s="86"/>
      <c r="H174" s="69">
        <f>H172+H173</f>
        <v>714.61861632</v>
      </c>
      <c r="I174" s="91">
        <f>H174</f>
        <v>714.61861632</v>
      </c>
    </row>
    <row r="176" customHeight="1" spans="1:9">
      <c r="A176" s="66" t="s">
        <v>198</v>
      </c>
      <c r="E176" s="60"/>
      <c r="G176" s="60"/>
      <c r="H176" s="60"/>
      <c r="I176" s="60"/>
    </row>
    <row r="177" customHeight="1" spans="1:9">
      <c r="A177" s="14" t="s">
        <v>143</v>
      </c>
      <c r="B177" s="88"/>
      <c r="C177" s="88"/>
      <c r="D177" s="88"/>
      <c r="E177" s="14" t="s">
        <v>144</v>
      </c>
      <c r="F177" s="14" t="s">
        <v>204</v>
      </c>
      <c r="G177" s="14"/>
      <c r="H177" s="14" t="s">
        <v>145</v>
      </c>
      <c r="I177" s="14"/>
    </row>
    <row r="178" customHeight="1" spans="1:9">
      <c r="A178" s="14" t="s">
        <v>82</v>
      </c>
      <c r="B178" s="14"/>
      <c r="C178" s="14"/>
      <c r="D178" s="14"/>
      <c r="E178" s="14" t="s">
        <v>146</v>
      </c>
      <c r="F178" s="14"/>
      <c r="G178" s="14"/>
      <c r="H178" s="14"/>
      <c r="I178" s="14"/>
    </row>
    <row r="179" customHeight="1" spans="1:9">
      <c r="A179" s="13" t="s">
        <v>147</v>
      </c>
      <c r="B179" s="14" t="e">
        <f>VLOOKUP(J178,[1]工程量清单清单!A:AD,29,FALSE)</f>
        <v>#N/A</v>
      </c>
      <c r="C179" s="13" t="s">
        <v>148</v>
      </c>
      <c r="D179" s="14" t="e">
        <f>VLOOKUP(J178,[1]工程量清单清单!A:ZC,30,FALSE)</f>
        <v>#N/A</v>
      </c>
      <c r="E179" s="14" t="s">
        <v>149</v>
      </c>
      <c r="F179" s="67">
        <v>0</v>
      </c>
      <c r="G179" s="11" t="s">
        <v>150</v>
      </c>
      <c r="H179" s="14"/>
      <c r="I179" s="14"/>
    </row>
    <row r="180" customHeight="1" spans="1:9">
      <c r="A180" s="13"/>
      <c r="B180" s="14"/>
      <c r="C180" s="13"/>
      <c r="D180" s="14"/>
      <c r="E180" s="14"/>
      <c r="F180" s="67">
        <v>0</v>
      </c>
      <c r="G180" s="12" t="s">
        <v>151</v>
      </c>
      <c r="H180" s="14"/>
      <c r="I180" s="14"/>
    </row>
    <row r="181" customHeight="1" spans="1:9">
      <c r="A181" s="14" t="s">
        <v>38</v>
      </c>
      <c r="B181" s="14" t="s">
        <v>152</v>
      </c>
      <c r="C181" s="14"/>
      <c r="D181" s="14" t="s">
        <v>153</v>
      </c>
      <c r="E181" s="14" t="s">
        <v>154</v>
      </c>
      <c r="F181" s="14" t="s">
        <v>155</v>
      </c>
      <c r="G181" s="11" t="s">
        <v>156</v>
      </c>
      <c r="H181" s="11" t="s">
        <v>157</v>
      </c>
      <c r="I181" s="12" t="s">
        <v>158</v>
      </c>
    </row>
    <row r="182" customHeight="1" spans="1:9">
      <c r="A182" s="68">
        <v>1</v>
      </c>
      <c r="B182" s="68" t="s">
        <v>159</v>
      </c>
      <c r="C182" s="68"/>
      <c r="D182" s="68"/>
      <c r="E182" s="68"/>
      <c r="F182" s="68"/>
      <c r="G182" s="68"/>
      <c r="H182" s="69">
        <f>SUM(H183:H185)</f>
        <v>202.234066</v>
      </c>
      <c r="I182" s="86"/>
    </row>
    <row r="183" customHeight="1" spans="1:9">
      <c r="A183" s="14">
        <v>1.1</v>
      </c>
      <c r="B183" s="70" t="s">
        <v>200</v>
      </c>
      <c r="C183" s="71"/>
      <c r="D183" s="14" t="s">
        <v>161</v>
      </c>
      <c r="E183" s="67">
        <v>5.65</v>
      </c>
      <c r="F183" s="72">
        <v>0.07</v>
      </c>
      <c r="G183" s="73">
        <f>主要材料品牌单价!E$6/1000</f>
        <v>27.1</v>
      </c>
      <c r="H183" s="73">
        <f t="shared" ref="H183:H187" si="15">E183*(1+F183)*G183</f>
        <v>163.83305</v>
      </c>
      <c r="I183" s="11"/>
    </row>
    <row r="184" customHeight="1" spans="1:9">
      <c r="A184" s="14">
        <v>1.2</v>
      </c>
      <c r="B184" s="70" t="s">
        <v>160</v>
      </c>
      <c r="C184" s="71"/>
      <c r="D184" s="14" t="s">
        <v>161</v>
      </c>
      <c r="E184" s="67">
        <f>E183*0.16</f>
        <v>0.904</v>
      </c>
      <c r="F184" s="72">
        <v>0.07</v>
      </c>
      <c r="G184" s="73">
        <f>主要材料品牌单价!E$5/1000</f>
        <v>26.8</v>
      </c>
      <c r="H184" s="73">
        <f t="shared" si="15"/>
        <v>25.923104</v>
      </c>
      <c r="I184" s="11"/>
    </row>
    <row r="185" customHeight="1" spans="1:9">
      <c r="A185" s="14">
        <v>1.3</v>
      </c>
      <c r="B185" s="14" t="s">
        <v>162</v>
      </c>
      <c r="C185" s="14"/>
      <c r="D185" s="14" t="s">
        <v>161</v>
      </c>
      <c r="E185" s="67">
        <f>E183*0.08</f>
        <v>0.452</v>
      </c>
      <c r="F185" s="72">
        <v>0.07</v>
      </c>
      <c r="G185" s="73">
        <f>(主要材料品牌单价!E$5-1000)/1000</f>
        <v>25.8</v>
      </c>
      <c r="H185" s="73">
        <f t="shared" si="15"/>
        <v>12.477912</v>
      </c>
      <c r="I185" s="11"/>
    </row>
    <row r="186" customHeight="1" spans="1:9">
      <c r="A186" s="68">
        <v>2</v>
      </c>
      <c r="B186" s="68" t="s">
        <v>163</v>
      </c>
      <c r="C186" s="68"/>
      <c r="D186" s="68"/>
      <c r="E186" s="68"/>
      <c r="F186" s="68"/>
      <c r="G186" s="68"/>
      <c r="H186" s="74">
        <f>H187</f>
        <v>28.9668</v>
      </c>
      <c r="I186" s="86"/>
    </row>
    <row r="187" customHeight="1" spans="1:9">
      <c r="A187" s="14">
        <v>2.1</v>
      </c>
      <c r="B187" s="14" t="s">
        <v>164</v>
      </c>
      <c r="C187" s="14"/>
      <c r="D187" s="14" t="s">
        <v>165</v>
      </c>
      <c r="E187" s="73">
        <v>0.4</v>
      </c>
      <c r="F187" s="72">
        <v>0.01</v>
      </c>
      <c r="G187" s="73">
        <f>主要材料品牌单价!E14</f>
        <v>71.7</v>
      </c>
      <c r="H187" s="73">
        <f t="shared" si="15"/>
        <v>28.9668</v>
      </c>
      <c r="I187" s="11"/>
    </row>
    <row r="188" customHeight="1" spans="1:9">
      <c r="A188" s="68">
        <v>3</v>
      </c>
      <c r="B188" s="68" t="s">
        <v>166</v>
      </c>
      <c r="C188" s="68"/>
      <c r="D188" s="68"/>
      <c r="E188" s="68"/>
      <c r="F188" s="68"/>
      <c r="G188" s="68"/>
      <c r="H188" s="74">
        <f>H189</f>
        <v>112.8375</v>
      </c>
      <c r="I188" s="86"/>
    </row>
    <row r="189" customHeight="1" spans="1:9">
      <c r="A189" s="14">
        <v>3.1</v>
      </c>
      <c r="B189" s="14" t="s">
        <v>205</v>
      </c>
      <c r="C189" s="14"/>
      <c r="D189" s="14" t="s">
        <v>168</v>
      </c>
      <c r="E189" s="73">
        <v>0.9</v>
      </c>
      <c r="F189" s="72">
        <v>0.003</v>
      </c>
      <c r="G189" s="11">
        <f>主要材料品牌单价!E35</f>
        <v>125</v>
      </c>
      <c r="H189" s="73">
        <f>E189*(1+F189)*G189</f>
        <v>112.8375</v>
      </c>
      <c r="I189" s="11"/>
    </row>
    <row r="190" customHeight="1" spans="1:9">
      <c r="A190" s="68">
        <v>4</v>
      </c>
      <c r="B190" s="68" t="s">
        <v>169</v>
      </c>
      <c r="C190" s="68"/>
      <c r="D190" s="68"/>
      <c r="E190" s="68"/>
      <c r="F190" s="68"/>
      <c r="G190" s="68"/>
      <c r="H190" s="69">
        <f>SUM(H191:H195)</f>
        <v>27.45</v>
      </c>
      <c r="I190" s="86" t="s">
        <v>170</v>
      </c>
    </row>
    <row r="191" customHeight="1" spans="1:9">
      <c r="A191" s="75">
        <v>4.1</v>
      </c>
      <c r="B191" s="14" t="s">
        <v>171</v>
      </c>
      <c r="C191" s="14"/>
      <c r="D191" s="14" t="s">
        <v>172</v>
      </c>
      <c r="E191" s="75">
        <v>0.5</v>
      </c>
      <c r="F191" s="75"/>
      <c r="G191" s="75">
        <f>主要材料品牌单价!E$44</f>
        <v>11.5</v>
      </c>
      <c r="H191" s="73">
        <f t="shared" ref="H191:H195" si="16">E191*(1+F191)*G191</f>
        <v>5.75</v>
      </c>
      <c r="I191" s="11"/>
    </row>
    <row r="192" customHeight="1" spans="1:9">
      <c r="A192" s="75">
        <v>4.2</v>
      </c>
      <c r="B192" s="70" t="s">
        <v>173</v>
      </c>
      <c r="C192" s="71"/>
      <c r="D192" s="14" t="s">
        <v>172</v>
      </c>
      <c r="E192" s="76">
        <v>0.8</v>
      </c>
      <c r="F192" s="75"/>
      <c r="G192" s="75">
        <f>主要材料品牌单价!E$43</f>
        <v>11.5</v>
      </c>
      <c r="H192" s="73">
        <f t="shared" si="16"/>
        <v>9.2</v>
      </c>
      <c r="I192" s="11"/>
    </row>
    <row r="193" customHeight="1" spans="1:9">
      <c r="A193" s="75">
        <v>4.3</v>
      </c>
      <c r="B193" s="70" t="s">
        <v>174</v>
      </c>
      <c r="C193" s="71"/>
      <c r="D193" s="14" t="s">
        <v>172</v>
      </c>
      <c r="E193" s="76">
        <v>0.2</v>
      </c>
      <c r="F193" s="75"/>
      <c r="G193" s="75">
        <f>主要材料品牌单价!E$45</f>
        <v>13.5</v>
      </c>
      <c r="H193" s="73">
        <f t="shared" si="16"/>
        <v>2.7</v>
      </c>
      <c r="I193" s="11"/>
    </row>
    <row r="194" customHeight="1" spans="1:9">
      <c r="A194" s="75">
        <v>4.4</v>
      </c>
      <c r="B194" s="77" t="s">
        <v>175</v>
      </c>
      <c r="C194" s="78"/>
      <c r="D194" s="14" t="s">
        <v>172</v>
      </c>
      <c r="E194" s="67">
        <v>0.1</v>
      </c>
      <c r="F194" s="14"/>
      <c r="G194" s="75">
        <f>主要材料品牌单价!E$46</f>
        <v>18</v>
      </c>
      <c r="H194" s="73">
        <f t="shared" si="16"/>
        <v>1.8</v>
      </c>
      <c r="I194" s="11"/>
    </row>
    <row r="195" customHeight="1" spans="1:9">
      <c r="A195" s="75">
        <v>4.5</v>
      </c>
      <c r="B195" s="79" t="s">
        <v>176</v>
      </c>
      <c r="C195" s="79"/>
      <c r="D195" s="14" t="s">
        <v>177</v>
      </c>
      <c r="E195" s="67">
        <v>1</v>
      </c>
      <c r="F195" s="14"/>
      <c r="G195" s="75">
        <v>8</v>
      </c>
      <c r="H195" s="73">
        <f t="shared" si="16"/>
        <v>8</v>
      </c>
      <c r="I195" s="11"/>
    </row>
    <row r="196" customHeight="1" spans="1:9">
      <c r="A196" s="68">
        <v>5</v>
      </c>
      <c r="B196" s="68" t="s">
        <v>178</v>
      </c>
      <c r="C196" s="68"/>
      <c r="D196" s="68"/>
      <c r="E196" s="68"/>
      <c r="F196" s="68"/>
      <c r="G196" s="68"/>
      <c r="H196" s="69">
        <f>SUM(H197:H199)</f>
        <v>9.3</v>
      </c>
      <c r="I196" s="86" t="s">
        <v>170</v>
      </c>
    </row>
    <row r="197" customHeight="1" spans="1:9">
      <c r="A197" s="75">
        <v>5.1</v>
      </c>
      <c r="B197" s="14" t="s">
        <v>179</v>
      </c>
      <c r="C197" s="14"/>
      <c r="D197" s="14" t="s">
        <v>180</v>
      </c>
      <c r="E197" s="76">
        <v>0.1</v>
      </c>
      <c r="F197" s="75"/>
      <c r="G197" s="75">
        <f>主要材料品牌单价!E$48</f>
        <v>13</v>
      </c>
      <c r="H197" s="73">
        <f t="shared" ref="H197:H206" si="17">E197*(1+F197)*G197</f>
        <v>1.3</v>
      </c>
      <c r="I197" s="11"/>
    </row>
    <row r="198" customHeight="1" spans="1:9">
      <c r="A198" s="75">
        <v>5.2</v>
      </c>
      <c r="B198" s="70" t="s">
        <v>181</v>
      </c>
      <c r="C198" s="71"/>
      <c r="D198" s="14" t="s">
        <v>177</v>
      </c>
      <c r="E198" s="76">
        <v>0</v>
      </c>
      <c r="F198" s="75"/>
      <c r="G198" s="75"/>
      <c r="H198" s="73">
        <f t="shared" si="17"/>
        <v>0</v>
      </c>
      <c r="I198" s="11"/>
    </row>
    <row r="199" customHeight="1" spans="1:9">
      <c r="A199" s="75">
        <v>5.3</v>
      </c>
      <c r="B199" s="80" t="s">
        <v>182</v>
      </c>
      <c r="C199" s="81"/>
      <c r="D199" s="82" t="s">
        <v>168</v>
      </c>
      <c r="E199" s="67">
        <v>8</v>
      </c>
      <c r="F199" s="14"/>
      <c r="G199" s="75"/>
      <c r="H199" s="73">
        <v>8</v>
      </c>
      <c r="I199" s="11"/>
    </row>
    <row r="200" customHeight="1" spans="1:9">
      <c r="A200" s="83">
        <v>6</v>
      </c>
      <c r="B200" s="82" t="s">
        <v>183</v>
      </c>
      <c r="C200" s="82"/>
      <c r="D200" s="82" t="s">
        <v>168</v>
      </c>
      <c r="E200" s="82">
        <v>1</v>
      </c>
      <c r="F200" s="68">
        <v>0</v>
      </c>
      <c r="G200" s="75">
        <v>35</v>
      </c>
      <c r="H200" s="69">
        <f t="shared" si="17"/>
        <v>35</v>
      </c>
      <c r="I200" s="86" t="s">
        <v>170</v>
      </c>
    </row>
    <row r="201" customHeight="1" spans="1:9">
      <c r="A201" s="68">
        <v>7</v>
      </c>
      <c r="B201" s="84" t="s">
        <v>184</v>
      </c>
      <c r="C201" s="85"/>
      <c r="D201" s="82" t="s">
        <v>168</v>
      </c>
      <c r="E201" s="82">
        <v>1</v>
      </c>
      <c r="F201" s="68">
        <v>0</v>
      </c>
      <c r="G201" s="75">
        <v>50</v>
      </c>
      <c r="H201" s="69">
        <f t="shared" si="17"/>
        <v>50</v>
      </c>
      <c r="I201" s="86" t="s">
        <v>170</v>
      </c>
    </row>
    <row r="202" customHeight="1" spans="1:9">
      <c r="A202" s="68">
        <v>8</v>
      </c>
      <c r="B202" s="82" t="s">
        <v>185</v>
      </c>
      <c r="C202" s="82"/>
      <c r="D202" s="82" t="s">
        <v>168</v>
      </c>
      <c r="E202" s="82">
        <v>1</v>
      </c>
      <c r="F202" s="68">
        <v>0</v>
      </c>
      <c r="G202" s="75">
        <v>3</v>
      </c>
      <c r="H202" s="69">
        <f t="shared" si="17"/>
        <v>3</v>
      </c>
      <c r="I202" s="86" t="s">
        <v>170</v>
      </c>
    </row>
    <row r="203" customHeight="1" spans="1:9">
      <c r="A203" s="82">
        <v>9</v>
      </c>
      <c r="B203" s="82" t="s">
        <v>186</v>
      </c>
      <c r="C203" s="82"/>
      <c r="D203" s="82" t="s">
        <v>168</v>
      </c>
      <c r="E203" s="82">
        <v>1</v>
      </c>
      <c r="F203" s="82">
        <v>0</v>
      </c>
      <c r="G203" s="75">
        <v>0.5</v>
      </c>
      <c r="H203" s="69">
        <f t="shared" si="17"/>
        <v>0.5</v>
      </c>
      <c r="I203" s="86" t="s">
        <v>170</v>
      </c>
    </row>
    <row r="204" customHeight="1" spans="1:9">
      <c r="A204" s="82">
        <v>10</v>
      </c>
      <c r="B204" s="82" t="s">
        <v>187</v>
      </c>
      <c r="C204" s="82"/>
      <c r="D204" s="82" t="s">
        <v>168</v>
      </c>
      <c r="E204" s="82">
        <v>1</v>
      </c>
      <c r="F204" s="82">
        <v>0</v>
      </c>
      <c r="G204" s="75">
        <v>0.5</v>
      </c>
      <c r="H204" s="69">
        <f t="shared" si="17"/>
        <v>0.5</v>
      </c>
      <c r="I204" s="86" t="s">
        <v>170</v>
      </c>
    </row>
    <row r="205" customHeight="1" spans="1:9">
      <c r="A205" s="82">
        <v>11</v>
      </c>
      <c r="B205" s="84" t="s">
        <v>188</v>
      </c>
      <c r="C205" s="85"/>
      <c r="D205" s="82" t="s">
        <v>168</v>
      </c>
      <c r="E205" s="82">
        <v>1</v>
      </c>
      <c r="F205" s="82">
        <v>0</v>
      </c>
      <c r="G205" s="75">
        <v>1</v>
      </c>
      <c r="H205" s="69">
        <f t="shared" si="17"/>
        <v>1</v>
      </c>
      <c r="I205" s="86" t="s">
        <v>170</v>
      </c>
    </row>
    <row r="206" customHeight="1" spans="1:9">
      <c r="A206" s="82">
        <v>12</v>
      </c>
      <c r="B206" s="82" t="s">
        <v>189</v>
      </c>
      <c r="C206" s="82"/>
      <c r="D206" s="82" t="s">
        <v>168</v>
      </c>
      <c r="E206" s="82">
        <v>1</v>
      </c>
      <c r="F206" s="82">
        <v>0</v>
      </c>
      <c r="G206" s="75">
        <v>0.5</v>
      </c>
      <c r="H206" s="69">
        <f t="shared" si="17"/>
        <v>0.5</v>
      </c>
      <c r="I206" s="86" t="s">
        <v>170</v>
      </c>
    </row>
    <row r="207" customHeight="1" spans="1:9">
      <c r="A207" s="82">
        <v>13</v>
      </c>
      <c r="B207" s="84" t="s">
        <v>190</v>
      </c>
      <c r="C207" s="85"/>
      <c r="D207" s="82" t="s">
        <v>6</v>
      </c>
      <c r="E207" s="84" t="s">
        <v>191</v>
      </c>
      <c r="F207" s="85"/>
      <c r="G207" s="86"/>
      <c r="H207" s="69">
        <f>H182+H186+H190+H196+H200+H201+H202+H203+H204+H206+H205+H188</f>
        <v>471.288366</v>
      </c>
      <c r="I207" s="89" t="s">
        <v>192</v>
      </c>
    </row>
    <row r="208" customHeight="1" spans="1:9">
      <c r="A208" s="82">
        <v>14</v>
      </c>
      <c r="B208" s="84" t="s">
        <v>193</v>
      </c>
      <c r="C208" s="85"/>
      <c r="D208" s="82" t="s">
        <v>6</v>
      </c>
      <c r="E208" s="84" t="s">
        <v>194</v>
      </c>
      <c r="F208" s="85"/>
      <c r="G208" s="87">
        <v>0.08</v>
      </c>
      <c r="H208" s="69">
        <f>H207*(G208)</f>
        <v>37.70306928</v>
      </c>
      <c r="I208" s="90"/>
    </row>
    <row r="209" customHeight="1" spans="1:9">
      <c r="A209" s="82">
        <v>15</v>
      </c>
      <c r="B209" s="84" t="s">
        <v>195</v>
      </c>
      <c r="C209" s="85"/>
      <c r="D209" s="82" t="s">
        <v>6</v>
      </c>
      <c r="E209" s="84" t="s">
        <v>196</v>
      </c>
      <c r="F209" s="85"/>
      <c r="G209" s="86"/>
      <c r="H209" s="69">
        <f>H207+H208</f>
        <v>508.99143528</v>
      </c>
      <c r="I209" s="91">
        <f>H209</f>
        <v>508.99143528</v>
      </c>
    </row>
    <row r="211" customHeight="1" spans="1:9">
      <c r="A211" s="66" t="s">
        <v>198</v>
      </c>
      <c r="E211" s="60"/>
      <c r="G211" s="60"/>
      <c r="H211" s="60"/>
      <c r="I211" s="60"/>
    </row>
    <row r="212" customHeight="1" spans="1:9">
      <c r="A212" s="14" t="s">
        <v>143</v>
      </c>
      <c r="B212" s="88"/>
      <c r="C212" s="88"/>
      <c r="D212" s="88"/>
      <c r="E212" s="14" t="s">
        <v>144</v>
      </c>
      <c r="F212" s="14" t="s">
        <v>119</v>
      </c>
      <c r="G212" s="14"/>
      <c r="H212" s="14" t="s">
        <v>145</v>
      </c>
      <c r="I212" s="14"/>
    </row>
    <row r="213" customHeight="1" spans="1:9">
      <c r="A213" s="14" t="s">
        <v>82</v>
      </c>
      <c r="B213" s="14"/>
      <c r="C213" s="14"/>
      <c r="D213" s="14"/>
      <c r="E213" s="14" t="s">
        <v>146</v>
      </c>
      <c r="F213" s="14"/>
      <c r="G213" s="14"/>
      <c r="H213" s="14"/>
      <c r="I213" s="14"/>
    </row>
    <row r="214" customHeight="1" spans="1:9">
      <c r="A214" s="13" t="s">
        <v>147</v>
      </c>
      <c r="B214" s="14" t="e">
        <f>VLOOKUP(J213,[1]工程量清单清单!A:AD,29,FALSE)</f>
        <v>#N/A</v>
      </c>
      <c r="C214" s="13" t="s">
        <v>148</v>
      </c>
      <c r="D214" s="14" t="e">
        <f>VLOOKUP(J213,[1]工程量清单清单!A:ZC,30,FALSE)</f>
        <v>#N/A</v>
      </c>
      <c r="E214" s="14" t="s">
        <v>149</v>
      </c>
      <c r="F214" s="67">
        <v>0</v>
      </c>
      <c r="G214" s="11" t="s">
        <v>150</v>
      </c>
      <c r="H214" s="14"/>
      <c r="I214" s="14"/>
    </row>
    <row r="215" customHeight="1" spans="1:9">
      <c r="A215" s="13"/>
      <c r="B215" s="14"/>
      <c r="C215" s="13"/>
      <c r="D215" s="14"/>
      <c r="E215" s="14"/>
      <c r="F215" s="67">
        <v>0</v>
      </c>
      <c r="G215" s="12" t="s">
        <v>151</v>
      </c>
      <c r="H215" s="14"/>
      <c r="I215" s="14"/>
    </row>
    <row r="216" customHeight="1" spans="1:9">
      <c r="A216" s="14" t="s">
        <v>38</v>
      </c>
      <c r="B216" s="14" t="s">
        <v>152</v>
      </c>
      <c r="C216" s="14"/>
      <c r="D216" s="14" t="s">
        <v>153</v>
      </c>
      <c r="E216" s="14" t="s">
        <v>154</v>
      </c>
      <c r="F216" s="14" t="s">
        <v>155</v>
      </c>
      <c r="G216" s="11" t="s">
        <v>156</v>
      </c>
      <c r="H216" s="11" t="s">
        <v>157</v>
      </c>
      <c r="I216" s="12" t="s">
        <v>158</v>
      </c>
    </row>
    <row r="217" customHeight="1" spans="1:9">
      <c r="A217" s="68">
        <v>1</v>
      </c>
      <c r="B217" s="68" t="s">
        <v>159</v>
      </c>
      <c r="C217" s="68"/>
      <c r="D217" s="68"/>
      <c r="E217" s="68"/>
      <c r="F217" s="68"/>
      <c r="G217" s="68"/>
      <c r="H217" s="69">
        <f>SUM(H218:H220)</f>
        <v>245.9023068</v>
      </c>
      <c r="I217" s="86"/>
    </row>
    <row r="218" customHeight="1" spans="1:9">
      <c r="A218" s="14">
        <v>1.1</v>
      </c>
      <c r="B218" s="70" t="s">
        <v>200</v>
      </c>
      <c r="C218" s="71"/>
      <c r="D218" s="14" t="s">
        <v>161</v>
      </c>
      <c r="E218" s="67">
        <v>6.87</v>
      </c>
      <c r="F218" s="72">
        <v>0.07</v>
      </c>
      <c r="G218" s="73">
        <f>主要材料品牌单价!E$6/1000</f>
        <v>27.1</v>
      </c>
      <c r="H218" s="73">
        <f t="shared" ref="H218:H220" si="18">E218*(1+F218)*G218</f>
        <v>199.20939</v>
      </c>
      <c r="I218" s="11"/>
    </row>
    <row r="219" customHeight="1" spans="1:9">
      <c r="A219" s="14">
        <v>1.2</v>
      </c>
      <c r="B219" s="70" t="s">
        <v>160</v>
      </c>
      <c r="C219" s="71"/>
      <c r="D219" s="14" t="s">
        <v>161</v>
      </c>
      <c r="E219" s="67">
        <f>E218*0.16</f>
        <v>1.0992</v>
      </c>
      <c r="F219" s="72">
        <v>0.07</v>
      </c>
      <c r="G219" s="73">
        <f>主要材料品牌单价!E$5/1000</f>
        <v>26.8</v>
      </c>
      <c r="H219" s="73">
        <f t="shared" si="18"/>
        <v>31.5206592</v>
      </c>
      <c r="I219" s="11"/>
    </row>
    <row r="220" customHeight="1" spans="1:9">
      <c r="A220" s="14">
        <v>1.3</v>
      </c>
      <c r="B220" s="14" t="s">
        <v>162</v>
      </c>
      <c r="C220" s="14"/>
      <c r="D220" s="14" t="s">
        <v>161</v>
      </c>
      <c r="E220" s="67">
        <f>E218*0.08</f>
        <v>0.5496</v>
      </c>
      <c r="F220" s="72">
        <v>0.07</v>
      </c>
      <c r="G220" s="73">
        <f>(主要材料品牌单价!E$5-1000)/1000</f>
        <v>25.8</v>
      </c>
      <c r="H220" s="73">
        <f t="shared" si="18"/>
        <v>15.1722576</v>
      </c>
      <c r="I220" s="11"/>
    </row>
    <row r="221" customHeight="1" spans="1:9">
      <c r="A221" s="68">
        <v>2</v>
      </c>
      <c r="B221" s="68" t="s">
        <v>163</v>
      </c>
      <c r="C221" s="68"/>
      <c r="D221" s="68"/>
      <c r="E221" s="68"/>
      <c r="F221" s="68"/>
      <c r="G221" s="68"/>
      <c r="H221" s="74">
        <f>H222</f>
        <v>42.2685</v>
      </c>
      <c r="I221" s="86"/>
    </row>
    <row r="222" customHeight="1" spans="1:9">
      <c r="A222" s="14">
        <v>2.1</v>
      </c>
      <c r="B222" s="14" t="s">
        <v>164</v>
      </c>
      <c r="C222" s="14"/>
      <c r="D222" s="14" t="s">
        <v>165</v>
      </c>
      <c r="E222" s="73">
        <v>0.31</v>
      </c>
      <c r="F222" s="72">
        <v>0.01</v>
      </c>
      <c r="G222" s="73">
        <f>主要材料品牌单价!E26</f>
        <v>135</v>
      </c>
      <c r="H222" s="73">
        <f>E222*(1+F222)*G222</f>
        <v>42.2685</v>
      </c>
      <c r="I222" s="11"/>
    </row>
    <row r="223" customHeight="1" spans="1:9">
      <c r="A223" s="68">
        <v>3</v>
      </c>
      <c r="B223" s="68" t="s">
        <v>166</v>
      </c>
      <c r="C223" s="68"/>
      <c r="D223" s="68"/>
      <c r="E223" s="68"/>
      <c r="F223" s="68"/>
      <c r="G223" s="68"/>
      <c r="H223" s="74">
        <f>H224+H225</f>
        <v>172.23516</v>
      </c>
      <c r="I223" s="86"/>
    </row>
    <row r="224" ht="26" customHeight="1" spans="1:9">
      <c r="A224" s="14">
        <v>3.1</v>
      </c>
      <c r="B224" s="13" t="s">
        <v>206</v>
      </c>
      <c r="C224" s="13"/>
      <c r="D224" s="14" t="s">
        <v>168</v>
      </c>
      <c r="E224" s="73">
        <v>0.72</v>
      </c>
      <c r="F224" s="72">
        <v>0.003</v>
      </c>
      <c r="G224" s="11">
        <f>主要材料品牌单价!E40</f>
        <v>187</v>
      </c>
      <c r="H224" s="73">
        <f>E224*(1+F224)*G224</f>
        <v>135.04392</v>
      </c>
      <c r="I224" s="11"/>
    </row>
    <row r="225" ht="26" customHeight="1" spans="1:9">
      <c r="A225" s="14">
        <v>3.2</v>
      </c>
      <c r="B225" s="92" t="s">
        <v>207</v>
      </c>
      <c r="C225" s="93"/>
      <c r="D225" s="14" t="s">
        <v>168</v>
      </c>
      <c r="E225" s="73">
        <v>0.18</v>
      </c>
      <c r="F225" s="72">
        <v>0.003</v>
      </c>
      <c r="G225" s="11">
        <f>主要材料品牌单价!E41</f>
        <v>206</v>
      </c>
      <c r="H225" s="73">
        <f>E225*(1+F225)*G225</f>
        <v>37.19124</v>
      </c>
      <c r="I225" s="11"/>
    </row>
    <row r="226" customHeight="1" spans="1:9">
      <c r="A226" s="68">
        <v>4</v>
      </c>
      <c r="B226" s="68" t="s">
        <v>169</v>
      </c>
      <c r="C226" s="68"/>
      <c r="D226" s="68"/>
      <c r="E226" s="68"/>
      <c r="F226" s="68"/>
      <c r="G226" s="68"/>
      <c r="H226" s="69">
        <f>SUM(H227:H231)</f>
        <v>35.9</v>
      </c>
      <c r="I226" s="86" t="s">
        <v>170</v>
      </c>
    </row>
    <row r="227" customHeight="1" spans="1:9">
      <c r="A227" s="75">
        <v>4.1</v>
      </c>
      <c r="B227" s="14" t="s">
        <v>171</v>
      </c>
      <c r="C227" s="14"/>
      <c r="D227" s="14" t="s">
        <v>172</v>
      </c>
      <c r="E227" s="75">
        <v>1</v>
      </c>
      <c r="F227" s="75"/>
      <c r="G227" s="75">
        <f>主要材料品牌单价!E$44</f>
        <v>11.5</v>
      </c>
      <c r="H227" s="73">
        <f t="shared" ref="H226:H231" si="19">E227*(1+F227)*G227</f>
        <v>11.5</v>
      </c>
      <c r="I227" s="11"/>
    </row>
    <row r="228" customHeight="1" spans="1:9">
      <c r="A228" s="75">
        <v>4.2</v>
      </c>
      <c r="B228" s="70" t="s">
        <v>173</v>
      </c>
      <c r="C228" s="71"/>
      <c r="D228" s="14" t="s">
        <v>172</v>
      </c>
      <c r="E228" s="76">
        <v>0.8</v>
      </c>
      <c r="F228" s="75"/>
      <c r="G228" s="75">
        <f>主要材料品牌单价!E$43</f>
        <v>11.5</v>
      </c>
      <c r="H228" s="73">
        <f t="shared" si="19"/>
        <v>9.2</v>
      </c>
      <c r="I228" s="11"/>
    </row>
    <row r="229" customHeight="1" spans="1:9">
      <c r="A229" s="75">
        <v>4.3</v>
      </c>
      <c r="B229" s="70" t="s">
        <v>174</v>
      </c>
      <c r="C229" s="71"/>
      <c r="D229" s="14" t="s">
        <v>172</v>
      </c>
      <c r="E229" s="76">
        <v>0.4</v>
      </c>
      <c r="F229" s="75"/>
      <c r="G229" s="75">
        <f>主要材料品牌单价!E$45</f>
        <v>13.5</v>
      </c>
      <c r="H229" s="73">
        <f t="shared" si="19"/>
        <v>5.4</v>
      </c>
      <c r="I229" s="11"/>
    </row>
    <row r="230" customHeight="1" spans="1:9">
      <c r="A230" s="75">
        <v>4.4</v>
      </c>
      <c r="B230" s="77" t="s">
        <v>175</v>
      </c>
      <c r="C230" s="78"/>
      <c r="D230" s="14" t="s">
        <v>172</v>
      </c>
      <c r="E230" s="67">
        <v>0.1</v>
      </c>
      <c r="F230" s="14"/>
      <c r="G230" s="75">
        <f>主要材料品牌单价!E$46</f>
        <v>18</v>
      </c>
      <c r="H230" s="73">
        <f t="shared" si="19"/>
        <v>1.8</v>
      </c>
      <c r="I230" s="11"/>
    </row>
    <row r="231" customHeight="1" spans="1:9">
      <c r="A231" s="75">
        <v>4.5</v>
      </c>
      <c r="B231" s="79" t="s">
        <v>176</v>
      </c>
      <c r="C231" s="79"/>
      <c r="D231" s="14" t="s">
        <v>177</v>
      </c>
      <c r="E231" s="67">
        <v>1</v>
      </c>
      <c r="F231" s="14"/>
      <c r="G231" s="75">
        <v>8</v>
      </c>
      <c r="H231" s="73">
        <f t="shared" si="19"/>
        <v>8</v>
      </c>
      <c r="I231" s="11"/>
    </row>
    <row r="232" customHeight="1" spans="1:9">
      <c r="A232" s="68">
        <v>5</v>
      </c>
      <c r="B232" s="68" t="s">
        <v>178</v>
      </c>
      <c r="C232" s="68"/>
      <c r="D232" s="68"/>
      <c r="E232" s="68"/>
      <c r="F232" s="68"/>
      <c r="G232" s="68"/>
      <c r="H232" s="69">
        <f>SUM(H233:H235)</f>
        <v>19.3</v>
      </c>
      <c r="I232" s="86" t="s">
        <v>170</v>
      </c>
    </row>
    <row r="233" customHeight="1" spans="1:9">
      <c r="A233" s="75">
        <v>5.1</v>
      </c>
      <c r="B233" s="14" t="s">
        <v>179</v>
      </c>
      <c r="C233" s="14"/>
      <c r="D233" s="14" t="s">
        <v>180</v>
      </c>
      <c r="E233" s="76">
        <v>0.1</v>
      </c>
      <c r="F233" s="75"/>
      <c r="G233" s="75">
        <f>主要材料品牌单价!E$48</f>
        <v>13</v>
      </c>
      <c r="H233" s="73">
        <f t="shared" ref="H233:H242" si="20">E233*(1+F233)*G233</f>
        <v>1.3</v>
      </c>
      <c r="I233" s="11"/>
    </row>
    <row r="234" customHeight="1" spans="1:9">
      <c r="A234" s="75">
        <v>5.2</v>
      </c>
      <c r="B234" s="70" t="s">
        <v>181</v>
      </c>
      <c r="C234" s="71"/>
      <c r="D234" s="14" t="s">
        <v>177</v>
      </c>
      <c r="E234" s="76">
        <v>0</v>
      </c>
      <c r="F234" s="75"/>
      <c r="G234" s="75"/>
      <c r="H234" s="73">
        <f t="shared" si="20"/>
        <v>0</v>
      </c>
      <c r="I234" s="11"/>
    </row>
    <row r="235" customHeight="1" spans="1:9">
      <c r="A235" s="75">
        <v>5.3</v>
      </c>
      <c r="B235" s="80" t="s">
        <v>182</v>
      </c>
      <c r="C235" s="81"/>
      <c r="D235" s="82" t="s">
        <v>168</v>
      </c>
      <c r="E235" s="67">
        <v>18</v>
      </c>
      <c r="F235" s="14"/>
      <c r="G235" s="75"/>
      <c r="H235" s="73">
        <f>E235</f>
        <v>18</v>
      </c>
      <c r="I235" s="11"/>
    </row>
    <row r="236" customHeight="1" spans="1:9">
      <c r="A236" s="83">
        <v>6</v>
      </c>
      <c r="B236" s="82" t="s">
        <v>183</v>
      </c>
      <c r="C236" s="82"/>
      <c r="D236" s="82" t="s">
        <v>168</v>
      </c>
      <c r="E236" s="82">
        <v>1</v>
      </c>
      <c r="F236" s="68">
        <v>0</v>
      </c>
      <c r="G236" s="75">
        <v>50</v>
      </c>
      <c r="H236" s="69">
        <f t="shared" si="20"/>
        <v>50</v>
      </c>
      <c r="I236" s="86" t="s">
        <v>170</v>
      </c>
    </row>
    <row r="237" customHeight="1" spans="1:9">
      <c r="A237" s="68">
        <v>7</v>
      </c>
      <c r="B237" s="84" t="s">
        <v>184</v>
      </c>
      <c r="C237" s="85"/>
      <c r="D237" s="82" t="s">
        <v>168</v>
      </c>
      <c r="E237" s="82">
        <v>1</v>
      </c>
      <c r="F237" s="68">
        <v>0</v>
      </c>
      <c r="G237" s="75">
        <v>60</v>
      </c>
      <c r="H237" s="69">
        <f t="shared" si="20"/>
        <v>60</v>
      </c>
      <c r="I237" s="86" t="s">
        <v>170</v>
      </c>
    </row>
    <row r="238" customHeight="1" spans="1:9">
      <c r="A238" s="68">
        <v>8</v>
      </c>
      <c r="B238" s="82" t="s">
        <v>185</v>
      </c>
      <c r="C238" s="82"/>
      <c r="D238" s="82" t="s">
        <v>168</v>
      </c>
      <c r="E238" s="82">
        <v>1</v>
      </c>
      <c r="F238" s="68">
        <v>0</v>
      </c>
      <c r="G238" s="75">
        <v>3</v>
      </c>
      <c r="H238" s="69">
        <f t="shared" si="20"/>
        <v>3</v>
      </c>
      <c r="I238" s="86" t="s">
        <v>170</v>
      </c>
    </row>
    <row r="239" customHeight="1" spans="1:9">
      <c r="A239" s="82">
        <v>9</v>
      </c>
      <c r="B239" s="82" t="s">
        <v>186</v>
      </c>
      <c r="C239" s="82"/>
      <c r="D239" s="82" t="s">
        <v>168</v>
      </c>
      <c r="E239" s="82">
        <v>1</v>
      </c>
      <c r="F239" s="82">
        <v>0</v>
      </c>
      <c r="G239" s="75">
        <v>0.5</v>
      </c>
      <c r="H239" s="69">
        <f t="shared" si="20"/>
        <v>0.5</v>
      </c>
      <c r="I239" s="86" t="s">
        <v>170</v>
      </c>
    </row>
    <row r="240" customHeight="1" spans="1:9">
      <c r="A240" s="82">
        <v>10</v>
      </c>
      <c r="B240" s="82" t="s">
        <v>187</v>
      </c>
      <c r="C240" s="82"/>
      <c r="D240" s="82" t="s">
        <v>168</v>
      </c>
      <c r="E240" s="82">
        <v>1</v>
      </c>
      <c r="F240" s="82">
        <v>0</v>
      </c>
      <c r="G240" s="75">
        <v>0.5</v>
      </c>
      <c r="H240" s="69">
        <f t="shared" si="20"/>
        <v>0.5</v>
      </c>
      <c r="I240" s="86" t="s">
        <v>170</v>
      </c>
    </row>
    <row r="241" customHeight="1" spans="1:9">
      <c r="A241" s="82">
        <v>11</v>
      </c>
      <c r="B241" s="84" t="s">
        <v>188</v>
      </c>
      <c r="C241" s="85"/>
      <c r="D241" s="82" t="s">
        <v>168</v>
      </c>
      <c r="E241" s="82">
        <v>1</v>
      </c>
      <c r="F241" s="82">
        <v>0</v>
      </c>
      <c r="G241" s="75">
        <v>1</v>
      </c>
      <c r="H241" s="69">
        <f t="shared" si="20"/>
        <v>1</v>
      </c>
      <c r="I241" s="86" t="s">
        <v>170</v>
      </c>
    </row>
    <row r="242" customHeight="1" spans="1:9">
      <c r="A242" s="82">
        <v>12</v>
      </c>
      <c r="B242" s="82" t="s">
        <v>189</v>
      </c>
      <c r="C242" s="82"/>
      <c r="D242" s="82" t="s">
        <v>168</v>
      </c>
      <c r="E242" s="82">
        <v>1</v>
      </c>
      <c r="F242" s="82">
        <v>0</v>
      </c>
      <c r="G242" s="75">
        <v>0.5</v>
      </c>
      <c r="H242" s="69">
        <f t="shared" si="20"/>
        <v>0.5</v>
      </c>
      <c r="I242" s="86" t="s">
        <v>170</v>
      </c>
    </row>
    <row r="243" customHeight="1" spans="1:9">
      <c r="A243" s="82">
        <v>13</v>
      </c>
      <c r="B243" s="84" t="s">
        <v>190</v>
      </c>
      <c r="C243" s="85"/>
      <c r="D243" s="82" t="s">
        <v>6</v>
      </c>
      <c r="E243" s="84" t="s">
        <v>191</v>
      </c>
      <c r="F243" s="85"/>
      <c r="G243" s="86"/>
      <c r="H243" s="69">
        <f>H217+H221+H226+H232+H236+H237+H238+H239+H240+H242+H241+H223</f>
        <v>631.1059668</v>
      </c>
      <c r="I243" s="89" t="s">
        <v>192</v>
      </c>
    </row>
    <row r="244" customHeight="1" spans="1:9">
      <c r="A244" s="82">
        <v>14</v>
      </c>
      <c r="B244" s="84" t="s">
        <v>193</v>
      </c>
      <c r="C244" s="85"/>
      <c r="D244" s="82" t="s">
        <v>6</v>
      </c>
      <c r="E244" s="84" t="s">
        <v>194</v>
      </c>
      <c r="F244" s="85"/>
      <c r="G244" s="87">
        <v>0.08</v>
      </c>
      <c r="H244" s="69">
        <f>H243*(G244)</f>
        <v>50.488477344</v>
      </c>
      <c r="I244" s="90"/>
    </row>
    <row r="245" customHeight="1" spans="1:9">
      <c r="A245" s="82">
        <v>15</v>
      </c>
      <c r="B245" s="84" t="s">
        <v>195</v>
      </c>
      <c r="C245" s="85"/>
      <c r="D245" s="82" t="s">
        <v>6</v>
      </c>
      <c r="E245" s="84" t="s">
        <v>196</v>
      </c>
      <c r="F245" s="85"/>
      <c r="G245" s="86"/>
      <c r="H245" s="69">
        <f>H243+H244</f>
        <v>681.594444144</v>
      </c>
      <c r="I245" s="91">
        <f>H245</f>
        <v>681.594444144</v>
      </c>
    </row>
    <row r="247" customHeight="1" spans="1:9">
      <c r="A247" s="66" t="s">
        <v>198</v>
      </c>
      <c r="E247" s="60"/>
      <c r="G247" s="60"/>
      <c r="H247" s="60"/>
      <c r="I247" s="60"/>
    </row>
    <row r="248" customHeight="1" spans="1:9">
      <c r="A248" s="14" t="s">
        <v>143</v>
      </c>
      <c r="B248" s="88"/>
      <c r="C248" s="88"/>
      <c r="D248" s="88"/>
      <c r="E248" s="14" t="s">
        <v>144</v>
      </c>
      <c r="F248" s="14" t="s">
        <v>123</v>
      </c>
      <c r="G248" s="14"/>
      <c r="H248" s="14" t="s">
        <v>145</v>
      </c>
      <c r="I248" s="14"/>
    </row>
    <row r="249" customHeight="1" spans="1:9">
      <c r="A249" s="14" t="s">
        <v>82</v>
      </c>
      <c r="B249" s="14"/>
      <c r="C249" s="14"/>
      <c r="D249" s="14"/>
      <c r="E249" s="14" t="s">
        <v>146</v>
      </c>
      <c r="F249" s="14"/>
      <c r="G249" s="14"/>
      <c r="H249" s="14"/>
      <c r="I249" s="14"/>
    </row>
    <row r="250" customHeight="1" spans="1:9">
      <c r="A250" s="13" t="s">
        <v>147</v>
      </c>
      <c r="B250" s="14"/>
      <c r="C250" s="13" t="s">
        <v>148</v>
      </c>
      <c r="D250" s="14"/>
      <c r="E250" s="14" t="s">
        <v>149</v>
      </c>
      <c r="F250" s="67">
        <v>0</v>
      </c>
      <c r="G250" s="11" t="s">
        <v>150</v>
      </c>
      <c r="H250" s="14"/>
      <c r="I250" s="14"/>
    </row>
    <row r="251" customHeight="1" spans="1:9">
      <c r="A251" s="13"/>
      <c r="B251" s="14"/>
      <c r="C251" s="13"/>
      <c r="D251" s="14"/>
      <c r="E251" s="14"/>
      <c r="F251" s="67">
        <v>0</v>
      </c>
      <c r="G251" s="12" t="s">
        <v>151</v>
      </c>
      <c r="H251" s="14"/>
      <c r="I251" s="14"/>
    </row>
    <row r="252" customHeight="1" spans="1:9">
      <c r="A252" s="14" t="s">
        <v>38</v>
      </c>
      <c r="B252" s="14" t="s">
        <v>152</v>
      </c>
      <c r="C252" s="14"/>
      <c r="D252" s="14" t="s">
        <v>153</v>
      </c>
      <c r="E252" s="14" t="s">
        <v>154</v>
      </c>
      <c r="F252" s="14" t="s">
        <v>155</v>
      </c>
      <c r="G252" s="11" t="s">
        <v>156</v>
      </c>
      <c r="H252" s="11" t="s">
        <v>157</v>
      </c>
      <c r="I252" s="12" t="s">
        <v>158</v>
      </c>
    </row>
    <row r="253" customHeight="1" spans="1:9">
      <c r="A253" s="68">
        <v>1</v>
      </c>
      <c r="B253" s="68" t="s">
        <v>159</v>
      </c>
      <c r="C253" s="68"/>
      <c r="D253" s="68"/>
      <c r="E253" s="68"/>
      <c r="F253" s="68"/>
      <c r="G253" s="68"/>
      <c r="H253" s="69">
        <f>SUM(H254:H255)</f>
        <v>174.35008</v>
      </c>
      <c r="I253" s="86"/>
    </row>
    <row r="254" customHeight="1" spans="1:9">
      <c r="A254" s="14">
        <v>1.1</v>
      </c>
      <c r="B254" s="70" t="s">
        <v>160</v>
      </c>
      <c r="C254" s="71"/>
      <c r="D254" s="14" t="s">
        <v>161</v>
      </c>
      <c r="E254" s="67">
        <v>6.08</v>
      </c>
      <c r="F254" s="72">
        <v>0.07</v>
      </c>
      <c r="G254" s="73">
        <f>主要材料品牌单价!E$5/1000</f>
        <v>26.8</v>
      </c>
      <c r="H254" s="73">
        <f t="shared" ref="H254:H257" si="21">E254*(1+F254)*G254</f>
        <v>174.35008</v>
      </c>
      <c r="I254" s="11"/>
    </row>
    <row r="255" customHeight="1" spans="1:9">
      <c r="A255" s="14">
        <v>1.2</v>
      </c>
      <c r="B255" s="14" t="s">
        <v>162</v>
      </c>
      <c r="C255" s="14"/>
      <c r="D255" s="14" t="s">
        <v>161</v>
      </c>
      <c r="E255" s="67">
        <v>0</v>
      </c>
      <c r="F255" s="72">
        <v>0.07</v>
      </c>
      <c r="G255" s="73">
        <f>(主要材料品牌单价!E$6-1000)/1000</f>
        <v>26.1</v>
      </c>
      <c r="H255" s="73">
        <f t="shared" si="21"/>
        <v>0</v>
      </c>
      <c r="I255" s="11"/>
    </row>
    <row r="256" customHeight="1" spans="1:9">
      <c r="A256" s="68">
        <v>2</v>
      </c>
      <c r="B256" s="68" t="s">
        <v>163</v>
      </c>
      <c r="C256" s="68"/>
      <c r="D256" s="68"/>
      <c r="E256" s="68"/>
      <c r="F256" s="68"/>
      <c r="G256" s="68"/>
      <c r="H256" s="74">
        <f>H257</f>
        <v>11.58975</v>
      </c>
      <c r="I256" s="86"/>
    </row>
    <row r="257" customHeight="1" spans="1:9">
      <c r="A257" s="14">
        <v>2.1</v>
      </c>
      <c r="B257" s="14" t="s">
        <v>164</v>
      </c>
      <c r="C257" s="14"/>
      <c r="D257" s="14" t="s">
        <v>165</v>
      </c>
      <c r="E257" s="73">
        <v>0.45</v>
      </c>
      <c r="F257" s="72">
        <v>0.01</v>
      </c>
      <c r="G257" s="73">
        <f>主要材料品牌单价!E19</f>
        <v>25.5</v>
      </c>
      <c r="H257" s="73">
        <f t="shared" si="21"/>
        <v>11.58975</v>
      </c>
      <c r="I257" s="11"/>
    </row>
    <row r="258" customHeight="1" spans="1:9">
      <c r="A258" s="68">
        <v>3</v>
      </c>
      <c r="B258" s="68" t="s">
        <v>166</v>
      </c>
      <c r="C258" s="68"/>
      <c r="D258" s="68"/>
      <c r="E258" s="68"/>
      <c r="F258" s="68"/>
      <c r="G258" s="68"/>
      <c r="H258" s="74">
        <f>H259</f>
        <v>43.3296</v>
      </c>
      <c r="I258" s="86"/>
    </row>
    <row r="259" customHeight="1" spans="1:9">
      <c r="A259" s="14">
        <v>3.1</v>
      </c>
      <c r="B259" s="14" t="s">
        <v>167</v>
      </c>
      <c r="C259" s="14"/>
      <c r="D259" s="14" t="s">
        <v>168</v>
      </c>
      <c r="E259" s="73">
        <v>0.9</v>
      </c>
      <c r="F259" s="72">
        <v>0.003</v>
      </c>
      <c r="G259" s="11">
        <f>主要材料品牌单价!E$29</f>
        <v>48</v>
      </c>
      <c r="H259" s="73">
        <f>E259*(1+F259)*G259</f>
        <v>43.3296</v>
      </c>
      <c r="I259" s="11"/>
    </row>
    <row r="260" customHeight="1" spans="1:9">
      <c r="A260" s="68">
        <v>4</v>
      </c>
      <c r="B260" s="68" t="s">
        <v>169</v>
      </c>
      <c r="C260" s="68"/>
      <c r="D260" s="68"/>
      <c r="E260" s="68"/>
      <c r="F260" s="68"/>
      <c r="G260" s="68"/>
      <c r="H260" s="69">
        <f>SUM(H261:H265)</f>
        <v>27.65</v>
      </c>
      <c r="I260" s="86" t="s">
        <v>170</v>
      </c>
    </row>
    <row r="261" customHeight="1" spans="1:9">
      <c r="A261" s="75">
        <v>4.1</v>
      </c>
      <c r="B261" s="14" t="s">
        <v>171</v>
      </c>
      <c r="C261" s="14"/>
      <c r="D261" s="14" t="s">
        <v>172</v>
      </c>
      <c r="E261" s="75">
        <v>0.5</v>
      </c>
      <c r="F261" s="75"/>
      <c r="G261" s="75">
        <f>主要材料品牌单价!E$44</f>
        <v>11.5</v>
      </c>
      <c r="H261" s="73">
        <f t="shared" ref="H260:H265" si="22">E261*(1+F261)*G261</f>
        <v>5.75</v>
      </c>
      <c r="I261" s="11"/>
    </row>
    <row r="262" customHeight="1" spans="1:9">
      <c r="A262" s="75">
        <v>4.2</v>
      </c>
      <c r="B262" s="70" t="s">
        <v>173</v>
      </c>
      <c r="C262" s="71"/>
      <c r="D262" s="14" t="s">
        <v>172</v>
      </c>
      <c r="E262" s="76">
        <v>0.8</v>
      </c>
      <c r="F262" s="75"/>
      <c r="G262" s="75">
        <f>主要材料品牌单价!E$43</f>
        <v>11.5</v>
      </c>
      <c r="H262" s="73">
        <f t="shared" si="22"/>
        <v>9.2</v>
      </c>
      <c r="I262" s="11"/>
    </row>
    <row r="263" customHeight="1" spans="1:9">
      <c r="A263" s="75">
        <v>4.3</v>
      </c>
      <c r="B263" s="70" t="s">
        <v>174</v>
      </c>
      <c r="C263" s="71"/>
      <c r="D263" s="14" t="s">
        <v>172</v>
      </c>
      <c r="E263" s="76">
        <v>0.2</v>
      </c>
      <c r="F263" s="75"/>
      <c r="G263" s="75">
        <f>主要材料品牌单价!E$45</f>
        <v>13.5</v>
      </c>
      <c r="H263" s="73">
        <f t="shared" si="22"/>
        <v>2.7</v>
      </c>
      <c r="I263" s="11"/>
    </row>
    <row r="264" customHeight="1" spans="1:9">
      <c r="A264" s="75">
        <v>4.4</v>
      </c>
      <c r="B264" s="77" t="s">
        <v>175</v>
      </c>
      <c r="C264" s="78"/>
      <c r="D264" s="14" t="s">
        <v>172</v>
      </c>
      <c r="E264" s="67">
        <v>0</v>
      </c>
      <c r="F264" s="14"/>
      <c r="G264" s="75">
        <f>主要材料品牌单价!E$46</f>
        <v>18</v>
      </c>
      <c r="H264" s="73">
        <f t="shared" si="22"/>
        <v>0</v>
      </c>
      <c r="I264" s="11"/>
    </row>
    <row r="265" customHeight="1" spans="1:9">
      <c r="A265" s="75">
        <v>4.5</v>
      </c>
      <c r="B265" s="79" t="s">
        <v>176</v>
      </c>
      <c r="C265" s="79"/>
      <c r="D265" s="14" t="s">
        <v>177</v>
      </c>
      <c r="E265" s="67">
        <v>1</v>
      </c>
      <c r="F265" s="14"/>
      <c r="G265" s="75">
        <v>10</v>
      </c>
      <c r="H265" s="73">
        <f t="shared" si="22"/>
        <v>10</v>
      </c>
      <c r="I265" s="11"/>
    </row>
    <row r="266" customHeight="1" spans="1:9">
      <c r="A266" s="68">
        <v>5</v>
      </c>
      <c r="B266" s="68" t="s">
        <v>178</v>
      </c>
      <c r="C266" s="68"/>
      <c r="D266" s="68"/>
      <c r="E266" s="68"/>
      <c r="F266" s="68"/>
      <c r="G266" s="68"/>
      <c r="H266" s="69">
        <f>SUM(H267:H269)</f>
        <v>8.6</v>
      </c>
      <c r="I266" s="86" t="s">
        <v>170</v>
      </c>
    </row>
    <row r="267" customHeight="1" spans="1:9">
      <c r="A267" s="75">
        <v>5.1</v>
      </c>
      <c r="B267" s="14" t="s">
        <v>179</v>
      </c>
      <c r="C267" s="14"/>
      <c r="D267" s="14" t="s">
        <v>180</v>
      </c>
      <c r="E267" s="76">
        <v>0</v>
      </c>
      <c r="F267" s="75"/>
      <c r="G267" s="75">
        <f>主要材料品牌单价!E48</f>
        <v>13</v>
      </c>
      <c r="H267" s="73">
        <f t="shared" ref="H267:H276" si="23">E267*(1+F267)*G267</f>
        <v>0</v>
      </c>
      <c r="I267" s="11"/>
    </row>
    <row r="268" customHeight="1" spans="1:9">
      <c r="A268" s="75">
        <v>5.2</v>
      </c>
      <c r="B268" s="70" t="s">
        <v>181</v>
      </c>
      <c r="C268" s="71"/>
      <c r="D268" s="14" t="s">
        <v>177</v>
      </c>
      <c r="E268" s="76">
        <v>8</v>
      </c>
      <c r="F268" s="75"/>
      <c r="G268" s="75">
        <f>主要材料品牌单价!E49</f>
        <v>0.45</v>
      </c>
      <c r="H268" s="73">
        <f t="shared" si="23"/>
        <v>3.6</v>
      </c>
      <c r="I268" s="11"/>
    </row>
    <row r="269" customHeight="1" spans="1:9">
      <c r="A269" s="75">
        <v>5.3</v>
      </c>
      <c r="B269" s="80" t="s">
        <v>182</v>
      </c>
      <c r="C269" s="81"/>
      <c r="D269" s="82" t="s">
        <v>168</v>
      </c>
      <c r="E269" s="67">
        <v>5</v>
      </c>
      <c r="F269" s="14"/>
      <c r="G269" s="75"/>
      <c r="H269" s="73">
        <v>5</v>
      </c>
      <c r="I269" s="11"/>
    </row>
    <row r="270" customHeight="1" spans="1:9">
      <c r="A270" s="83">
        <v>6</v>
      </c>
      <c r="B270" s="82" t="s">
        <v>183</v>
      </c>
      <c r="C270" s="82"/>
      <c r="D270" s="82" t="s">
        <v>168</v>
      </c>
      <c r="E270" s="82">
        <v>1</v>
      </c>
      <c r="F270" s="68">
        <v>0</v>
      </c>
      <c r="G270" s="75">
        <v>28</v>
      </c>
      <c r="H270" s="69">
        <f t="shared" si="23"/>
        <v>28</v>
      </c>
      <c r="I270" s="86" t="s">
        <v>170</v>
      </c>
    </row>
    <row r="271" customHeight="1" spans="1:9">
      <c r="A271" s="68">
        <v>7</v>
      </c>
      <c r="B271" s="84" t="s">
        <v>184</v>
      </c>
      <c r="C271" s="85"/>
      <c r="D271" s="82" t="s">
        <v>168</v>
      </c>
      <c r="E271" s="82">
        <v>1</v>
      </c>
      <c r="F271" s="68">
        <v>0</v>
      </c>
      <c r="G271" s="75">
        <v>40</v>
      </c>
      <c r="H271" s="69">
        <f t="shared" si="23"/>
        <v>40</v>
      </c>
      <c r="I271" s="86" t="s">
        <v>170</v>
      </c>
    </row>
    <row r="272" customHeight="1" spans="1:9">
      <c r="A272" s="68">
        <v>8</v>
      </c>
      <c r="B272" s="82" t="s">
        <v>185</v>
      </c>
      <c r="C272" s="82"/>
      <c r="D272" s="82" t="s">
        <v>168</v>
      </c>
      <c r="E272" s="82">
        <v>1</v>
      </c>
      <c r="F272" s="68">
        <v>0</v>
      </c>
      <c r="G272" s="75">
        <v>3</v>
      </c>
      <c r="H272" s="69">
        <f t="shared" si="23"/>
        <v>3</v>
      </c>
      <c r="I272" s="86" t="s">
        <v>170</v>
      </c>
    </row>
    <row r="273" customHeight="1" spans="1:9">
      <c r="A273" s="82">
        <v>9</v>
      </c>
      <c r="B273" s="82" t="s">
        <v>186</v>
      </c>
      <c r="C273" s="82"/>
      <c r="D273" s="82" t="s">
        <v>168</v>
      </c>
      <c r="E273" s="82">
        <v>1</v>
      </c>
      <c r="F273" s="82">
        <v>0</v>
      </c>
      <c r="G273" s="75">
        <v>0.5</v>
      </c>
      <c r="H273" s="69">
        <f t="shared" si="23"/>
        <v>0.5</v>
      </c>
      <c r="I273" s="86" t="s">
        <v>170</v>
      </c>
    </row>
    <row r="274" customHeight="1" spans="1:9">
      <c r="A274" s="82">
        <v>10</v>
      </c>
      <c r="B274" s="82" t="s">
        <v>187</v>
      </c>
      <c r="C274" s="82"/>
      <c r="D274" s="82" t="s">
        <v>168</v>
      </c>
      <c r="E274" s="82">
        <v>1</v>
      </c>
      <c r="F274" s="82">
        <v>0</v>
      </c>
      <c r="G274" s="75">
        <v>0.5</v>
      </c>
      <c r="H274" s="69">
        <f t="shared" si="23"/>
        <v>0.5</v>
      </c>
      <c r="I274" s="86" t="s">
        <v>170</v>
      </c>
    </row>
    <row r="275" customHeight="1" spans="1:9">
      <c r="A275" s="82">
        <v>11</v>
      </c>
      <c r="B275" s="84" t="s">
        <v>188</v>
      </c>
      <c r="C275" s="85"/>
      <c r="D275" s="82" t="s">
        <v>168</v>
      </c>
      <c r="E275" s="82">
        <v>1</v>
      </c>
      <c r="F275" s="82">
        <v>0</v>
      </c>
      <c r="G275" s="75">
        <v>1</v>
      </c>
      <c r="H275" s="69">
        <f t="shared" si="23"/>
        <v>1</v>
      </c>
      <c r="I275" s="86" t="s">
        <v>170</v>
      </c>
    </row>
    <row r="276" customHeight="1" spans="1:9">
      <c r="A276" s="82">
        <v>12</v>
      </c>
      <c r="B276" s="82" t="s">
        <v>189</v>
      </c>
      <c r="C276" s="82"/>
      <c r="D276" s="82" t="s">
        <v>168</v>
      </c>
      <c r="E276" s="82">
        <v>1</v>
      </c>
      <c r="F276" s="82">
        <v>0</v>
      </c>
      <c r="G276" s="75">
        <v>0.5</v>
      </c>
      <c r="H276" s="69">
        <f t="shared" si="23"/>
        <v>0.5</v>
      </c>
      <c r="I276" s="86" t="s">
        <v>170</v>
      </c>
    </row>
    <row r="277" customHeight="1" spans="1:9">
      <c r="A277" s="82">
        <v>13</v>
      </c>
      <c r="B277" s="84" t="s">
        <v>190</v>
      </c>
      <c r="C277" s="85"/>
      <c r="D277" s="82" t="s">
        <v>6</v>
      </c>
      <c r="E277" s="84" t="s">
        <v>191</v>
      </c>
      <c r="F277" s="85"/>
      <c r="G277" s="86"/>
      <c r="H277" s="69">
        <f>H253+H256+H260+H266+H270+H271+H272+H273+H274+H276+H275+H258</f>
        <v>339.01943</v>
      </c>
      <c r="I277" s="89" t="s">
        <v>192</v>
      </c>
    </row>
    <row r="278" customHeight="1" spans="1:9">
      <c r="A278" s="82">
        <v>14</v>
      </c>
      <c r="B278" s="84" t="s">
        <v>193</v>
      </c>
      <c r="C278" s="85"/>
      <c r="D278" s="82" t="s">
        <v>6</v>
      </c>
      <c r="E278" s="84" t="s">
        <v>194</v>
      </c>
      <c r="F278" s="85"/>
      <c r="G278" s="87">
        <v>0.08</v>
      </c>
      <c r="H278" s="69">
        <f>H277*(G278)</f>
        <v>27.1215544</v>
      </c>
      <c r="I278" s="90"/>
    </row>
    <row r="279" customHeight="1" spans="1:9">
      <c r="A279" s="82">
        <v>15</v>
      </c>
      <c r="B279" s="84" t="s">
        <v>195</v>
      </c>
      <c r="C279" s="85"/>
      <c r="D279" s="82" t="s">
        <v>6</v>
      </c>
      <c r="E279" s="84" t="s">
        <v>196</v>
      </c>
      <c r="F279" s="85"/>
      <c r="G279" s="86"/>
      <c r="H279" s="69">
        <f>H277+H278</f>
        <v>366.1409844</v>
      </c>
      <c r="I279" s="91">
        <f>H279</f>
        <v>366.1409844</v>
      </c>
    </row>
    <row r="281" customHeight="1" spans="1:9">
      <c r="A281" s="66" t="s">
        <v>198</v>
      </c>
      <c r="E281" s="60"/>
      <c r="G281" s="60"/>
      <c r="H281" s="60"/>
      <c r="I281" s="60"/>
    </row>
    <row r="282" customHeight="1" spans="1:9">
      <c r="A282" s="14" t="s">
        <v>143</v>
      </c>
      <c r="B282" s="88"/>
      <c r="C282" s="88"/>
      <c r="D282" s="88"/>
      <c r="E282" s="14" t="s">
        <v>144</v>
      </c>
      <c r="F282" s="14" t="s">
        <v>208</v>
      </c>
      <c r="G282" s="14"/>
      <c r="H282" s="14" t="s">
        <v>145</v>
      </c>
      <c r="I282" s="14"/>
    </row>
    <row r="283" customHeight="1" spans="1:9">
      <c r="A283" s="14" t="s">
        <v>82</v>
      </c>
      <c r="B283" s="14"/>
      <c r="C283" s="14"/>
      <c r="D283" s="14"/>
      <c r="E283" s="14" t="s">
        <v>146</v>
      </c>
      <c r="F283" s="14"/>
      <c r="G283" s="14"/>
      <c r="H283" s="14"/>
      <c r="I283" s="14"/>
    </row>
    <row r="284" customHeight="1" spans="1:9">
      <c r="A284" s="13" t="s">
        <v>147</v>
      </c>
      <c r="B284" s="14"/>
      <c r="C284" s="13" t="s">
        <v>148</v>
      </c>
      <c r="D284" s="14"/>
      <c r="E284" s="14" t="s">
        <v>149</v>
      </c>
      <c r="F284" s="67">
        <v>0</v>
      </c>
      <c r="G284" s="11" t="s">
        <v>150</v>
      </c>
      <c r="H284" s="14"/>
      <c r="I284" s="14"/>
    </row>
    <row r="285" customHeight="1" spans="1:9">
      <c r="A285" s="13"/>
      <c r="B285" s="14"/>
      <c r="C285" s="13"/>
      <c r="D285" s="14"/>
      <c r="E285" s="14"/>
      <c r="F285" s="67">
        <v>0</v>
      </c>
      <c r="G285" s="12" t="s">
        <v>151</v>
      </c>
      <c r="H285" s="14"/>
      <c r="I285" s="14"/>
    </row>
    <row r="286" customHeight="1" spans="1:9">
      <c r="A286" s="14" t="s">
        <v>38</v>
      </c>
      <c r="B286" s="14" t="s">
        <v>152</v>
      </c>
      <c r="C286" s="14"/>
      <c r="D286" s="14" t="s">
        <v>153</v>
      </c>
      <c r="E286" s="14" t="s">
        <v>154</v>
      </c>
      <c r="F286" s="14" t="s">
        <v>155</v>
      </c>
      <c r="G286" s="11" t="s">
        <v>156</v>
      </c>
      <c r="H286" s="11" t="s">
        <v>157</v>
      </c>
      <c r="I286" s="12" t="s">
        <v>158</v>
      </c>
    </row>
    <row r="287" customHeight="1" spans="1:9">
      <c r="A287" s="68">
        <v>1</v>
      </c>
      <c r="B287" s="68" t="s">
        <v>159</v>
      </c>
      <c r="C287" s="68"/>
      <c r="D287" s="68"/>
      <c r="E287" s="68"/>
      <c r="F287" s="68"/>
      <c r="G287" s="68"/>
      <c r="H287" s="69">
        <f>SUM(H288:H290)</f>
        <v>218.8781728</v>
      </c>
      <c r="I287" s="86"/>
    </row>
    <row r="288" customHeight="1" spans="1:9">
      <c r="A288" s="14">
        <v>1.1</v>
      </c>
      <c r="B288" s="70" t="s">
        <v>160</v>
      </c>
      <c r="C288" s="71"/>
      <c r="D288" s="14" t="s">
        <v>161</v>
      </c>
      <c r="E288" s="67">
        <v>6.58</v>
      </c>
      <c r="F288" s="72">
        <v>0.07</v>
      </c>
      <c r="G288" s="73">
        <f>主要材料品牌单价!E$5/1000</f>
        <v>26.8</v>
      </c>
      <c r="H288" s="73">
        <f t="shared" ref="H288:H292" si="24">E288*(1+F288)*G288</f>
        <v>188.68808</v>
      </c>
      <c r="I288" s="11"/>
    </row>
    <row r="289" customHeight="1" spans="1:9">
      <c r="A289" s="14">
        <v>1.2</v>
      </c>
      <c r="B289" s="70" t="s">
        <v>160</v>
      </c>
      <c r="C289" s="71"/>
      <c r="D289" s="14" t="s">
        <v>161</v>
      </c>
      <c r="E289" s="67">
        <f>E288*0.16</f>
        <v>1.0528</v>
      </c>
      <c r="F289" s="72">
        <v>0.07</v>
      </c>
      <c r="G289" s="73">
        <f>主要材料品牌单价!E$5/1000</f>
        <v>26.8</v>
      </c>
      <c r="H289" s="73">
        <f t="shared" si="24"/>
        <v>30.1900928</v>
      </c>
      <c r="I289" s="11"/>
    </row>
    <row r="290" customHeight="1" spans="1:9">
      <c r="A290" s="14">
        <v>1.3</v>
      </c>
      <c r="B290" s="14" t="s">
        <v>162</v>
      </c>
      <c r="C290" s="14"/>
      <c r="D290" s="14" t="s">
        <v>161</v>
      </c>
      <c r="E290" s="67"/>
      <c r="F290" s="72"/>
      <c r="G290" s="73"/>
      <c r="H290" s="73">
        <f t="shared" si="24"/>
        <v>0</v>
      </c>
      <c r="I290" s="11"/>
    </row>
    <row r="291" customHeight="1" spans="1:9">
      <c r="A291" s="68">
        <v>2</v>
      </c>
      <c r="B291" s="68" t="s">
        <v>163</v>
      </c>
      <c r="C291" s="68"/>
      <c r="D291" s="68"/>
      <c r="E291" s="68"/>
      <c r="F291" s="68"/>
      <c r="G291" s="68"/>
      <c r="H291" s="74">
        <f>H292</f>
        <v>11.58975</v>
      </c>
      <c r="I291" s="86"/>
    </row>
    <row r="292" customHeight="1" spans="1:9">
      <c r="A292" s="14">
        <v>2.1</v>
      </c>
      <c r="B292" s="14" t="s">
        <v>164</v>
      </c>
      <c r="C292" s="14"/>
      <c r="D292" s="14" t="s">
        <v>165</v>
      </c>
      <c r="E292" s="73">
        <v>0.45</v>
      </c>
      <c r="F292" s="72">
        <v>0.01</v>
      </c>
      <c r="G292" s="73">
        <f>主要材料品牌单价!E20</f>
        <v>25.5</v>
      </c>
      <c r="H292" s="73">
        <f t="shared" si="24"/>
        <v>11.58975</v>
      </c>
      <c r="I292" s="11"/>
    </row>
    <row r="293" customHeight="1" spans="1:9">
      <c r="A293" s="68">
        <v>3</v>
      </c>
      <c r="B293" s="68" t="s">
        <v>166</v>
      </c>
      <c r="C293" s="68"/>
      <c r="D293" s="68"/>
      <c r="E293" s="68"/>
      <c r="F293" s="68"/>
      <c r="G293" s="68"/>
      <c r="H293" s="74">
        <f>H294</f>
        <v>103.8105</v>
      </c>
      <c r="I293" s="86"/>
    </row>
    <row r="294" customHeight="1" spans="1:9">
      <c r="A294" s="14">
        <v>3.1</v>
      </c>
      <c r="B294" s="13" t="s">
        <v>209</v>
      </c>
      <c r="C294" s="13"/>
      <c r="D294" s="14" t="s">
        <v>168</v>
      </c>
      <c r="E294" s="73">
        <v>0.9</v>
      </c>
      <c r="F294" s="72">
        <v>0.003</v>
      </c>
      <c r="G294" s="11">
        <f>主要材料品牌单价!E34</f>
        <v>115</v>
      </c>
      <c r="H294" s="73">
        <f>E294*(1+F294)*G294</f>
        <v>103.8105</v>
      </c>
      <c r="I294" s="11"/>
    </row>
    <row r="295" customHeight="1" spans="1:9">
      <c r="A295" s="68">
        <v>4</v>
      </c>
      <c r="B295" s="68" t="s">
        <v>169</v>
      </c>
      <c r="C295" s="68"/>
      <c r="D295" s="68"/>
      <c r="E295" s="68"/>
      <c r="F295" s="68"/>
      <c r="G295" s="68"/>
      <c r="H295" s="69">
        <f>SUM(H296:H300)</f>
        <v>27.65</v>
      </c>
      <c r="I295" s="86" t="s">
        <v>170</v>
      </c>
    </row>
    <row r="296" customHeight="1" spans="1:9">
      <c r="A296" s="75">
        <v>4.1</v>
      </c>
      <c r="B296" s="14" t="s">
        <v>171</v>
      </c>
      <c r="C296" s="14"/>
      <c r="D296" s="14" t="s">
        <v>172</v>
      </c>
      <c r="E296" s="75">
        <v>0.5</v>
      </c>
      <c r="F296" s="75"/>
      <c r="G296" s="75">
        <f>主要材料品牌单价!E$44</f>
        <v>11.5</v>
      </c>
      <c r="H296" s="73">
        <f t="shared" ref="H296:H300" si="25">E296*(1+F296)*G296</f>
        <v>5.75</v>
      </c>
      <c r="I296" s="11"/>
    </row>
    <row r="297" customHeight="1" spans="1:9">
      <c r="A297" s="75">
        <v>4.2</v>
      </c>
      <c r="B297" s="70" t="s">
        <v>173</v>
      </c>
      <c r="C297" s="71"/>
      <c r="D297" s="14" t="s">
        <v>172</v>
      </c>
      <c r="E297" s="76">
        <v>0.8</v>
      </c>
      <c r="F297" s="75"/>
      <c r="G297" s="75">
        <f>主要材料品牌单价!E$43</f>
        <v>11.5</v>
      </c>
      <c r="H297" s="73">
        <f t="shared" si="25"/>
        <v>9.2</v>
      </c>
      <c r="I297" s="11"/>
    </row>
    <row r="298" customHeight="1" spans="1:9">
      <c r="A298" s="75">
        <v>4.3</v>
      </c>
      <c r="B298" s="70" t="s">
        <v>174</v>
      </c>
      <c r="C298" s="71"/>
      <c r="D298" s="14" t="s">
        <v>172</v>
      </c>
      <c r="E298" s="76">
        <v>0.2</v>
      </c>
      <c r="F298" s="75"/>
      <c r="G298" s="75">
        <f>主要材料品牌单价!E$45</f>
        <v>13.5</v>
      </c>
      <c r="H298" s="73">
        <f t="shared" si="25"/>
        <v>2.7</v>
      </c>
      <c r="I298" s="11"/>
    </row>
    <row r="299" customHeight="1" spans="1:9">
      <c r="A299" s="75">
        <v>4.4</v>
      </c>
      <c r="B299" s="77" t="s">
        <v>175</v>
      </c>
      <c r="C299" s="78"/>
      <c r="D299" s="14" t="s">
        <v>172</v>
      </c>
      <c r="E299" s="67">
        <v>0</v>
      </c>
      <c r="F299" s="14"/>
      <c r="G299" s="75">
        <f>主要材料品牌单价!E$46</f>
        <v>18</v>
      </c>
      <c r="H299" s="73">
        <f t="shared" si="25"/>
        <v>0</v>
      </c>
      <c r="I299" s="11"/>
    </row>
    <row r="300" customHeight="1" spans="1:9">
      <c r="A300" s="75">
        <v>4.5</v>
      </c>
      <c r="B300" s="79" t="s">
        <v>176</v>
      </c>
      <c r="C300" s="79"/>
      <c r="D300" s="14" t="s">
        <v>177</v>
      </c>
      <c r="E300" s="67">
        <v>1</v>
      </c>
      <c r="F300" s="14"/>
      <c r="G300" s="75">
        <v>10</v>
      </c>
      <c r="H300" s="73">
        <f t="shared" si="25"/>
        <v>10</v>
      </c>
      <c r="I300" s="11"/>
    </row>
    <row r="301" customHeight="1" spans="1:9">
      <c r="A301" s="68">
        <v>5</v>
      </c>
      <c r="B301" s="68" t="s">
        <v>178</v>
      </c>
      <c r="C301" s="68"/>
      <c r="D301" s="68"/>
      <c r="E301" s="68"/>
      <c r="F301" s="68"/>
      <c r="G301" s="68"/>
      <c r="H301" s="69">
        <f>SUM(H302:H304)</f>
        <v>8.6</v>
      </c>
      <c r="I301" s="86" t="s">
        <v>170</v>
      </c>
    </row>
    <row r="302" customHeight="1" spans="1:9">
      <c r="A302" s="75">
        <v>5.1</v>
      </c>
      <c r="B302" s="14" t="s">
        <v>179</v>
      </c>
      <c r="C302" s="14"/>
      <c r="D302" s="14" t="s">
        <v>180</v>
      </c>
      <c r="E302" s="76">
        <v>0</v>
      </c>
      <c r="F302" s="75"/>
      <c r="G302" s="75">
        <v>0</v>
      </c>
      <c r="H302" s="73">
        <f t="shared" ref="H302:H311" si="26">E302*(1+F302)*G302</f>
        <v>0</v>
      </c>
      <c r="I302" s="11"/>
    </row>
    <row r="303" customHeight="1" spans="1:9">
      <c r="A303" s="75">
        <v>5.2</v>
      </c>
      <c r="B303" s="70" t="s">
        <v>181</v>
      </c>
      <c r="C303" s="71"/>
      <c r="D303" s="14" t="s">
        <v>177</v>
      </c>
      <c r="E303" s="76">
        <v>8</v>
      </c>
      <c r="F303" s="75"/>
      <c r="G303" s="75">
        <f>主要材料品牌单价!E49</f>
        <v>0.45</v>
      </c>
      <c r="H303" s="73">
        <f t="shared" si="26"/>
        <v>3.6</v>
      </c>
      <c r="I303" s="11"/>
    </row>
    <row r="304" customHeight="1" spans="1:9">
      <c r="A304" s="75">
        <v>5.3</v>
      </c>
      <c r="B304" s="80" t="s">
        <v>182</v>
      </c>
      <c r="C304" s="81"/>
      <c r="D304" s="82" t="s">
        <v>168</v>
      </c>
      <c r="E304" s="67">
        <v>5</v>
      </c>
      <c r="F304" s="14"/>
      <c r="G304" s="75"/>
      <c r="H304" s="73">
        <v>5</v>
      </c>
      <c r="I304" s="11"/>
    </row>
    <row r="305" customHeight="1" spans="1:9">
      <c r="A305" s="83">
        <v>6</v>
      </c>
      <c r="B305" s="82" t="s">
        <v>183</v>
      </c>
      <c r="C305" s="82"/>
      <c r="D305" s="82" t="s">
        <v>168</v>
      </c>
      <c r="E305" s="82">
        <v>1</v>
      </c>
      <c r="F305" s="68">
        <v>0</v>
      </c>
      <c r="G305" s="75">
        <v>30</v>
      </c>
      <c r="H305" s="69">
        <f t="shared" si="26"/>
        <v>30</v>
      </c>
      <c r="I305" s="86" t="s">
        <v>170</v>
      </c>
    </row>
    <row r="306" customHeight="1" spans="1:9">
      <c r="A306" s="68">
        <v>7</v>
      </c>
      <c r="B306" s="84" t="s">
        <v>184</v>
      </c>
      <c r="C306" s="85"/>
      <c r="D306" s="82" t="s">
        <v>168</v>
      </c>
      <c r="E306" s="82">
        <v>1</v>
      </c>
      <c r="F306" s="68">
        <v>0</v>
      </c>
      <c r="G306" s="75">
        <v>45</v>
      </c>
      <c r="H306" s="69">
        <f t="shared" si="26"/>
        <v>45</v>
      </c>
      <c r="I306" s="86" t="s">
        <v>170</v>
      </c>
    </row>
    <row r="307" customHeight="1" spans="1:9">
      <c r="A307" s="68">
        <v>8</v>
      </c>
      <c r="B307" s="82" t="s">
        <v>185</v>
      </c>
      <c r="C307" s="82"/>
      <c r="D307" s="82" t="s">
        <v>168</v>
      </c>
      <c r="E307" s="82">
        <v>1</v>
      </c>
      <c r="F307" s="68">
        <v>0</v>
      </c>
      <c r="G307" s="75">
        <v>3</v>
      </c>
      <c r="H307" s="69">
        <f t="shared" si="26"/>
        <v>3</v>
      </c>
      <c r="I307" s="86" t="s">
        <v>170</v>
      </c>
    </row>
    <row r="308" customHeight="1" spans="1:9">
      <c r="A308" s="82">
        <v>9</v>
      </c>
      <c r="B308" s="82" t="s">
        <v>186</v>
      </c>
      <c r="C308" s="82"/>
      <c r="D308" s="82" t="s">
        <v>168</v>
      </c>
      <c r="E308" s="82">
        <v>1</v>
      </c>
      <c r="F308" s="82">
        <v>0</v>
      </c>
      <c r="G308" s="75">
        <v>0.5</v>
      </c>
      <c r="H308" s="69">
        <f t="shared" si="26"/>
        <v>0.5</v>
      </c>
      <c r="I308" s="86" t="s">
        <v>170</v>
      </c>
    </row>
    <row r="309" customHeight="1" spans="1:9">
      <c r="A309" s="82">
        <v>10</v>
      </c>
      <c r="B309" s="82" t="s">
        <v>187</v>
      </c>
      <c r="C309" s="82"/>
      <c r="D309" s="82" t="s">
        <v>168</v>
      </c>
      <c r="E309" s="82">
        <v>1</v>
      </c>
      <c r="F309" s="82">
        <v>0</v>
      </c>
      <c r="G309" s="75">
        <v>0.5</v>
      </c>
      <c r="H309" s="69">
        <f t="shared" si="26"/>
        <v>0.5</v>
      </c>
      <c r="I309" s="86" t="s">
        <v>170</v>
      </c>
    </row>
    <row r="310" customHeight="1" spans="1:9">
      <c r="A310" s="82">
        <v>11</v>
      </c>
      <c r="B310" s="84" t="s">
        <v>188</v>
      </c>
      <c r="C310" s="85"/>
      <c r="D310" s="82" t="s">
        <v>168</v>
      </c>
      <c r="E310" s="82">
        <v>1</v>
      </c>
      <c r="F310" s="82">
        <v>0</v>
      </c>
      <c r="G310" s="75">
        <v>1</v>
      </c>
      <c r="H310" s="69">
        <f t="shared" si="26"/>
        <v>1</v>
      </c>
      <c r="I310" s="86" t="s">
        <v>170</v>
      </c>
    </row>
    <row r="311" customHeight="1" spans="1:9">
      <c r="A311" s="82">
        <v>12</v>
      </c>
      <c r="B311" s="82" t="s">
        <v>189</v>
      </c>
      <c r="C311" s="82"/>
      <c r="D311" s="82" t="s">
        <v>168</v>
      </c>
      <c r="E311" s="82">
        <v>1</v>
      </c>
      <c r="F311" s="82">
        <v>0</v>
      </c>
      <c r="G311" s="75">
        <v>0.5</v>
      </c>
      <c r="H311" s="69">
        <f t="shared" si="26"/>
        <v>0.5</v>
      </c>
      <c r="I311" s="86" t="s">
        <v>170</v>
      </c>
    </row>
    <row r="312" customHeight="1" spans="1:9">
      <c r="A312" s="82">
        <v>13</v>
      </c>
      <c r="B312" s="84" t="s">
        <v>190</v>
      </c>
      <c r="C312" s="85"/>
      <c r="D312" s="82" t="s">
        <v>6</v>
      </c>
      <c r="E312" s="84" t="s">
        <v>191</v>
      </c>
      <c r="F312" s="85"/>
      <c r="G312" s="86"/>
      <c r="H312" s="69">
        <f>H287+H291+H295+H301+H305+H306+H307+H308+H309+H311+H310+H293</f>
        <v>451.0284228</v>
      </c>
      <c r="I312" s="89" t="s">
        <v>192</v>
      </c>
    </row>
    <row r="313" customHeight="1" spans="1:9">
      <c r="A313" s="82">
        <v>14</v>
      </c>
      <c r="B313" s="84" t="s">
        <v>193</v>
      </c>
      <c r="C313" s="85"/>
      <c r="D313" s="82" t="s">
        <v>6</v>
      </c>
      <c r="E313" s="84" t="s">
        <v>194</v>
      </c>
      <c r="F313" s="85"/>
      <c r="G313" s="87">
        <v>0.08</v>
      </c>
      <c r="H313" s="69">
        <f>H312*(G313)</f>
        <v>36.082273824</v>
      </c>
      <c r="I313" s="90"/>
    </row>
    <row r="314" customHeight="1" spans="1:9">
      <c r="A314" s="82">
        <v>15</v>
      </c>
      <c r="B314" s="84" t="s">
        <v>195</v>
      </c>
      <c r="C314" s="85"/>
      <c r="D314" s="82" t="s">
        <v>6</v>
      </c>
      <c r="E314" s="84" t="s">
        <v>196</v>
      </c>
      <c r="F314" s="85"/>
      <c r="G314" s="86"/>
      <c r="H314" s="69">
        <f>H312+H313</f>
        <v>487.110696624</v>
      </c>
      <c r="I314" s="91">
        <f>H314</f>
        <v>487.110696624</v>
      </c>
    </row>
    <row r="316" customHeight="1" spans="1:9">
      <c r="A316" s="66" t="s">
        <v>198</v>
      </c>
      <c r="E316" s="60"/>
      <c r="G316" s="60"/>
      <c r="H316" s="60"/>
      <c r="I316" s="60"/>
    </row>
    <row r="317" customHeight="1" spans="1:9">
      <c r="A317" s="14" t="s">
        <v>143</v>
      </c>
      <c r="B317" s="88"/>
      <c r="C317" s="88"/>
      <c r="D317" s="88"/>
      <c r="E317" s="14" t="s">
        <v>144</v>
      </c>
      <c r="F317" s="14" t="s">
        <v>127</v>
      </c>
      <c r="G317" s="14"/>
      <c r="H317" s="14" t="s">
        <v>145</v>
      </c>
      <c r="I317" s="14"/>
    </row>
    <row r="318" customHeight="1" spans="1:9">
      <c r="A318" s="14" t="s">
        <v>82</v>
      </c>
      <c r="B318" s="14"/>
      <c r="C318" s="14"/>
      <c r="D318" s="14"/>
      <c r="E318" s="14" t="s">
        <v>146</v>
      </c>
      <c r="F318" s="14"/>
      <c r="G318" s="14"/>
      <c r="H318" s="14"/>
      <c r="I318" s="14"/>
    </row>
    <row r="319" customHeight="1" spans="1:9">
      <c r="A319" s="13" t="s">
        <v>147</v>
      </c>
      <c r="B319" s="14">
        <v>0</v>
      </c>
      <c r="C319" s="13" t="s">
        <v>148</v>
      </c>
      <c r="D319" s="14">
        <v>0</v>
      </c>
      <c r="E319" s="14" t="s">
        <v>149</v>
      </c>
      <c r="F319" s="67">
        <v>0</v>
      </c>
      <c r="G319" s="11" t="s">
        <v>150</v>
      </c>
      <c r="H319" s="14"/>
      <c r="I319" s="14"/>
    </row>
    <row r="320" customHeight="1" spans="1:9">
      <c r="A320" s="13"/>
      <c r="B320" s="14"/>
      <c r="C320" s="13"/>
      <c r="D320" s="14"/>
      <c r="E320" s="14"/>
      <c r="F320" s="67">
        <v>0</v>
      </c>
      <c r="G320" s="12" t="s">
        <v>151</v>
      </c>
      <c r="H320" s="14"/>
      <c r="I320" s="14"/>
    </row>
    <row r="321" customHeight="1" spans="1:9">
      <c r="A321" s="14" t="s">
        <v>38</v>
      </c>
      <c r="B321" s="14" t="s">
        <v>152</v>
      </c>
      <c r="C321" s="14"/>
      <c r="D321" s="14" t="s">
        <v>153</v>
      </c>
      <c r="E321" s="14" t="s">
        <v>154</v>
      </c>
      <c r="F321" s="14" t="s">
        <v>155</v>
      </c>
      <c r="G321" s="11" t="s">
        <v>156</v>
      </c>
      <c r="H321" s="11" t="s">
        <v>157</v>
      </c>
      <c r="I321" s="12" t="s">
        <v>158</v>
      </c>
    </row>
    <row r="322" customHeight="1" spans="1:9">
      <c r="A322" s="68">
        <v>1</v>
      </c>
      <c r="B322" s="68" t="s">
        <v>159</v>
      </c>
      <c r="C322" s="68"/>
      <c r="D322" s="68"/>
      <c r="E322" s="68"/>
      <c r="F322" s="68"/>
      <c r="G322" s="68"/>
      <c r="H322" s="69">
        <f>SUM(H323:H325)</f>
        <v>309.2570496</v>
      </c>
      <c r="I322" s="86"/>
    </row>
    <row r="323" customHeight="1" spans="1:9">
      <c r="A323" s="14">
        <v>1.1</v>
      </c>
      <c r="B323" s="70" t="s">
        <v>200</v>
      </c>
      <c r="C323" s="71"/>
      <c r="D323" s="14" t="s">
        <v>161</v>
      </c>
      <c r="E323" s="67">
        <v>8.64</v>
      </c>
      <c r="F323" s="72">
        <v>0.07</v>
      </c>
      <c r="G323" s="73">
        <f>主要材料品牌单价!E$6/1000</f>
        <v>27.1</v>
      </c>
      <c r="H323" s="73">
        <f t="shared" ref="H323:H325" si="27">E323*(1+F323)*G323</f>
        <v>250.53408</v>
      </c>
      <c r="I323" s="11"/>
    </row>
    <row r="324" customHeight="1" spans="1:9">
      <c r="A324" s="14">
        <v>1.2</v>
      </c>
      <c r="B324" s="70" t="s">
        <v>160</v>
      </c>
      <c r="C324" s="71"/>
      <c r="D324" s="14" t="s">
        <v>161</v>
      </c>
      <c r="E324" s="67">
        <f>E323*0.16</f>
        <v>1.3824</v>
      </c>
      <c r="F324" s="72">
        <v>0.07</v>
      </c>
      <c r="G324" s="73">
        <f>主要材料品牌单价!E$5/1000</f>
        <v>26.8</v>
      </c>
      <c r="H324" s="73">
        <f t="shared" si="27"/>
        <v>39.6417024</v>
      </c>
      <c r="I324" s="11"/>
    </row>
    <row r="325" customHeight="1" spans="1:9">
      <c r="A325" s="14">
        <v>1.3</v>
      </c>
      <c r="B325" s="14" t="s">
        <v>162</v>
      </c>
      <c r="C325" s="14"/>
      <c r="D325" s="14" t="s">
        <v>161</v>
      </c>
      <c r="E325" s="67">
        <f>E323*0.08</f>
        <v>0.6912</v>
      </c>
      <c r="F325" s="72">
        <v>0.07</v>
      </c>
      <c r="G325" s="73">
        <f>(主要材料品牌单价!E$5-1000)/1000</f>
        <v>25.8</v>
      </c>
      <c r="H325" s="73">
        <f t="shared" si="27"/>
        <v>19.0812672</v>
      </c>
      <c r="I325" s="11"/>
    </row>
    <row r="326" customHeight="1" spans="1:9">
      <c r="A326" s="68">
        <v>2</v>
      </c>
      <c r="B326" s="68" t="s">
        <v>163</v>
      </c>
      <c r="C326" s="68"/>
      <c r="D326" s="68"/>
      <c r="E326" s="68"/>
      <c r="F326" s="68"/>
      <c r="G326" s="68"/>
      <c r="H326" s="74">
        <f>H327</f>
        <v>47.4599</v>
      </c>
      <c r="I326" s="86"/>
    </row>
    <row r="327" customHeight="1" spans="1:9">
      <c r="A327" s="14">
        <v>2.1</v>
      </c>
      <c r="B327" s="14" t="s">
        <v>164</v>
      </c>
      <c r="C327" s="14"/>
      <c r="D327" s="14" t="s">
        <v>165</v>
      </c>
      <c r="E327" s="73">
        <v>0.37</v>
      </c>
      <c r="F327" s="72">
        <v>0.01</v>
      </c>
      <c r="G327" s="73">
        <f>主要材料品牌单价!E23</f>
        <v>127</v>
      </c>
      <c r="H327" s="73">
        <f>E327*(1+F327)*G327</f>
        <v>47.4599</v>
      </c>
      <c r="I327" s="11"/>
    </row>
    <row r="328" customHeight="1" spans="1:9">
      <c r="A328" s="68">
        <v>3</v>
      </c>
      <c r="B328" s="68" t="s">
        <v>166</v>
      </c>
      <c r="C328" s="68"/>
      <c r="D328" s="68"/>
      <c r="E328" s="68"/>
      <c r="F328" s="68"/>
      <c r="G328" s="68"/>
      <c r="H328" s="74">
        <f>H329</f>
        <v>168.8049</v>
      </c>
      <c r="I328" s="86"/>
    </row>
    <row r="329" customHeight="1" spans="1:9">
      <c r="A329" s="14">
        <v>3.1</v>
      </c>
      <c r="B329" s="13" t="s">
        <v>210</v>
      </c>
      <c r="C329" s="13"/>
      <c r="D329" s="14" t="s">
        <v>168</v>
      </c>
      <c r="E329" s="73">
        <v>0.9</v>
      </c>
      <c r="F329" s="72">
        <v>0.003</v>
      </c>
      <c r="G329" s="11">
        <f>主要材料品牌单价!E40</f>
        <v>187</v>
      </c>
      <c r="H329" s="73">
        <f>E329*(1+F329)*G329</f>
        <v>168.8049</v>
      </c>
      <c r="I329" s="11"/>
    </row>
    <row r="330" customHeight="1" spans="1:9">
      <c r="A330" s="68">
        <v>4</v>
      </c>
      <c r="B330" s="68" t="s">
        <v>169</v>
      </c>
      <c r="C330" s="68"/>
      <c r="D330" s="68"/>
      <c r="E330" s="68"/>
      <c r="F330" s="68"/>
      <c r="G330" s="68"/>
      <c r="H330" s="69">
        <f>SUM(H331:H335)</f>
        <v>35.9</v>
      </c>
      <c r="I330" s="86" t="s">
        <v>170</v>
      </c>
    </row>
    <row r="331" customHeight="1" spans="1:9">
      <c r="A331" s="75">
        <v>4.1</v>
      </c>
      <c r="B331" s="14" t="s">
        <v>171</v>
      </c>
      <c r="C331" s="14"/>
      <c r="D331" s="14" t="s">
        <v>172</v>
      </c>
      <c r="E331" s="75">
        <v>1</v>
      </c>
      <c r="F331" s="75"/>
      <c r="G331" s="75">
        <f>主要材料品牌单价!E$44</f>
        <v>11.5</v>
      </c>
      <c r="H331" s="73">
        <f t="shared" ref="H331:H335" si="28">E331*(1+F331)*G331</f>
        <v>11.5</v>
      </c>
      <c r="I331" s="11"/>
    </row>
    <row r="332" customHeight="1" spans="1:9">
      <c r="A332" s="75">
        <v>4.2</v>
      </c>
      <c r="B332" s="70" t="s">
        <v>173</v>
      </c>
      <c r="C332" s="71"/>
      <c r="D332" s="14" t="s">
        <v>172</v>
      </c>
      <c r="E332" s="76">
        <v>0.8</v>
      </c>
      <c r="F332" s="75"/>
      <c r="G332" s="75">
        <f>主要材料品牌单价!E$43</f>
        <v>11.5</v>
      </c>
      <c r="H332" s="73">
        <f t="shared" si="28"/>
        <v>9.2</v>
      </c>
      <c r="I332" s="11"/>
    </row>
    <row r="333" customHeight="1" spans="1:9">
      <c r="A333" s="75">
        <v>4.3</v>
      </c>
      <c r="B333" s="70" t="s">
        <v>174</v>
      </c>
      <c r="C333" s="71"/>
      <c r="D333" s="14" t="s">
        <v>172</v>
      </c>
      <c r="E333" s="76">
        <v>0.4</v>
      </c>
      <c r="F333" s="75"/>
      <c r="G333" s="75">
        <f>主要材料品牌单价!E$45</f>
        <v>13.5</v>
      </c>
      <c r="H333" s="73">
        <f t="shared" si="28"/>
        <v>5.4</v>
      </c>
      <c r="I333" s="11"/>
    </row>
    <row r="334" customHeight="1" spans="1:9">
      <c r="A334" s="75">
        <v>4.4</v>
      </c>
      <c r="B334" s="77" t="s">
        <v>175</v>
      </c>
      <c r="C334" s="78"/>
      <c r="D334" s="14" t="s">
        <v>172</v>
      </c>
      <c r="E334" s="67">
        <v>0.1</v>
      </c>
      <c r="F334" s="14"/>
      <c r="G334" s="75">
        <f>主要材料品牌单价!E$46</f>
        <v>18</v>
      </c>
      <c r="H334" s="73">
        <f t="shared" si="28"/>
        <v>1.8</v>
      </c>
      <c r="I334" s="11"/>
    </row>
    <row r="335" customHeight="1" spans="1:9">
      <c r="A335" s="75">
        <v>4.5</v>
      </c>
      <c r="B335" s="79" t="s">
        <v>176</v>
      </c>
      <c r="C335" s="79"/>
      <c r="D335" s="14" t="s">
        <v>177</v>
      </c>
      <c r="E335" s="67">
        <v>1</v>
      </c>
      <c r="F335" s="14"/>
      <c r="G335" s="75">
        <v>8</v>
      </c>
      <c r="H335" s="73">
        <f t="shared" si="28"/>
        <v>8</v>
      </c>
      <c r="I335" s="11"/>
    </row>
    <row r="336" customHeight="1" spans="1:9">
      <c r="A336" s="68">
        <v>5</v>
      </c>
      <c r="B336" s="68" t="s">
        <v>178</v>
      </c>
      <c r="C336" s="68"/>
      <c r="D336" s="68"/>
      <c r="E336" s="68"/>
      <c r="F336" s="68"/>
      <c r="G336" s="68"/>
      <c r="H336" s="69">
        <f>SUM(H337:H339)</f>
        <v>21.25</v>
      </c>
      <c r="I336" s="86" t="s">
        <v>170</v>
      </c>
    </row>
    <row r="337" customHeight="1" spans="1:9">
      <c r="A337" s="75">
        <v>5.1</v>
      </c>
      <c r="B337" s="14" t="s">
        <v>179</v>
      </c>
      <c r="C337" s="14"/>
      <c r="D337" s="14" t="s">
        <v>180</v>
      </c>
      <c r="E337" s="76">
        <v>0.25</v>
      </c>
      <c r="F337" s="75"/>
      <c r="G337" s="75">
        <f>主要材料品牌单价!E$48</f>
        <v>13</v>
      </c>
      <c r="H337" s="73">
        <f t="shared" ref="H337:H346" si="29">E337*(1+F337)*G337</f>
        <v>3.25</v>
      </c>
      <c r="I337" s="11"/>
    </row>
    <row r="338" customHeight="1" spans="1:9">
      <c r="A338" s="75">
        <v>5.2</v>
      </c>
      <c r="B338" s="70" t="s">
        <v>181</v>
      </c>
      <c r="C338" s="71"/>
      <c r="D338" s="14" t="s">
        <v>177</v>
      </c>
      <c r="E338" s="76">
        <v>0</v>
      </c>
      <c r="F338" s="75"/>
      <c r="G338" s="75"/>
      <c r="H338" s="73">
        <f t="shared" si="29"/>
        <v>0</v>
      </c>
      <c r="I338" s="11"/>
    </row>
    <row r="339" customHeight="1" spans="1:9">
      <c r="A339" s="75">
        <v>5.3</v>
      </c>
      <c r="B339" s="80" t="s">
        <v>182</v>
      </c>
      <c r="C339" s="81"/>
      <c r="D339" s="82" t="s">
        <v>168</v>
      </c>
      <c r="E339" s="67">
        <v>18</v>
      </c>
      <c r="F339" s="14"/>
      <c r="G339" s="75"/>
      <c r="H339" s="73">
        <v>18</v>
      </c>
      <c r="I339" s="11"/>
    </row>
    <row r="340" customHeight="1" spans="1:9">
      <c r="A340" s="83">
        <v>6</v>
      </c>
      <c r="B340" s="82" t="s">
        <v>183</v>
      </c>
      <c r="C340" s="82"/>
      <c r="D340" s="82" t="s">
        <v>168</v>
      </c>
      <c r="E340" s="82">
        <v>1</v>
      </c>
      <c r="F340" s="68">
        <v>0</v>
      </c>
      <c r="G340" s="75">
        <v>50</v>
      </c>
      <c r="H340" s="69">
        <f t="shared" si="29"/>
        <v>50</v>
      </c>
      <c r="I340" s="86" t="s">
        <v>170</v>
      </c>
    </row>
    <row r="341" customHeight="1" spans="1:9">
      <c r="A341" s="68">
        <v>7</v>
      </c>
      <c r="B341" s="84" t="s">
        <v>184</v>
      </c>
      <c r="C341" s="85"/>
      <c r="D341" s="82" t="s">
        <v>168</v>
      </c>
      <c r="E341" s="82">
        <v>1</v>
      </c>
      <c r="F341" s="68">
        <v>0</v>
      </c>
      <c r="G341" s="75">
        <v>60</v>
      </c>
      <c r="H341" s="69">
        <f t="shared" si="29"/>
        <v>60</v>
      </c>
      <c r="I341" s="86" t="s">
        <v>170</v>
      </c>
    </row>
    <row r="342" customHeight="1" spans="1:9">
      <c r="A342" s="68">
        <v>8</v>
      </c>
      <c r="B342" s="82" t="s">
        <v>185</v>
      </c>
      <c r="C342" s="82"/>
      <c r="D342" s="82" t="s">
        <v>168</v>
      </c>
      <c r="E342" s="82">
        <v>1</v>
      </c>
      <c r="F342" s="68">
        <v>0</v>
      </c>
      <c r="G342" s="75">
        <v>3</v>
      </c>
      <c r="H342" s="69">
        <f t="shared" si="29"/>
        <v>3</v>
      </c>
      <c r="I342" s="86" t="s">
        <v>170</v>
      </c>
    </row>
    <row r="343" customHeight="1" spans="1:9">
      <c r="A343" s="82">
        <v>9</v>
      </c>
      <c r="B343" s="82" t="s">
        <v>186</v>
      </c>
      <c r="C343" s="82"/>
      <c r="D343" s="82" t="s">
        <v>168</v>
      </c>
      <c r="E343" s="82">
        <v>1</v>
      </c>
      <c r="F343" s="82">
        <v>0</v>
      </c>
      <c r="G343" s="75">
        <v>0.5</v>
      </c>
      <c r="H343" s="69">
        <f t="shared" si="29"/>
        <v>0.5</v>
      </c>
      <c r="I343" s="86" t="s">
        <v>170</v>
      </c>
    </row>
    <row r="344" customHeight="1" spans="1:9">
      <c r="A344" s="82">
        <v>10</v>
      </c>
      <c r="B344" s="82" t="s">
        <v>187</v>
      </c>
      <c r="C344" s="82"/>
      <c r="D344" s="82" t="s">
        <v>168</v>
      </c>
      <c r="E344" s="82">
        <v>1</v>
      </c>
      <c r="F344" s="82">
        <v>0</v>
      </c>
      <c r="G344" s="75">
        <v>0.5</v>
      </c>
      <c r="H344" s="69">
        <f t="shared" si="29"/>
        <v>0.5</v>
      </c>
      <c r="I344" s="86" t="s">
        <v>170</v>
      </c>
    </row>
    <row r="345" customHeight="1" spans="1:9">
      <c r="A345" s="82">
        <v>11</v>
      </c>
      <c r="B345" s="84" t="s">
        <v>188</v>
      </c>
      <c r="C345" s="85"/>
      <c r="D345" s="82" t="s">
        <v>168</v>
      </c>
      <c r="E345" s="82">
        <v>1</v>
      </c>
      <c r="F345" s="82">
        <v>0</v>
      </c>
      <c r="G345" s="75">
        <v>1</v>
      </c>
      <c r="H345" s="69">
        <f t="shared" si="29"/>
        <v>1</v>
      </c>
      <c r="I345" s="86" t="s">
        <v>170</v>
      </c>
    </row>
    <row r="346" customHeight="1" spans="1:9">
      <c r="A346" s="82">
        <v>12</v>
      </c>
      <c r="B346" s="82" t="s">
        <v>189</v>
      </c>
      <c r="C346" s="82"/>
      <c r="D346" s="82" t="s">
        <v>168</v>
      </c>
      <c r="E346" s="82">
        <v>1</v>
      </c>
      <c r="F346" s="82">
        <v>0</v>
      </c>
      <c r="G346" s="75">
        <v>0.5</v>
      </c>
      <c r="H346" s="69">
        <f t="shared" si="29"/>
        <v>0.5</v>
      </c>
      <c r="I346" s="86" t="s">
        <v>170</v>
      </c>
    </row>
    <row r="347" customHeight="1" spans="1:9">
      <c r="A347" s="82">
        <v>13</v>
      </c>
      <c r="B347" s="84" t="s">
        <v>190</v>
      </c>
      <c r="C347" s="85"/>
      <c r="D347" s="82" t="s">
        <v>6</v>
      </c>
      <c r="E347" s="84" t="s">
        <v>191</v>
      </c>
      <c r="F347" s="85"/>
      <c r="G347" s="86"/>
      <c r="H347" s="69">
        <f>H322+H326+H330+H336+H340+H341+H342+H343+H344+H346+H345+H328</f>
        <v>698.1718496</v>
      </c>
      <c r="I347" s="89" t="s">
        <v>192</v>
      </c>
    </row>
    <row r="348" customHeight="1" spans="1:9">
      <c r="A348" s="82">
        <v>14</v>
      </c>
      <c r="B348" s="84" t="s">
        <v>193</v>
      </c>
      <c r="C348" s="85"/>
      <c r="D348" s="82" t="s">
        <v>6</v>
      </c>
      <c r="E348" s="84" t="s">
        <v>194</v>
      </c>
      <c r="F348" s="85"/>
      <c r="G348" s="87">
        <v>0.08</v>
      </c>
      <c r="H348" s="69">
        <f>H347*(G348)</f>
        <v>55.853747968</v>
      </c>
      <c r="I348" s="90"/>
    </row>
    <row r="349" customHeight="1" spans="1:9">
      <c r="A349" s="82">
        <v>15</v>
      </c>
      <c r="B349" s="84" t="s">
        <v>195</v>
      </c>
      <c r="C349" s="85"/>
      <c r="D349" s="82" t="s">
        <v>6</v>
      </c>
      <c r="E349" s="84" t="s">
        <v>196</v>
      </c>
      <c r="F349" s="85"/>
      <c r="G349" s="86"/>
      <c r="H349" s="69">
        <f>H347+H348</f>
        <v>754.025597568</v>
      </c>
      <c r="I349" s="91">
        <f>H349</f>
        <v>754.025597568</v>
      </c>
    </row>
    <row r="350" customHeight="1" spans="1:9">
      <c r="A350" s="66" t="s">
        <v>198</v>
      </c>
      <c r="E350" s="60"/>
      <c r="G350" s="60"/>
      <c r="H350" s="60"/>
      <c r="I350" s="60"/>
    </row>
    <row r="351" customHeight="1" spans="1:9">
      <c r="A351" s="14" t="s">
        <v>143</v>
      </c>
      <c r="B351" s="88"/>
      <c r="C351" s="88"/>
      <c r="D351" s="88"/>
      <c r="E351" s="14" t="s">
        <v>144</v>
      </c>
      <c r="F351" s="14" t="s">
        <v>125</v>
      </c>
      <c r="G351" s="14"/>
      <c r="H351" s="14" t="s">
        <v>145</v>
      </c>
      <c r="I351" s="14"/>
    </row>
    <row r="352" customHeight="1" spans="1:9">
      <c r="A352" s="14" t="s">
        <v>82</v>
      </c>
      <c r="B352" s="14"/>
      <c r="C352" s="14"/>
      <c r="D352" s="14"/>
      <c r="E352" s="14" t="s">
        <v>146</v>
      </c>
      <c r="F352" s="14"/>
      <c r="G352" s="14"/>
      <c r="H352" s="14"/>
      <c r="I352" s="14"/>
    </row>
    <row r="353" customHeight="1" spans="1:9">
      <c r="A353" s="13" t="s">
        <v>147</v>
      </c>
      <c r="B353" s="14">
        <v>0</v>
      </c>
      <c r="C353" s="13" t="s">
        <v>148</v>
      </c>
      <c r="D353" s="14">
        <v>0</v>
      </c>
      <c r="E353" s="14" t="s">
        <v>149</v>
      </c>
      <c r="F353" s="67">
        <v>0</v>
      </c>
      <c r="G353" s="11" t="s">
        <v>150</v>
      </c>
      <c r="H353" s="14"/>
      <c r="I353" s="14"/>
    </row>
    <row r="354" customHeight="1" spans="1:9">
      <c r="A354" s="13"/>
      <c r="B354" s="14"/>
      <c r="C354" s="13"/>
      <c r="D354" s="14"/>
      <c r="E354" s="14"/>
      <c r="F354" s="67">
        <v>0</v>
      </c>
      <c r="G354" s="12" t="s">
        <v>151</v>
      </c>
      <c r="H354" s="14"/>
      <c r="I354" s="14"/>
    </row>
    <row r="355" customHeight="1" spans="1:9">
      <c r="A355" s="14" t="s">
        <v>38</v>
      </c>
      <c r="B355" s="14" t="s">
        <v>152</v>
      </c>
      <c r="C355" s="14"/>
      <c r="D355" s="14" t="s">
        <v>153</v>
      </c>
      <c r="E355" s="14" t="s">
        <v>154</v>
      </c>
      <c r="F355" s="14" t="s">
        <v>155</v>
      </c>
      <c r="G355" s="11" t="s">
        <v>156</v>
      </c>
      <c r="H355" s="11" t="s">
        <v>157</v>
      </c>
      <c r="I355" s="12" t="s">
        <v>158</v>
      </c>
    </row>
    <row r="356" customHeight="1" spans="1:9">
      <c r="A356" s="68">
        <v>1</v>
      </c>
      <c r="B356" s="68" t="s">
        <v>159</v>
      </c>
      <c r="C356" s="68"/>
      <c r="D356" s="68"/>
      <c r="E356" s="68"/>
      <c r="F356" s="68"/>
      <c r="G356" s="68"/>
      <c r="H356" s="69">
        <f>SUM(H357:H359)</f>
        <v>100.59712</v>
      </c>
      <c r="I356" s="86"/>
    </row>
    <row r="357" customHeight="1" spans="1:9">
      <c r="A357" s="14">
        <v>1.1</v>
      </c>
      <c r="B357" s="70" t="s">
        <v>160</v>
      </c>
      <c r="C357" s="71"/>
      <c r="D357" s="14" t="s">
        <v>161</v>
      </c>
      <c r="E357" s="67">
        <v>0</v>
      </c>
      <c r="F357" s="72"/>
      <c r="G357" s="73"/>
      <c r="H357" s="73">
        <f t="shared" ref="H357:H361" si="30">E357*(1+F357)*G357</f>
        <v>0</v>
      </c>
      <c r="I357" s="11"/>
    </row>
    <row r="358" customHeight="1" spans="1:9">
      <c r="A358" s="14">
        <v>1.2</v>
      </c>
      <c r="B358" s="70" t="s">
        <v>211</v>
      </c>
      <c r="C358" s="71"/>
      <c r="D358" s="14" t="s">
        <v>161</v>
      </c>
      <c r="E358" s="67">
        <v>8.32</v>
      </c>
      <c r="F358" s="72">
        <v>0.07</v>
      </c>
      <c r="G358" s="73">
        <f>主要材料品牌单价!E$7/1000</f>
        <v>11.3</v>
      </c>
      <c r="H358" s="73">
        <f t="shared" si="30"/>
        <v>100.59712</v>
      </c>
      <c r="I358" s="11"/>
    </row>
    <row r="359" customHeight="1" spans="1:9">
      <c r="A359" s="14">
        <v>1.3</v>
      </c>
      <c r="B359" s="14" t="s">
        <v>162</v>
      </c>
      <c r="C359" s="14"/>
      <c r="D359" s="14" t="s">
        <v>161</v>
      </c>
      <c r="E359" s="67">
        <v>0</v>
      </c>
      <c r="F359" s="72"/>
      <c r="G359" s="73"/>
      <c r="H359" s="73">
        <f t="shared" si="30"/>
        <v>0</v>
      </c>
      <c r="I359" s="11"/>
    </row>
    <row r="360" customHeight="1" spans="1:9">
      <c r="A360" s="68">
        <v>2</v>
      </c>
      <c r="B360" s="68" t="s">
        <v>163</v>
      </c>
      <c r="C360" s="68"/>
      <c r="D360" s="68"/>
      <c r="E360" s="68"/>
      <c r="F360" s="68"/>
      <c r="G360" s="68"/>
      <c r="H360" s="74">
        <f>H361</f>
        <v>37.875</v>
      </c>
      <c r="I360" s="86"/>
    </row>
    <row r="361" customHeight="1" spans="1:9">
      <c r="A361" s="14">
        <v>2.1</v>
      </c>
      <c r="B361" s="14" t="s">
        <v>164</v>
      </c>
      <c r="C361" s="14"/>
      <c r="D361" s="14" t="s">
        <v>165</v>
      </c>
      <c r="E361" s="73">
        <v>0.3</v>
      </c>
      <c r="F361" s="72">
        <v>0.01</v>
      </c>
      <c r="G361" s="73">
        <v>125</v>
      </c>
      <c r="H361" s="73">
        <f t="shared" si="30"/>
        <v>37.875</v>
      </c>
      <c r="I361" s="11"/>
    </row>
    <row r="362" customHeight="1" spans="1:9">
      <c r="A362" s="68">
        <v>3</v>
      </c>
      <c r="B362" s="68" t="s">
        <v>166</v>
      </c>
      <c r="C362" s="68"/>
      <c r="D362" s="68"/>
      <c r="E362" s="68"/>
      <c r="F362" s="68"/>
      <c r="G362" s="68"/>
      <c r="H362" s="74">
        <f>H363</f>
        <v>94.7835</v>
      </c>
      <c r="I362" s="86"/>
    </row>
    <row r="363" customHeight="1" spans="1:9">
      <c r="A363" s="14">
        <v>3.1</v>
      </c>
      <c r="B363" s="13" t="s">
        <v>212</v>
      </c>
      <c r="C363" s="13"/>
      <c r="D363" s="14" t="s">
        <v>168</v>
      </c>
      <c r="E363" s="73">
        <v>0.9</v>
      </c>
      <c r="F363" s="72">
        <v>0.003</v>
      </c>
      <c r="G363" s="11">
        <f>主要材料品牌单价!E32</f>
        <v>105</v>
      </c>
      <c r="H363" s="73">
        <f>E363*(1+F363)*G363</f>
        <v>94.7835</v>
      </c>
      <c r="I363" s="11"/>
    </row>
    <row r="364" customHeight="1" spans="1:9">
      <c r="A364" s="68">
        <v>4</v>
      </c>
      <c r="B364" s="68" t="s">
        <v>169</v>
      </c>
      <c r="C364" s="68"/>
      <c r="D364" s="68"/>
      <c r="E364" s="68"/>
      <c r="F364" s="68"/>
      <c r="G364" s="68"/>
      <c r="H364" s="69">
        <f>SUM(H365:H369)</f>
        <v>22.2</v>
      </c>
      <c r="I364" s="86" t="s">
        <v>170</v>
      </c>
    </row>
    <row r="365" customHeight="1" spans="1:9">
      <c r="A365" s="75">
        <v>4.1</v>
      </c>
      <c r="B365" s="14" t="s">
        <v>171</v>
      </c>
      <c r="C365" s="14"/>
      <c r="D365" s="14" t="s">
        <v>172</v>
      </c>
      <c r="E365" s="75">
        <v>0</v>
      </c>
      <c r="F365" s="75"/>
      <c r="G365" s="75">
        <f>主要材料品牌单价!E$44</f>
        <v>11.5</v>
      </c>
      <c r="H365" s="73">
        <f t="shared" ref="H364:H369" si="31">E365*(1+F365)*G365</f>
        <v>0</v>
      </c>
      <c r="I365" s="11"/>
    </row>
    <row r="366" customHeight="1" spans="1:9">
      <c r="A366" s="75">
        <v>4.2</v>
      </c>
      <c r="B366" s="70" t="s">
        <v>173</v>
      </c>
      <c r="C366" s="71"/>
      <c r="D366" s="14" t="s">
        <v>172</v>
      </c>
      <c r="E366" s="76">
        <v>1</v>
      </c>
      <c r="F366" s="75"/>
      <c r="G366" s="75">
        <f>主要材料品牌单价!E$43</f>
        <v>11.5</v>
      </c>
      <c r="H366" s="73">
        <f t="shared" si="31"/>
        <v>11.5</v>
      </c>
      <c r="I366" s="11"/>
    </row>
    <row r="367" customHeight="1" spans="1:9">
      <c r="A367" s="75">
        <v>4.3</v>
      </c>
      <c r="B367" s="70" t="s">
        <v>174</v>
      </c>
      <c r="C367" s="71"/>
      <c r="D367" s="14" t="s">
        <v>172</v>
      </c>
      <c r="E367" s="76">
        <v>0.2</v>
      </c>
      <c r="F367" s="75"/>
      <c r="G367" s="75">
        <f>主要材料品牌单价!E$45</f>
        <v>13.5</v>
      </c>
      <c r="H367" s="73">
        <f t="shared" si="31"/>
        <v>2.7</v>
      </c>
      <c r="I367" s="11"/>
    </row>
    <row r="368" customHeight="1" spans="1:9">
      <c r="A368" s="75">
        <v>4.4</v>
      </c>
      <c r="B368" s="77" t="s">
        <v>175</v>
      </c>
      <c r="C368" s="78"/>
      <c r="D368" s="14" t="s">
        <v>172</v>
      </c>
      <c r="E368" s="67">
        <v>0</v>
      </c>
      <c r="F368" s="14"/>
      <c r="G368" s="75">
        <f>主要材料品牌单价!E$46</f>
        <v>18</v>
      </c>
      <c r="H368" s="73">
        <f t="shared" si="31"/>
        <v>0</v>
      </c>
      <c r="I368" s="11"/>
    </row>
    <row r="369" customHeight="1" spans="1:9">
      <c r="A369" s="75">
        <v>4.5</v>
      </c>
      <c r="B369" s="79" t="s">
        <v>176</v>
      </c>
      <c r="C369" s="79"/>
      <c r="D369" s="14" t="s">
        <v>177</v>
      </c>
      <c r="E369" s="67">
        <v>1</v>
      </c>
      <c r="F369" s="14"/>
      <c r="G369" s="75">
        <v>8</v>
      </c>
      <c r="H369" s="73">
        <f t="shared" si="31"/>
        <v>8</v>
      </c>
      <c r="I369" s="11"/>
    </row>
    <row r="370" customHeight="1" spans="1:9">
      <c r="A370" s="68">
        <v>5</v>
      </c>
      <c r="B370" s="68" t="s">
        <v>178</v>
      </c>
      <c r="C370" s="68"/>
      <c r="D370" s="68"/>
      <c r="E370" s="68"/>
      <c r="F370" s="68"/>
      <c r="G370" s="68"/>
      <c r="H370" s="69">
        <f>SUM(H371:H373)</f>
        <v>6.95</v>
      </c>
      <c r="I370" s="86" t="s">
        <v>170</v>
      </c>
    </row>
    <row r="371" customHeight="1" spans="1:9">
      <c r="A371" s="75">
        <v>5.1</v>
      </c>
      <c r="B371" s="14" t="s">
        <v>179</v>
      </c>
      <c r="C371" s="14"/>
      <c r="D371" s="14" t="s">
        <v>180</v>
      </c>
      <c r="E371" s="76">
        <v>0.15</v>
      </c>
      <c r="F371" s="75"/>
      <c r="G371" s="75">
        <f>主要材料品牌单价!E$48</f>
        <v>13</v>
      </c>
      <c r="H371" s="73">
        <f t="shared" ref="H371:H380" si="32">E371*(1+F371)*G371</f>
        <v>1.95</v>
      </c>
      <c r="I371" s="11"/>
    </row>
    <row r="372" customHeight="1" spans="1:9">
      <c r="A372" s="75">
        <v>5.2</v>
      </c>
      <c r="B372" s="70" t="s">
        <v>181</v>
      </c>
      <c r="C372" s="71"/>
      <c r="D372" s="14" t="s">
        <v>177</v>
      </c>
      <c r="E372" s="76">
        <v>0</v>
      </c>
      <c r="F372" s="75"/>
      <c r="G372" s="75"/>
      <c r="H372" s="73">
        <f t="shared" si="32"/>
        <v>0</v>
      </c>
      <c r="I372" s="11"/>
    </row>
    <row r="373" customHeight="1" spans="1:9">
      <c r="A373" s="75">
        <v>5.3</v>
      </c>
      <c r="B373" s="80" t="s">
        <v>182</v>
      </c>
      <c r="C373" s="81"/>
      <c r="D373" s="82" t="s">
        <v>168</v>
      </c>
      <c r="E373" s="67">
        <v>5</v>
      </c>
      <c r="F373" s="14"/>
      <c r="G373" s="75"/>
      <c r="H373" s="73">
        <v>5</v>
      </c>
      <c r="I373" s="11"/>
    </row>
    <row r="374" customHeight="1" spans="1:9">
      <c r="A374" s="83">
        <v>6</v>
      </c>
      <c r="B374" s="82" t="s">
        <v>183</v>
      </c>
      <c r="C374" s="82"/>
      <c r="D374" s="82" t="s">
        <v>168</v>
      </c>
      <c r="E374" s="82">
        <v>1</v>
      </c>
      <c r="F374" s="68">
        <v>0</v>
      </c>
      <c r="G374" s="75">
        <v>28</v>
      </c>
      <c r="H374" s="69">
        <f t="shared" si="32"/>
        <v>28</v>
      </c>
      <c r="I374" s="86" t="s">
        <v>170</v>
      </c>
    </row>
    <row r="375" customHeight="1" spans="1:9">
      <c r="A375" s="68">
        <v>7</v>
      </c>
      <c r="B375" s="84" t="s">
        <v>184</v>
      </c>
      <c r="C375" s="85"/>
      <c r="D375" s="82" t="s">
        <v>168</v>
      </c>
      <c r="E375" s="82">
        <v>1</v>
      </c>
      <c r="F375" s="68">
        <v>0</v>
      </c>
      <c r="G375" s="75">
        <v>45</v>
      </c>
      <c r="H375" s="69">
        <f t="shared" si="32"/>
        <v>45</v>
      </c>
      <c r="I375" s="86" t="s">
        <v>170</v>
      </c>
    </row>
    <row r="376" customHeight="1" spans="1:9">
      <c r="A376" s="68">
        <v>8</v>
      </c>
      <c r="B376" s="82" t="s">
        <v>185</v>
      </c>
      <c r="C376" s="82"/>
      <c r="D376" s="82" t="s">
        <v>168</v>
      </c>
      <c r="E376" s="82">
        <v>1</v>
      </c>
      <c r="F376" s="68">
        <v>0</v>
      </c>
      <c r="G376" s="75">
        <v>3</v>
      </c>
      <c r="H376" s="69">
        <f t="shared" si="32"/>
        <v>3</v>
      </c>
      <c r="I376" s="86" t="s">
        <v>170</v>
      </c>
    </row>
    <row r="377" customHeight="1" spans="1:9">
      <c r="A377" s="82">
        <v>9</v>
      </c>
      <c r="B377" s="82" t="s">
        <v>186</v>
      </c>
      <c r="C377" s="82"/>
      <c r="D377" s="82" t="s">
        <v>168</v>
      </c>
      <c r="E377" s="82">
        <v>1</v>
      </c>
      <c r="F377" s="82">
        <v>0</v>
      </c>
      <c r="G377" s="75">
        <v>0.5</v>
      </c>
      <c r="H377" s="69">
        <f t="shared" si="32"/>
        <v>0.5</v>
      </c>
      <c r="I377" s="86" t="s">
        <v>170</v>
      </c>
    </row>
    <row r="378" customHeight="1" spans="1:9">
      <c r="A378" s="82">
        <v>10</v>
      </c>
      <c r="B378" s="82" t="s">
        <v>187</v>
      </c>
      <c r="C378" s="82"/>
      <c r="D378" s="82" t="s">
        <v>168</v>
      </c>
      <c r="E378" s="82">
        <v>1</v>
      </c>
      <c r="F378" s="82">
        <v>0</v>
      </c>
      <c r="G378" s="75">
        <v>0.5</v>
      </c>
      <c r="H378" s="69">
        <f t="shared" si="32"/>
        <v>0.5</v>
      </c>
      <c r="I378" s="86" t="s">
        <v>170</v>
      </c>
    </row>
    <row r="379" customHeight="1" spans="1:9">
      <c r="A379" s="82">
        <v>11</v>
      </c>
      <c r="B379" s="84" t="s">
        <v>188</v>
      </c>
      <c r="C379" s="85"/>
      <c r="D379" s="82" t="s">
        <v>168</v>
      </c>
      <c r="E379" s="82">
        <v>1</v>
      </c>
      <c r="F379" s="82">
        <v>0</v>
      </c>
      <c r="G379" s="75">
        <v>1</v>
      </c>
      <c r="H379" s="69">
        <f t="shared" si="32"/>
        <v>1</v>
      </c>
      <c r="I379" s="86" t="s">
        <v>170</v>
      </c>
    </row>
    <row r="380" customHeight="1" spans="1:9">
      <c r="A380" s="82">
        <v>12</v>
      </c>
      <c r="B380" s="82" t="s">
        <v>189</v>
      </c>
      <c r="C380" s="82"/>
      <c r="D380" s="82" t="s">
        <v>168</v>
      </c>
      <c r="E380" s="82">
        <v>1</v>
      </c>
      <c r="F380" s="82">
        <v>0</v>
      </c>
      <c r="G380" s="75">
        <v>0.5</v>
      </c>
      <c r="H380" s="69">
        <f t="shared" si="32"/>
        <v>0.5</v>
      </c>
      <c r="I380" s="86" t="s">
        <v>170</v>
      </c>
    </row>
    <row r="381" customHeight="1" spans="1:9">
      <c r="A381" s="82">
        <v>13</v>
      </c>
      <c r="B381" s="84" t="s">
        <v>190</v>
      </c>
      <c r="C381" s="85"/>
      <c r="D381" s="82" t="s">
        <v>6</v>
      </c>
      <c r="E381" s="84" t="s">
        <v>191</v>
      </c>
      <c r="F381" s="85"/>
      <c r="G381" s="86"/>
      <c r="H381" s="69">
        <f>H356+H360+H364+H370+H374+H375+H376+H377+H378+H380+H379+H362</f>
        <v>340.90562</v>
      </c>
      <c r="I381" s="89" t="s">
        <v>192</v>
      </c>
    </row>
    <row r="382" customHeight="1" spans="1:9">
      <c r="A382" s="82">
        <v>14</v>
      </c>
      <c r="B382" s="84" t="s">
        <v>193</v>
      </c>
      <c r="C382" s="85"/>
      <c r="D382" s="82" t="s">
        <v>6</v>
      </c>
      <c r="E382" s="84" t="s">
        <v>194</v>
      </c>
      <c r="F382" s="85"/>
      <c r="G382" s="87">
        <v>0.08</v>
      </c>
      <c r="H382" s="69">
        <f>H381*(G382)</f>
        <v>27.2724496</v>
      </c>
      <c r="I382" s="90"/>
    </row>
    <row r="383" customHeight="1" spans="1:9">
      <c r="A383" s="82">
        <v>15</v>
      </c>
      <c r="B383" s="84" t="s">
        <v>195</v>
      </c>
      <c r="C383" s="85"/>
      <c r="D383" s="82" t="s">
        <v>6</v>
      </c>
      <c r="E383" s="84" t="s">
        <v>196</v>
      </c>
      <c r="F383" s="85"/>
      <c r="G383" s="86"/>
      <c r="H383" s="69">
        <f>H381+H382</f>
        <v>368.1780696</v>
      </c>
      <c r="I383" s="91">
        <f>H383</f>
        <v>368.1780696</v>
      </c>
    </row>
    <row r="385" customHeight="1" spans="1:9">
      <c r="A385" s="66" t="s">
        <v>198</v>
      </c>
      <c r="E385" s="60"/>
      <c r="G385" s="60"/>
      <c r="H385" s="60"/>
      <c r="I385" s="60"/>
    </row>
    <row r="386" customHeight="1" spans="1:9">
      <c r="A386" s="14" t="s">
        <v>143</v>
      </c>
      <c r="B386" s="88"/>
      <c r="C386" s="88"/>
      <c r="D386" s="88"/>
      <c r="E386" s="14" t="s">
        <v>144</v>
      </c>
      <c r="F386" s="14" t="s">
        <v>130</v>
      </c>
      <c r="G386" s="14"/>
      <c r="H386" s="14" t="s">
        <v>145</v>
      </c>
      <c r="I386" s="14"/>
    </row>
    <row r="387" customHeight="1" spans="1:9">
      <c r="A387" s="14" t="s">
        <v>82</v>
      </c>
      <c r="B387" s="14"/>
      <c r="C387" s="14"/>
      <c r="D387" s="14"/>
      <c r="E387" s="14" t="s">
        <v>146</v>
      </c>
      <c r="F387" s="14"/>
      <c r="G387" s="14"/>
      <c r="H387" s="14"/>
      <c r="I387" s="14"/>
    </row>
    <row r="388" customHeight="1" spans="1:9">
      <c r="A388" s="13" t="s">
        <v>147</v>
      </c>
      <c r="B388" s="14">
        <v>0</v>
      </c>
      <c r="C388" s="13" t="s">
        <v>148</v>
      </c>
      <c r="D388" s="14">
        <v>0</v>
      </c>
      <c r="E388" s="14" t="s">
        <v>149</v>
      </c>
      <c r="F388" s="67">
        <v>0</v>
      </c>
      <c r="G388" s="11" t="s">
        <v>150</v>
      </c>
      <c r="H388" s="14"/>
      <c r="I388" s="14"/>
    </row>
    <row r="389" customHeight="1" spans="1:9">
      <c r="A389" s="13"/>
      <c r="B389" s="14"/>
      <c r="C389" s="13"/>
      <c r="D389" s="14"/>
      <c r="E389" s="14"/>
      <c r="F389" s="67">
        <v>0</v>
      </c>
      <c r="G389" s="12" t="s">
        <v>151</v>
      </c>
      <c r="H389" s="14"/>
      <c r="I389" s="14"/>
    </row>
    <row r="390" customHeight="1" spans="1:9">
      <c r="A390" s="14" t="s">
        <v>38</v>
      </c>
      <c r="B390" s="14" t="s">
        <v>152</v>
      </c>
      <c r="C390" s="14"/>
      <c r="D390" s="14" t="s">
        <v>153</v>
      </c>
      <c r="E390" s="14" t="s">
        <v>154</v>
      </c>
      <c r="F390" s="14" t="s">
        <v>155</v>
      </c>
      <c r="G390" s="11" t="s">
        <v>156</v>
      </c>
      <c r="H390" s="11" t="s">
        <v>157</v>
      </c>
      <c r="I390" s="12" t="s">
        <v>158</v>
      </c>
    </row>
    <row r="391" customHeight="1" spans="1:9">
      <c r="A391" s="68">
        <v>1</v>
      </c>
      <c r="B391" s="68" t="s">
        <v>159</v>
      </c>
      <c r="C391" s="68"/>
      <c r="D391" s="68"/>
      <c r="E391" s="68"/>
      <c r="F391" s="68"/>
      <c r="G391" s="68"/>
      <c r="H391" s="69">
        <f>SUM(H392:H394)</f>
        <v>305.6776856</v>
      </c>
      <c r="I391" s="86"/>
    </row>
    <row r="392" customHeight="1" spans="1:9">
      <c r="A392" s="14">
        <v>1.1</v>
      </c>
      <c r="B392" s="70" t="s">
        <v>200</v>
      </c>
      <c r="C392" s="71"/>
      <c r="D392" s="14" t="s">
        <v>161</v>
      </c>
      <c r="E392" s="67">
        <v>8.54</v>
      </c>
      <c r="F392" s="72">
        <v>0.07</v>
      </c>
      <c r="G392" s="73">
        <f>主要材料品牌单价!E$6/1000</f>
        <v>27.1</v>
      </c>
      <c r="H392" s="73">
        <f t="shared" ref="H392:H394" si="33">E392*(1+F392)*G392</f>
        <v>247.63438</v>
      </c>
      <c r="I392" s="11"/>
    </row>
    <row r="393" customHeight="1" spans="1:9">
      <c r="A393" s="14">
        <v>1.2</v>
      </c>
      <c r="B393" s="70" t="s">
        <v>160</v>
      </c>
      <c r="C393" s="71"/>
      <c r="D393" s="14" t="s">
        <v>161</v>
      </c>
      <c r="E393" s="67">
        <f>E392*0.16</f>
        <v>1.3664</v>
      </c>
      <c r="F393" s="72">
        <v>0.07</v>
      </c>
      <c r="G393" s="73">
        <f>主要材料品牌单价!E$5/1000</f>
        <v>26.8</v>
      </c>
      <c r="H393" s="73">
        <f t="shared" si="33"/>
        <v>39.1828864</v>
      </c>
      <c r="I393" s="11"/>
    </row>
    <row r="394" customHeight="1" spans="1:9">
      <c r="A394" s="14">
        <v>1.3</v>
      </c>
      <c r="B394" s="14" t="s">
        <v>162</v>
      </c>
      <c r="C394" s="14"/>
      <c r="D394" s="14" t="s">
        <v>161</v>
      </c>
      <c r="E394" s="67">
        <f>E392*0.08</f>
        <v>0.6832</v>
      </c>
      <c r="F394" s="72">
        <v>0.07</v>
      </c>
      <c r="G394" s="73">
        <f>(主要材料品牌单价!E$5-1000)/1000</f>
        <v>25.8</v>
      </c>
      <c r="H394" s="73">
        <f t="shared" si="33"/>
        <v>18.8604192</v>
      </c>
      <c r="I394" s="11"/>
    </row>
    <row r="395" customHeight="1" spans="1:9">
      <c r="A395" s="68">
        <v>2</v>
      </c>
      <c r="B395" s="68" t="s">
        <v>163</v>
      </c>
      <c r="C395" s="68"/>
      <c r="D395" s="68"/>
      <c r="E395" s="68"/>
      <c r="F395" s="68"/>
      <c r="G395" s="68"/>
      <c r="H395" s="74">
        <f>H396</f>
        <v>44.8945</v>
      </c>
      <c r="I395" s="86"/>
    </row>
    <row r="396" customHeight="1" spans="1:9">
      <c r="A396" s="14">
        <v>2.1</v>
      </c>
      <c r="B396" s="14" t="s">
        <v>164</v>
      </c>
      <c r="C396" s="14"/>
      <c r="D396" s="14" t="s">
        <v>165</v>
      </c>
      <c r="E396" s="73">
        <v>0.35</v>
      </c>
      <c r="F396" s="72">
        <v>0.01</v>
      </c>
      <c r="G396" s="73">
        <f>主要材料品牌单价!E23</f>
        <v>127</v>
      </c>
      <c r="H396" s="73">
        <f>E396*(1+F396)*G396</f>
        <v>44.8945</v>
      </c>
      <c r="I396" s="11"/>
    </row>
    <row r="397" customHeight="1" spans="1:9">
      <c r="A397" s="68">
        <v>3</v>
      </c>
      <c r="B397" s="68" t="s">
        <v>166</v>
      </c>
      <c r="C397" s="68"/>
      <c r="D397" s="68"/>
      <c r="E397" s="68"/>
      <c r="F397" s="68"/>
      <c r="G397" s="68"/>
      <c r="H397" s="74">
        <f>H398</f>
        <v>94.7835</v>
      </c>
      <c r="I397" s="86"/>
    </row>
    <row r="398" customHeight="1" spans="1:9">
      <c r="A398" s="14">
        <v>3.1</v>
      </c>
      <c r="B398" s="13" t="s">
        <v>213</v>
      </c>
      <c r="C398" s="13"/>
      <c r="D398" s="14" t="s">
        <v>168</v>
      </c>
      <c r="E398" s="73">
        <v>0.9</v>
      </c>
      <c r="F398" s="72">
        <v>0.003</v>
      </c>
      <c r="G398" s="11">
        <f>主要材料品牌单价!E32</f>
        <v>105</v>
      </c>
      <c r="H398" s="73">
        <f t="shared" ref="H398:H404" si="34">E398*(1+F398)*G398</f>
        <v>94.7835</v>
      </c>
      <c r="I398" s="11"/>
    </row>
    <row r="399" customHeight="1" spans="1:9">
      <c r="A399" s="68">
        <v>4</v>
      </c>
      <c r="B399" s="68" t="s">
        <v>169</v>
      </c>
      <c r="C399" s="68"/>
      <c r="D399" s="68"/>
      <c r="E399" s="68"/>
      <c r="F399" s="68"/>
      <c r="G399" s="68"/>
      <c r="H399" s="69">
        <f>SUM(H400:H404)</f>
        <v>36.62</v>
      </c>
      <c r="I399" s="86" t="s">
        <v>170</v>
      </c>
    </row>
    <row r="400" customHeight="1" spans="1:9">
      <c r="A400" s="75">
        <v>4.1</v>
      </c>
      <c r="B400" s="14" t="s">
        <v>171</v>
      </c>
      <c r="C400" s="14"/>
      <c r="D400" s="14" t="s">
        <v>172</v>
      </c>
      <c r="E400" s="75">
        <v>1</v>
      </c>
      <c r="F400" s="75"/>
      <c r="G400" s="75">
        <f>主要材料品牌单价!E$44</f>
        <v>11.5</v>
      </c>
      <c r="H400" s="73">
        <f t="shared" si="34"/>
        <v>11.5</v>
      </c>
      <c r="I400" s="11"/>
    </row>
    <row r="401" customHeight="1" spans="1:9">
      <c r="A401" s="75">
        <v>4.2</v>
      </c>
      <c r="B401" s="70" t="s">
        <v>173</v>
      </c>
      <c r="C401" s="71"/>
      <c r="D401" s="14" t="s">
        <v>172</v>
      </c>
      <c r="E401" s="76">
        <v>0.8</v>
      </c>
      <c r="F401" s="75"/>
      <c r="G401" s="75">
        <f>主要材料品牌单价!E$43</f>
        <v>11.5</v>
      </c>
      <c r="H401" s="73">
        <f t="shared" si="34"/>
        <v>9.2</v>
      </c>
      <c r="I401" s="11"/>
    </row>
    <row r="402" customHeight="1" spans="1:9">
      <c r="A402" s="75">
        <v>4.3</v>
      </c>
      <c r="B402" s="70" t="s">
        <v>174</v>
      </c>
      <c r="C402" s="71"/>
      <c r="D402" s="14" t="s">
        <v>172</v>
      </c>
      <c r="E402" s="76">
        <v>0.4</v>
      </c>
      <c r="F402" s="75"/>
      <c r="G402" s="75">
        <f>主要材料品牌单价!E$45</f>
        <v>13.5</v>
      </c>
      <c r="H402" s="73">
        <f t="shared" si="34"/>
        <v>5.4</v>
      </c>
      <c r="I402" s="11"/>
    </row>
    <row r="403" customHeight="1" spans="1:9">
      <c r="A403" s="75">
        <v>4.4</v>
      </c>
      <c r="B403" s="77" t="s">
        <v>175</v>
      </c>
      <c r="C403" s="78"/>
      <c r="D403" s="14" t="s">
        <v>172</v>
      </c>
      <c r="E403" s="67">
        <v>0.1</v>
      </c>
      <c r="F403" s="14"/>
      <c r="G403" s="75">
        <f>主要材料品牌单价!E$46</f>
        <v>18</v>
      </c>
      <c r="H403" s="73">
        <f t="shared" si="34"/>
        <v>1.8</v>
      </c>
      <c r="I403" s="11"/>
    </row>
    <row r="404" customHeight="1" spans="1:9">
      <c r="A404" s="75">
        <v>4.5</v>
      </c>
      <c r="B404" s="79" t="s">
        <v>176</v>
      </c>
      <c r="C404" s="79"/>
      <c r="D404" s="14" t="s">
        <v>177</v>
      </c>
      <c r="E404" s="67">
        <v>1</v>
      </c>
      <c r="F404" s="14"/>
      <c r="G404" s="75">
        <v>8.72</v>
      </c>
      <c r="H404" s="73">
        <f t="shared" si="34"/>
        <v>8.72</v>
      </c>
      <c r="I404" s="11"/>
    </row>
    <row r="405" customHeight="1" spans="1:9">
      <c r="A405" s="68">
        <v>5</v>
      </c>
      <c r="B405" s="68" t="s">
        <v>178</v>
      </c>
      <c r="C405" s="68"/>
      <c r="D405" s="68"/>
      <c r="E405" s="68"/>
      <c r="F405" s="68"/>
      <c r="G405" s="68"/>
      <c r="H405" s="69">
        <f>SUM(H406:H408)</f>
        <v>13.25</v>
      </c>
      <c r="I405" s="86" t="s">
        <v>170</v>
      </c>
    </row>
    <row r="406" customHeight="1" spans="1:9">
      <c r="A406" s="75">
        <v>5.1</v>
      </c>
      <c r="B406" s="14" t="s">
        <v>179</v>
      </c>
      <c r="C406" s="14"/>
      <c r="D406" s="14" t="s">
        <v>180</v>
      </c>
      <c r="E406" s="76">
        <v>0.25</v>
      </c>
      <c r="F406" s="75"/>
      <c r="G406" s="75">
        <f>主要材料品牌单价!E$48</f>
        <v>13</v>
      </c>
      <c r="H406" s="73">
        <f t="shared" ref="H406:H415" si="35">E406*(1+F406)*G406</f>
        <v>3.25</v>
      </c>
      <c r="I406" s="11"/>
    </row>
    <row r="407" customHeight="1" spans="1:9">
      <c r="A407" s="75">
        <v>5.2</v>
      </c>
      <c r="B407" s="70" t="s">
        <v>181</v>
      </c>
      <c r="C407" s="71"/>
      <c r="D407" s="14" t="s">
        <v>177</v>
      </c>
      <c r="E407" s="76">
        <v>0</v>
      </c>
      <c r="F407" s="75"/>
      <c r="G407" s="75"/>
      <c r="H407" s="73">
        <f t="shared" si="35"/>
        <v>0</v>
      </c>
      <c r="I407" s="11"/>
    </row>
    <row r="408" customHeight="1" spans="1:9">
      <c r="A408" s="75">
        <v>5.3</v>
      </c>
      <c r="B408" s="80" t="s">
        <v>182</v>
      </c>
      <c r="C408" s="81"/>
      <c r="D408" s="82" t="s">
        <v>168</v>
      </c>
      <c r="E408" s="67">
        <v>10</v>
      </c>
      <c r="F408" s="14"/>
      <c r="G408" s="75"/>
      <c r="H408" s="73">
        <v>10</v>
      </c>
      <c r="I408" s="11"/>
    </row>
    <row r="409" customHeight="1" spans="1:9">
      <c r="A409" s="83">
        <v>6</v>
      </c>
      <c r="B409" s="82" t="s">
        <v>183</v>
      </c>
      <c r="C409" s="82"/>
      <c r="D409" s="82" t="s">
        <v>168</v>
      </c>
      <c r="E409" s="82">
        <v>1</v>
      </c>
      <c r="F409" s="68">
        <v>0</v>
      </c>
      <c r="G409" s="75">
        <v>35</v>
      </c>
      <c r="H409" s="69">
        <f t="shared" si="35"/>
        <v>35</v>
      </c>
      <c r="I409" s="86" t="s">
        <v>170</v>
      </c>
    </row>
    <row r="410" customHeight="1" spans="1:9">
      <c r="A410" s="68">
        <v>7</v>
      </c>
      <c r="B410" s="84" t="s">
        <v>184</v>
      </c>
      <c r="C410" s="85"/>
      <c r="D410" s="82" t="s">
        <v>168</v>
      </c>
      <c r="E410" s="82">
        <v>1</v>
      </c>
      <c r="F410" s="68">
        <v>0</v>
      </c>
      <c r="G410" s="75">
        <v>45</v>
      </c>
      <c r="H410" s="69">
        <f t="shared" si="35"/>
        <v>45</v>
      </c>
      <c r="I410" s="86" t="s">
        <v>170</v>
      </c>
    </row>
    <row r="411" customHeight="1" spans="1:9">
      <c r="A411" s="68">
        <v>8</v>
      </c>
      <c r="B411" s="82" t="s">
        <v>185</v>
      </c>
      <c r="C411" s="82"/>
      <c r="D411" s="82" t="s">
        <v>168</v>
      </c>
      <c r="E411" s="82">
        <v>1</v>
      </c>
      <c r="F411" s="68">
        <v>0</v>
      </c>
      <c r="G411" s="75">
        <v>3</v>
      </c>
      <c r="H411" s="69">
        <f t="shared" si="35"/>
        <v>3</v>
      </c>
      <c r="I411" s="86" t="s">
        <v>170</v>
      </c>
    </row>
    <row r="412" customHeight="1" spans="1:9">
      <c r="A412" s="82">
        <v>9</v>
      </c>
      <c r="B412" s="82" t="s">
        <v>186</v>
      </c>
      <c r="C412" s="82"/>
      <c r="D412" s="82" t="s">
        <v>168</v>
      </c>
      <c r="E412" s="82">
        <v>1</v>
      </c>
      <c r="F412" s="82">
        <v>0</v>
      </c>
      <c r="G412" s="75">
        <v>0.5</v>
      </c>
      <c r="H412" s="69">
        <f t="shared" si="35"/>
        <v>0.5</v>
      </c>
      <c r="I412" s="86" t="s">
        <v>170</v>
      </c>
    </row>
    <row r="413" customHeight="1" spans="1:9">
      <c r="A413" s="82">
        <v>10</v>
      </c>
      <c r="B413" s="82" t="s">
        <v>187</v>
      </c>
      <c r="C413" s="82"/>
      <c r="D413" s="82" t="s">
        <v>168</v>
      </c>
      <c r="E413" s="82">
        <v>1</v>
      </c>
      <c r="F413" s="82">
        <v>0</v>
      </c>
      <c r="G413" s="75">
        <v>0.5</v>
      </c>
      <c r="H413" s="69">
        <f t="shared" si="35"/>
        <v>0.5</v>
      </c>
      <c r="I413" s="86" t="s">
        <v>170</v>
      </c>
    </row>
    <row r="414" customHeight="1" spans="1:9">
      <c r="A414" s="82">
        <v>11</v>
      </c>
      <c r="B414" s="84" t="s">
        <v>188</v>
      </c>
      <c r="C414" s="85"/>
      <c r="D414" s="82" t="s">
        <v>168</v>
      </c>
      <c r="E414" s="82">
        <v>1</v>
      </c>
      <c r="F414" s="82">
        <v>0</v>
      </c>
      <c r="G414" s="75">
        <v>1</v>
      </c>
      <c r="H414" s="69">
        <f t="shared" si="35"/>
        <v>1</v>
      </c>
      <c r="I414" s="86" t="s">
        <v>170</v>
      </c>
    </row>
    <row r="415" customHeight="1" spans="1:9">
      <c r="A415" s="82">
        <v>12</v>
      </c>
      <c r="B415" s="82" t="s">
        <v>189</v>
      </c>
      <c r="C415" s="82"/>
      <c r="D415" s="82" t="s">
        <v>168</v>
      </c>
      <c r="E415" s="82">
        <v>1</v>
      </c>
      <c r="F415" s="82">
        <v>0</v>
      </c>
      <c r="G415" s="75">
        <v>0.5</v>
      </c>
      <c r="H415" s="69">
        <f t="shared" si="35"/>
        <v>0.5</v>
      </c>
      <c r="I415" s="86" t="s">
        <v>170</v>
      </c>
    </row>
    <row r="416" customHeight="1" spans="1:9">
      <c r="A416" s="82">
        <v>13</v>
      </c>
      <c r="B416" s="84" t="s">
        <v>190</v>
      </c>
      <c r="C416" s="85"/>
      <c r="D416" s="82" t="s">
        <v>6</v>
      </c>
      <c r="E416" s="84" t="s">
        <v>191</v>
      </c>
      <c r="F416" s="85"/>
      <c r="G416" s="86"/>
      <c r="H416" s="69">
        <f>H391+H395+H399+H405+H409+H410+H411+H412+H413+H415+H414+H397</f>
        <v>580.7256856</v>
      </c>
      <c r="I416" s="89" t="s">
        <v>192</v>
      </c>
    </row>
    <row r="417" customHeight="1" spans="1:9">
      <c r="A417" s="82">
        <v>14</v>
      </c>
      <c r="B417" s="84" t="s">
        <v>193</v>
      </c>
      <c r="C417" s="85"/>
      <c r="D417" s="82" t="s">
        <v>6</v>
      </c>
      <c r="E417" s="84" t="s">
        <v>194</v>
      </c>
      <c r="F417" s="85"/>
      <c r="G417" s="87">
        <v>0.08</v>
      </c>
      <c r="H417" s="69">
        <f>H416*(G417)</f>
        <v>46.458054848</v>
      </c>
      <c r="I417" s="90"/>
    </row>
    <row r="418" customHeight="1" spans="1:9">
      <c r="A418" s="82">
        <v>15</v>
      </c>
      <c r="B418" s="84" t="s">
        <v>195</v>
      </c>
      <c r="C418" s="85"/>
      <c r="D418" s="82" t="s">
        <v>6</v>
      </c>
      <c r="E418" s="84" t="s">
        <v>196</v>
      </c>
      <c r="F418" s="85"/>
      <c r="G418" s="86"/>
      <c r="H418" s="69">
        <f>H416+H417</f>
        <v>627.183740448</v>
      </c>
      <c r="I418" s="91">
        <f>H418</f>
        <v>627.183740448</v>
      </c>
    </row>
    <row r="420" customHeight="1" spans="1:9">
      <c r="A420" s="66" t="s">
        <v>198</v>
      </c>
      <c r="E420" s="60"/>
      <c r="G420" s="60"/>
      <c r="H420" s="60"/>
      <c r="I420" s="60"/>
    </row>
    <row r="421" customHeight="1" spans="1:9">
      <c r="A421" s="14" t="s">
        <v>143</v>
      </c>
      <c r="B421" s="88"/>
      <c r="C421" s="88"/>
      <c r="D421" s="88"/>
      <c r="E421" s="14" t="s">
        <v>144</v>
      </c>
      <c r="F421" s="14" t="s">
        <v>132</v>
      </c>
      <c r="G421" s="14"/>
      <c r="H421" s="14" t="s">
        <v>145</v>
      </c>
      <c r="I421" s="14"/>
    </row>
    <row r="422" customHeight="1" spans="1:9">
      <c r="A422" s="14" t="s">
        <v>82</v>
      </c>
      <c r="B422" s="14"/>
      <c r="C422" s="14"/>
      <c r="D422" s="14"/>
      <c r="E422" s="14" t="s">
        <v>146</v>
      </c>
      <c r="F422" s="14"/>
      <c r="G422" s="14"/>
      <c r="H422" s="14"/>
      <c r="I422" s="14"/>
    </row>
    <row r="423" customHeight="1" spans="1:9">
      <c r="A423" s="13" t="s">
        <v>147</v>
      </c>
      <c r="B423" s="14">
        <v>0</v>
      </c>
      <c r="C423" s="13" t="s">
        <v>148</v>
      </c>
      <c r="D423" s="14">
        <v>0</v>
      </c>
      <c r="E423" s="14" t="s">
        <v>149</v>
      </c>
      <c r="F423" s="67">
        <v>0</v>
      </c>
      <c r="G423" s="11" t="s">
        <v>150</v>
      </c>
      <c r="H423" s="14"/>
      <c r="I423" s="14"/>
    </row>
    <row r="424" customHeight="1" spans="1:9">
      <c r="A424" s="13"/>
      <c r="B424" s="14"/>
      <c r="C424" s="13"/>
      <c r="D424" s="14"/>
      <c r="E424" s="14"/>
      <c r="F424" s="67">
        <v>0</v>
      </c>
      <c r="G424" s="12" t="s">
        <v>151</v>
      </c>
      <c r="H424" s="14"/>
      <c r="I424" s="14"/>
    </row>
    <row r="425" customHeight="1" spans="1:9">
      <c r="A425" s="14" t="s">
        <v>38</v>
      </c>
      <c r="B425" s="14" t="s">
        <v>152</v>
      </c>
      <c r="C425" s="14"/>
      <c r="D425" s="14" t="s">
        <v>153</v>
      </c>
      <c r="E425" s="14" t="s">
        <v>154</v>
      </c>
      <c r="F425" s="14" t="s">
        <v>155</v>
      </c>
      <c r="G425" s="11" t="s">
        <v>156</v>
      </c>
      <c r="H425" s="11" t="s">
        <v>157</v>
      </c>
      <c r="I425" s="12" t="s">
        <v>158</v>
      </c>
    </row>
    <row r="426" customHeight="1" spans="1:9">
      <c r="A426" s="68">
        <v>1</v>
      </c>
      <c r="B426" s="68" t="s">
        <v>159</v>
      </c>
      <c r="C426" s="68"/>
      <c r="D426" s="68"/>
      <c r="E426" s="68"/>
      <c r="F426" s="68"/>
      <c r="G426" s="68"/>
      <c r="H426" s="69">
        <f>SUM(H427:H429)</f>
        <v>90.19886</v>
      </c>
      <c r="I426" s="86"/>
    </row>
    <row r="427" customHeight="1" spans="1:9">
      <c r="A427" s="14">
        <v>1.1</v>
      </c>
      <c r="B427" s="70" t="s">
        <v>160</v>
      </c>
      <c r="C427" s="71"/>
      <c r="D427" s="14" t="s">
        <v>161</v>
      </c>
      <c r="E427" s="67">
        <v>0</v>
      </c>
      <c r="F427" s="72"/>
      <c r="G427" s="73"/>
      <c r="H427" s="73">
        <f t="shared" ref="H427:H429" si="36">E427*(1+F427)*G427</f>
        <v>0</v>
      </c>
      <c r="I427" s="11"/>
    </row>
    <row r="428" customHeight="1" spans="1:9">
      <c r="A428" s="14">
        <v>1.2</v>
      </c>
      <c r="B428" s="70" t="s">
        <v>211</v>
      </c>
      <c r="C428" s="71"/>
      <c r="D428" s="14" t="s">
        <v>161</v>
      </c>
      <c r="E428" s="67">
        <v>7.46</v>
      </c>
      <c r="F428" s="72">
        <v>0.07</v>
      </c>
      <c r="G428" s="73">
        <f>主要材料品牌单价!E$7/1000</f>
        <v>11.3</v>
      </c>
      <c r="H428" s="73">
        <f t="shared" si="36"/>
        <v>90.19886</v>
      </c>
      <c r="I428" s="11"/>
    </row>
    <row r="429" customHeight="1" spans="1:9">
      <c r="A429" s="14">
        <v>1.3</v>
      </c>
      <c r="B429" s="14" t="s">
        <v>162</v>
      </c>
      <c r="C429" s="14"/>
      <c r="D429" s="14" t="s">
        <v>161</v>
      </c>
      <c r="E429" s="67">
        <v>0</v>
      </c>
      <c r="F429" s="72"/>
      <c r="G429" s="73"/>
      <c r="H429" s="73">
        <f t="shared" si="36"/>
        <v>0</v>
      </c>
      <c r="I429" s="11"/>
    </row>
    <row r="430" customHeight="1" spans="1:9">
      <c r="A430" s="68">
        <v>2</v>
      </c>
      <c r="B430" s="68" t="s">
        <v>163</v>
      </c>
      <c r="C430" s="68"/>
      <c r="D430" s="68"/>
      <c r="E430" s="68"/>
      <c r="F430" s="68"/>
      <c r="G430" s="68"/>
      <c r="H430" s="74">
        <f>H431</f>
        <v>7.777</v>
      </c>
      <c r="I430" s="86"/>
    </row>
    <row r="431" customHeight="1" spans="1:9">
      <c r="A431" s="14">
        <v>2.1</v>
      </c>
      <c r="B431" s="14" t="s">
        <v>164</v>
      </c>
      <c r="C431" s="14"/>
      <c r="D431" s="14" t="s">
        <v>165</v>
      </c>
      <c r="E431" s="73">
        <v>0.22</v>
      </c>
      <c r="F431" s="72">
        <v>0.01</v>
      </c>
      <c r="G431" s="73">
        <f>主要材料品牌单价!E21</f>
        <v>35</v>
      </c>
      <c r="H431" s="73">
        <f>E431*(1+F431)*G431</f>
        <v>7.777</v>
      </c>
      <c r="I431" s="11"/>
    </row>
    <row r="432" customHeight="1" spans="1:9">
      <c r="A432" s="68">
        <v>3</v>
      </c>
      <c r="B432" s="68" t="s">
        <v>166</v>
      </c>
      <c r="C432" s="68"/>
      <c r="D432" s="68"/>
      <c r="E432" s="68"/>
      <c r="F432" s="68"/>
      <c r="G432" s="68"/>
      <c r="H432" s="69">
        <f>SUM(H433:H434)</f>
        <v>96.7895</v>
      </c>
      <c r="I432" s="86"/>
    </row>
    <row r="433" customHeight="1" spans="1:9">
      <c r="A433" s="14">
        <v>3.1</v>
      </c>
      <c r="B433" s="13" t="s">
        <v>212</v>
      </c>
      <c r="C433" s="13"/>
      <c r="D433" s="14" t="s">
        <v>168</v>
      </c>
      <c r="E433" s="73">
        <v>0.7</v>
      </c>
      <c r="F433" s="72">
        <v>0.003</v>
      </c>
      <c r="G433" s="11">
        <f>主要材料品牌单价!E32</f>
        <v>105</v>
      </c>
      <c r="H433" s="73">
        <f>E433*(1+F433)*G433</f>
        <v>73.7205</v>
      </c>
      <c r="I433" s="11"/>
    </row>
    <row r="434" customHeight="1" spans="1:9">
      <c r="A434" s="14">
        <v>3.2</v>
      </c>
      <c r="B434" s="92" t="s">
        <v>214</v>
      </c>
      <c r="C434" s="93"/>
      <c r="D434" s="14" t="s">
        <v>168</v>
      </c>
      <c r="E434" s="73">
        <v>0.2</v>
      </c>
      <c r="F434" s="72">
        <v>0.003</v>
      </c>
      <c r="G434" s="11">
        <f>主要材料品牌单价!E33</f>
        <v>115</v>
      </c>
      <c r="H434" s="73">
        <f>E434*(1+F434)*G434</f>
        <v>23.069</v>
      </c>
      <c r="I434" s="11"/>
    </row>
    <row r="435" customHeight="1" spans="1:9">
      <c r="A435" s="68">
        <v>4</v>
      </c>
      <c r="B435" s="68" t="s">
        <v>169</v>
      </c>
      <c r="C435" s="68"/>
      <c r="D435" s="68"/>
      <c r="E435" s="68"/>
      <c r="F435" s="68"/>
      <c r="G435" s="68"/>
      <c r="H435" s="69">
        <f>SUM(H436:H440)</f>
        <v>22.2</v>
      </c>
      <c r="I435" s="86" t="s">
        <v>170</v>
      </c>
    </row>
    <row r="436" customHeight="1" spans="1:9">
      <c r="A436" s="75">
        <v>4.1</v>
      </c>
      <c r="B436" s="14" t="s">
        <v>171</v>
      </c>
      <c r="C436" s="14"/>
      <c r="D436" s="14" t="s">
        <v>172</v>
      </c>
      <c r="E436" s="75">
        <v>0</v>
      </c>
      <c r="F436" s="75"/>
      <c r="G436" s="75">
        <f>主要材料品牌单价!E$44</f>
        <v>11.5</v>
      </c>
      <c r="H436" s="73">
        <f t="shared" ref="H435:H440" si="37">E436*(1+F436)*G436</f>
        <v>0</v>
      </c>
      <c r="I436" s="11"/>
    </row>
    <row r="437" customHeight="1" spans="1:9">
      <c r="A437" s="75">
        <v>4.2</v>
      </c>
      <c r="B437" s="70" t="s">
        <v>173</v>
      </c>
      <c r="C437" s="71"/>
      <c r="D437" s="14" t="s">
        <v>172</v>
      </c>
      <c r="E437" s="76">
        <v>1</v>
      </c>
      <c r="F437" s="75"/>
      <c r="G437" s="75">
        <f>主要材料品牌单价!E$43</f>
        <v>11.5</v>
      </c>
      <c r="H437" s="73">
        <f t="shared" si="37"/>
        <v>11.5</v>
      </c>
      <c r="I437" s="11"/>
    </row>
    <row r="438" customHeight="1" spans="1:9">
      <c r="A438" s="75">
        <v>4.3</v>
      </c>
      <c r="B438" s="70" t="s">
        <v>174</v>
      </c>
      <c r="C438" s="71"/>
      <c r="D438" s="14" t="s">
        <v>172</v>
      </c>
      <c r="E438" s="76">
        <v>0.2</v>
      </c>
      <c r="F438" s="75"/>
      <c r="G438" s="75">
        <f>主要材料品牌单价!E$45</f>
        <v>13.5</v>
      </c>
      <c r="H438" s="73">
        <f t="shared" si="37"/>
        <v>2.7</v>
      </c>
      <c r="I438" s="11"/>
    </row>
    <row r="439" customHeight="1" spans="1:9">
      <c r="A439" s="75">
        <v>4.4</v>
      </c>
      <c r="B439" s="77" t="s">
        <v>175</v>
      </c>
      <c r="C439" s="78"/>
      <c r="D439" s="14" t="s">
        <v>172</v>
      </c>
      <c r="E439" s="67">
        <v>0</v>
      </c>
      <c r="F439" s="14"/>
      <c r="G439" s="75">
        <f>主要材料品牌单价!E$46</f>
        <v>18</v>
      </c>
      <c r="H439" s="73">
        <f t="shared" si="37"/>
        <v>0</v>
      </c>
      <c r="I439" s="11"/>
    </row>
    <row r="440" customHeight="1" spans="1:9">
      <c r="A440" s="75">
        <v>4.5</v>
      </c>
      <c r="B440" s="79" t="s">
        <v>176</v>
      </c>
      <c r="C440" s="79"/>
      <c r="D440" s="14" t="s">
        <v>177</v>
      </c>
      <c r="E440" s="67">
        <v>1</v>
      </c>
      <c r="F440" s="14"/>
      <c r="G440" s="75">
        <v>8</v>
      </c>
      <c r="H440" s="73">
        <f t="shared" si="37"/>
        <v>8</v>
      </c>
      <c r="I440" s="11"/>
    </row>
    <row r="441" customHeight="1" spans="1:9">
      <c r="A441" s="68">
        <v>5</v>
      </c>
      <c r="B441" s="68" t="s">
        <v>178</v>
      </c>
      <c r="C441" s="68"/>
      <c r="D441" s="68"/>
      <c r="E441" s="68"/>
      <c r="F441" s="68"/>
      <c r="G441" s="68"/>
      <c r="H441" s="69">
        <f>SUM(H442:H444)</f>
        <v>13.95</v>
      </c>
      <c r="I441" s="86" t="s">
        <v>170</v>
      </c>
    </row>
    <row r="442" customHeight="1" spans="1:9">
      <c r="A442" s="75">
        <v>5.1</v>
      </c>
      <c r="B442" s="14" t="s">
        <v>179</v>
      </c>
      <c r="C442" s="14"/>
      <c r="D442" s="14" t="s">
        <v>180</v>
      </c>
      <c r="E442" s="76">
        <v>0.15</v>
      </c>
      <c r="F442" s="75"/>
      <c r="G442" s="75">
        <f>主要材料品牌单价!E$48</f>
        <v>13</v>
      </c>
      <c r="H442" s="73">
        <f t="shared" ref="H442:H451" si="38">E442*(1+F442)*G442</f>
        <v>1.95</v>
      </c>
      <c r="I442" s="11"/>
    </row>
    <row r="443" customHeight="1" spans="1:9">
      <c r="A443" s="75">
        <v>5.2</v>
      </c>
      <c r="B443" s="70" t="s">
        <v>181</v>
      </c>
      <c r="C443" s="71"/>
      <c r="D443" s="14" t="s">
        <v>177</v>
      </c>
      <c r="E443" s="76">
        <v>0</v>
      </c>
      <c r="F443" s="75"/>
      <c r="G443" s="75"/>
      <c r="H443" s="73">
        <f t="shared" si="38"/>
        <v>0</v>
      </c>
      <c r="I443" s="11"/>
    </row>
    <row r="444" customHeight="1" spans="1:9">
      <c r="A444" s="75">
        <v>5.3</v>
      </c>
      <c r="B444" s="80" t="s">
        <v>182</v>
      </c>
      <c r="C444" s="81"/>
      <c r="D444" s="82" t="s">
        <v>168</v>
      </c>
      <c r="E444" s="67">
        <v>12</v>
      </c>
      <c r="F444" s="14"/>
      <c r="G444" s="75"/>
      <c r="H444" s="73">
        <v>12</v>
      </c>
      <c r="I444" s="11" t="s">
        <v>215</v>
      </c>
    </row>
    <row r="445" customHeight="1" spans="1:9">
      <c r="A445" s="83">
        <v>6</v>
      </c>
      <c r="B445" s="82" t="s">
        <v>183</v>
      </c>
      <c r="C445" s="82"/>
      <c r="D445" s="82" t="s">
        <v>168</v>
      </c>
      <c r="E445" s="82">
        <v>1</v>
      </c>
      <c r="F445" s="68">
        <v>0</v>
      </c>
      <c r="G445" s="75">
        <v>22</v>
      </c>
      <c r="H445" s="69">
        <f t="shared" si="38"/>
        <v>22</v>
      </c>
      <c r="I445" s="86" t="s">
        <v>170</v>
      </c>
    </row>
    <row r="446" customHeight="1" spans="1:9">
      <c r="A446" s="68">
        <v>7</v>
      </c>
      <c r="B446" s="84" t="s">
        <v>184</v>
      </c>
      <c r="C446" s="85"/>
      <c r="D446" s="82" t="s">
        <v>168</v>
      </c>
      <c r="E446" s="82">
        <v>1</v>
      </c>
      <c r="F446" s="68">
        <v>0</v>
      </c>
      <c r="G446" s="75">
        <v>35</v>
      </c>
      <c r="H446" s="69">
        <f t="shared" si="38"/>
        <v>35</v>
      </c>
      <c r="I446" s="86" t="s">
        <v>170</v>
      </c>
    </row>
    <row r="447" customHeight="1" spans="1:9">
      <c r="A447" s="68">
        <v>8</v>
      </c>
      <c r="B447" s="82" t="s">
        <v>185</v>
      </c>
      <c r="C447" s="82"/>
      <c r="D447" s="82" t="s">
        <v>168</v>
      </c>
      <c r="E447" s="82">
        <v>1</v>
      </c>
      <c r="F447" s="68">
        <v>0</v>
      </c>
      <c r="G447" s="75">
        <v>1</v>
      </c>
      <c r="H447" s="69">
        <f t="shared" si="38"/>
        <v>1</v>
      </c>
      <c r="I447" s="86" t="s">
        <v>170</v>
      </c>
    </row>
    <row r="448" customHeight="1" spans="1:9">
      <c r="A448" s="82">
        <v>9</v>
      </c>
      <c r="B448" s="82" t="s">
        <v>186</v>
      </c>
      <c r="C448" s="82"/>
      <c r="D448" s="82" t="s">
        <v>168</v>
      </c>
      <c r="E448" s="82">
        <v>1</v>
      </c>
      <c r="F448" s="82">
        <v>0</v>
      </c>
      <c r="G448" s="75">
        <v>0.5</v>
      </c>
      <c r="H448" s="69">
        <f t="shared" si="38"/>
        <v>0.5</v>
      </c>
      <c r="I448" s="86" t="s">
        <v>170</v>
      </c>
    </row>
    <row r="449" customHeight="1" spans="1:9">
      <c r="A449" s="82">
        <v>10</v>
      </c>
      <c r="B449" s="82" t="s">
        <v>187</v>
      </c>
      <c r="C449" s="82"/>
      <c r="D449" s="82" t="s">
        <v>168</v>
      </c>
      <c r="E449" s="82">
        <v>1</v>
      </c>
      <c r="F449" s="82">
        <v>0</v>
      </c>
      <c r="G449" s="75">
        <v>0.5</v>
      </c>
      <c r="H449" s="69">
        <f t="shared" si="38"/>
        <v>0.5</v>
      </c>
      <c r="I449" s="86" t="s">
        <v>170</v>
      </c>
    </row>
    <row r="450" customHeight="1" spans="1:9">
      <c r="A450" s="82">
        <v>11</v>
      </c>
      <c r="B450" s="84" t="s">
        <v>188</v>
      </c>
      <c r="C450" s="85"/>
      <c r="D450" s="82" t="s">
        <v>168</v>
      </c>
      <c r="E450" s="82">
        <v>1</v>
      </c>
      <c r="F450" s="82">
        <v>0</v>
      </c>
      <c r="G450" s="75">
        <v>1</v>
      </c>
      <c r="H450" s="69">
        <f t="shared" si="38"/>
        <v>1</v>
      </c>
      <c r="I450" s="86" t="s">
        <v>170</v>
      </c>
    </row>
    <row r="451" customHeight="1" spans="1:9">
      <c r="A451" s="82">
        <v>12</v>
      </c>
      <c r="B451" s="82" t="s">
        <v>189</v>
      </c>
      <c r="C451" s="82"/>
      <c r="D451" s="82" t="s">
        <v>168</v>
      </c>
      <c r="E451" s="82">
        <v>1</v>
      </c>
      <c r="F451" s="82">
        <v>0</v>
      </c>
      <c r="G451" s="75">
        <v>0.5</v>
      </c>
      <c r="H451" s="69">
        <f t="shared" si="38"/>
        <v>0.5</v>
      </c>
      <c r="I451" s="86" t="s">
        <v>170</v>
      </c>
    </row>
    <row r="452" customHeight="1" spans="1:9">
      <c r="A452" s="82">
        <v>13</v>
      </c>
      <c r="B452" s="84" t="s">
        <v>190</v>
      </c>
      <c r="C452" s="85"/>
      <c r="D452" s="82" t="s">
        <v>6</v>
      </c>
      <c r="E452" s="84" t="s">
        <v>191</v>
      </c>
      <c r="F452" s="85"/>
      <c r="G452" s="86"/>
      <c r="H452" s="69">
        <f>H426+H430+H435+H441+H445+H446+H447+H448+H449+H451+H450+H432</f>
        <v>291.41536</v>
      </c>
      <c r="I452" s="89" t="s">
        <v>192</v>
      </c>
    </row>
    <row r="453" customHeight="1" spans="1:9">
      <c r="A453" s="82">
        <v>14</v>
      </c>
      <c r="B453" s="84" t="s">
        <v>193</v>
      </c>
      <c r="C453" s="85"/>
      <c r="D453" s="82" t="s">
        <v>6</v>
      </c>
      <c r="E453" s="84" t="s">
        <v>194</v>
      </c>
      <c r="F453" s="85"/>
      <c r="G453" s="87">
        <v>0.08</v>
      </c>
      <c r="H453" s="69">
        <f>H452*(G453)</f>
        <v>23.3132288</v>
      </c>
      <c r="I453" s="90"/>
    </row>
    <row r="454" customHeight="1" spans="1:9">
      <c r="A454" s="82">
        <v>15</v>
      </c>
      <c r="B454" s="84" t="s">
        <v>195</v>
      </c>
      <c r="C454" s="85"/>
      <c r="D454" s="82" t="s">
        <v>6</v>
      </c>
      <c r="E454" s="84" t="s">
        <v>196</v>
      </c>
      <c r="F454" s="85"/>
      <c r="G454" s="86"/>
      <c r="H454" s="69">
        <f>H452+H453</f>
        <v>314.7285888</v>
      </c>
      <c r="I454" s="91">
        <f>H454</f>
        <v>314.7285888</v>
      </c>
    </row>
    <row r="456" customHeight="1" spans="1:9">
      <c r="A456" s="66" t="s">
        <v>198</v>
      </c>
      <c r="E456" s="60"/>
      <c r="G456" s="60"/>
      <c r="H456" s="60"/>
      <c r="I456" s="60"/>
    </row>
    <row r="457" customHeight="1" spans="1:9">
      <c r="A457" s="14" t="s">
        <v>143</v>
      </c>
      <c r="B457" s="88"/>
      <c r="C457" s="88"/>
      <c r="D457" s="88"/>
      <c r="E457" s="14" t="s">
        <v>144</v>
      </c>
      <c r="F457" s="14" t="s">
        <v>216</v>
      </c>
      <c r="G457" s="14"/>
      <c r="H457" s="14" t="s">
        <v>145</v>
      </c>
      <c r="I457" s="14"/>
    </row>
    <row r="458" customHeight="1" spans="1:9">
      <c r="A458" s="14" t="s">
        <v>82</v>
      </c>
      <c r="B458" s="14"/>
      <c r="C458" s="14"/>
      <c r="D458" s="14"/>
      <c r="E458" s="14" t="s">
        <v>146</v>
      </c>
      <c r="F458" s="14"/>
      <c r="G458" s="14"/>
      <c r="H458" s="14"/>
      <c r="I458" s="14"/>
    </row>
    <row r="459" customHeight="1" spans="1:9">
      <c r="A459" s="13" t="s">
        <v>147</v>
      </c>
      <c r="B459" s="14">
        <v>0</v>
      </c>
      <c r="C459" s="13" t="s">
        <v>148</v>
      </c>
      <c r="D459" s="14">
        <v>0</v>
      </c>
      <c r="E459" s="14" t="s">
        <v>149</v>
      </c>
      <c r="F459" s="67">
        <v>0</v>
      </c>
      <c r="G459" s="11" t="s">
        <v>150</v>
      </c>
      <c r="H459" s="14"/>
      <c r="I459" s="14"/>
    </row>
    <row r="460" customHeight="1" spans="1:9">
      <c r="A460" s="13"/>
      <c r="B460" s="14"/>
      <c r="C460" s="13"/>
      <c r="D460" s="14"/>
      <c r="E460" s="14"/>
      <c r="F460" s="67">
        <v>0</v>
      </c>
      <c r="G460" s="12" t="s">
        <v>151</v>
      </c>
      <c r="H460" s="14"/>
      <c r="I460" s="14"/>
    </row>
    <row r="461" customHeight="1" spans="1:9">
      <c r="A461" s="14" t="s">
        <v>38</v>
      </c>
      <c r="B461" s="14" t="s">
        <v>152</v>
      </c>
      <c r="C461" s="14"/>
      <c r="D461" s="14" t="s">
        <v>153</v>
      </c>
      <c r="E461" s="14" t="s">
        <v>154</v>
      </c>
      <c r="F461" s="14" t="s">
        <v>155</v>
      </c>
      <c r="G461" s="11" t="s">
        <v>156</v>
      </c>
      <c r="H461" s="11" t="s">
        <v>157</v>
      </c>
      <c r="I461" s="12" t="s">
        <v>158</v>
      </c>
    </row>
    <row r="462" customHeight="1" spans="1:9">
      <c r="A462" s="68">
        <v>1</v>
      </c>
      <c r="B462" s="68" t="s">
        <v>159</v>
      </c>
      <c r="C462" s="68"/>
      <c r="D462" s="68"/>
      <c r="E462" s="68"/>
      <c r="F462" s="68"/>
      <c r="G462" s="68"/>
      <c r="H462" s="69">
        <f>SUM(H463:H465)</f>
        <v>244.60628</v>
      </c>
      <c r="I462" s="86"/>
    </row>
    <row r="463" customHeight="1" spans="1:9">
      <c r="A463" s="14">
        <v>1.1</v>
      </c>
      <c r="B463" s="70" t="s">
        <v>200</v>
      </c>
      <c r="C463" s="71"/>
      <c r="D463" s="14" t="s">
        <v>161</v>
      </c>
      <c r="E463" s="67"/>
      <c r="F463" s="72"/>
      <c r="G463" s="73"/>
      <c r="H463" s="73">
        <f t="shared" ref="H463:H465" si="39">E463*(1+F463)*G463</f>
        <v>0</v>
      </c>
      <c r="I463" s="11"/>
    </row>
    <row r="464" customHeight="1" spans="1:9">
      <c r="A464" s="14">
        <v>1.2</v>
      </c>
      <c r="B464" s="70" t="s">
        <v>160</v>
      </c>
      <c r="C464" s="71"/>
      <c r="D464" s="14" t="s">
        <v>161</v>
      </c>
      <c r="E464" s="67">
        <v>8.53</v>
      </c>
      <c r="F464" s="72">
        <v>0.07</v>
      </c>
      <c r="G464" s="73">
        <f>主要材料品牌单价!E$5/1000</f>
        <v>26.8</v>
      </c>
      <c r="H464" s="73">
        <f t="shared" si="39"/>
        <v>244.60628</v>
      </c>
      <c r="I464" s="11"/>
    </row>
    <row r="465" customHeight="1" spans="1:9">
      <c r="A465" s="14">
        <v>1.3</v>
      </c>
      <c r="B465" s="14" t="s">
        <v>162</v>
      </c>
      <c r="C465" s="14"/>
      <c r="D465" s="14" t="s">
        <v>161</v>
      </c>
      <c r="E465" s="67"/>
      <c r="F465" s="72"/>
      <c r="G465" s="73"/>
      <c r="H465" s="73">
        <f t="shared" si="39"/>
        <v>0</v>
      </c>
      <c r="I465" s="11"/>
    </row>
    <row r="466" customHeight="1" spans="1:9">
      <c r="A466" s="68">
        <v>2</v>
      </c>
      <c r="B466" s="68" t="s">
        <v>163</v>
      </c>
      <c r="C466" s="68"/>
      <c r="D466" s="68"/>
      <c r="E466" s="68"/>
      <c r="F466" s="68"/>
      <c r="G466" s="68"/>
      <c r="H466" s="74">
        <f>H467</f>
        <v>98.98</v>
      </c>
      <c r="I466" s="86"/>
    </row>
    <row r="467" customHeight="1" spans="1:9">
      <c r="A467" s="14">
        <v>2.1</v>
      </c>
      <c r="B467" s="14" t="s">
        <v>164</v>
      </c>
      <c r="C467" s="14"/>
      <c r="D467" s="14" t="s">
        <v>165</v>
      </c>
      <c r="E467" s="73">
        <v>0.2</v>
      </c>
      <c r="F467" s="72">
        <v>0.01</v>
      </c>
      <c r="G467" s="73">
        <f>主要材料品牌单价!E25</f>
        <v>490</v>
      </c>
      <c r="H467" s="73">
        <f>E467*(1+F467)*G467</f>
        <v>98.98</v>
      </c>
      <c r="I467" s="11"/>
    </row>
    <row r="468" customHeight="1" spans="1:9">
      <c r="A468" s="68">
        <v>3</v>
      </c>
      <c r="B468" s="68" t="s">
        <v>166</v>
      </c>
      <c r="C468" s="68"/>
      <c r="D468" s="68"/>
      <c r="E468" s="68"/>
      <c r="F468" s="68"/>
      <c r="G468" s="68"/>
      <c r="H468" s="74">
        <f>H469</f>
        <v>103.8105</v>
      </c>
      <c r="I468" s="86"/>
    </row>
    <row r="469" customHeight="1" spans="1:9">
      <c r="A469" s="14">
        <v>3.1</v>
      </c>
      <c r="B469" s="13" t="s">
        <v>214</v>
      </c>
      <c r="C469" s="13"/>
      <c r="D469" s="14" t="s">
        <v>168</v>
      </c>
      <c r="E469" s="73">
        <v>0.9</v>
      </c>
      <c r="F469" s="72">
        <v>0.003</v>
      </c>
      <c r="G469" s="11">
        <f>主要材料品牌单价!E33</f>
        <v>115</v>
      </c>
      <c r="H469" s="73">
        <f t="shared" ref="H469:H475" si="40">E469*(1+F469)*G469</f>
        <v>103.8105</v>
      </c>
      <c r="I469" s="11"/>
    </row>
    <row r="470" customHeight="1" spans="1:9">
      <c r="A470" s="68">
        <v>4</v>
      </c>
      <c r="B470" s="68" t="s">
        <v>169</v>
      </c>
      <c r="C470" s="68"/>
      <c r="D470" s="68"/>
      <c r="E470" s="68"/>
      <c r="F470" s="68"/>
      <c r="G470" s="68"/>
      <c r="H470" s="69">
        <f>SUM(H471:H475)</f>
        <v>24.5</v>
      </c>
      <c r="I470" s="86" t="s">
        <v>170</v>
      </c>
    </row>
    <row r="471" customHeight="1" spans="1:9">
      <c r="A471" s="75">
        <v>4.1</v>
      </c>
      <c r="B471" s="14" t="s">
        <v>171</v>
      </c>
      <c r="C471" s="14"/>
      <c r="D471" s="14" t="s">
        <v>172</v>
      </c>
      <c r="E471" s="75">
        <v>0.8</v>
      </c>
      <c r="F471" s="75"/>
      <c r="G471" s="75">
        <f>主要材料品牌单价!E$44</f>
        <v>11.5</v>
      </c>
      <c r="H471" s="73">
        <f t="shared" si="40"/>
        <v>9.2</v>
      </c>
      <c r="I471" s="11"/>
    </row>
    <row r="472" customHeight="1" spans="1:9">
      <c r="A472" s="75">
        <v>4.2</v>
      </c>
      <c r="B472" s="70" t="s">
        <v>173</v>
      </c>
      <c r="C472" s="71"/>
      <c r="D472" s="14" t="s">
        <v>172</v>
      </c>
      <c r="E472" s="76">
        <v>0.4</v>
      </c>
      <c r="F472" s="75"/>
      <c r="G472" s="75">
        <f>主要材料品牌单价!E$43</f>
        <v>11.5</v>
      </c>
      <c r="H472" s="73">
        <f t="shared" si="40"/>
        <v>4.6</v>
      </c>
      <c r="I472" s="11"/>
    </row>
    <row r="473" customHeight="1" spans="1:9">
      <c r="A473" s="75">
        <v>4.3</v>
      </c>
      <c r="B473" s="70" t="s">
        <v>174</v>
      </c>
      <c r="C473" s="71"/>
      <c r="D473" s="14" t="s">
        <v>172</v>
      </c>
      <c r="E473" s="76">
        <v>0.2</v>
      </c>
      <c r="F473" s="75"/>
      <c r="G473" s="75">
        <f>主要材料品牌单价!E$45</f>
        <v>13.5</v>
      </c>
      <c r="H473" s="73">
        <f t="shared" si="40"/>
        <v>2.7</v>
      </c>
      <c r="I473" s="11"/>
    </row>
    <row r="474" customHeight="1" spans="1:9">
      <c r="A474" s="75">
        <v>4.4</v>
      </c>
      <c r="B474" s="77" t="s">
        <v>175</v>
      </c>
      <c r="C474" s="78"/>
      <c r="D474" s="14" t="s">
        <v>172</v>
      </c>
      <c r="E474" s="67">
        <v>0</v>
      </c>
      <c r="F474" s="14"/>
      <c r="G474" s="75">
        <f>主要材料品牌单价!E$46</f>
        <v>18</v>
      </c>
      <c r="H474" s="73">
        <f t="shared" si="40"/>
        <v>0</v>
      </c>
      <c r="I474" s="11"/>
    </row>
    <row r="475" customHeight="1" spans="1:9">
      <c r="A475" s="75">
        <v>4.5</v>
      </c>
      <c r="B475" s="79" t="s">
        <v>176</v>
      </c>
      <c r="C475" s="79"/>
      <c r="D475" s="14" t="s">
        <v>177</v>
      </c>
      <c r="E475" s="67">
        <v>1</v>
      </c>
      <c r="F475" s="14"/>
      <c r="G475" s="75">
        <v>8</v>
      </c>
      <c r="H475" s="73">
        <f t="shared" si="40"/>
        <v>8</v>
      </c>
      <c r="I475" s="11"/>
    </row>
    <row r="476" customHeight="1" spans="1:9">
      <c r="A476" s="68">
        <v>5</v>
      </c>
      <c r="B476" s="68" t="s">
        <v>178</v>
      </c>
      <c r="C476" s="68"/>
      <c r="D476" s="68"/>
      <c r="E476" s="68"/>
      <c r="F476" s="68"/>
      <c r="G476" s="68"/>
      <c r="H476" s="69">
        <f>SUM(H477:H479)</f>
        <v>15.35</v>
      </c>
      <c r="I476" s="86" t="s">
        <v>170</v>
      </c>
    </row>
    <row r="477" customHeight="1" spans="1:9">
      <c r="A477" s="75">
        <v>5.1</v>
      </c>
      <c r="B477" s="14" t="s">
        <v>179</v>
      </c>
      <c r="C477" s="14"/>
      <c r="D477" s="14" t="s">
        <v>180</v>
      </c>
      <c r="E477" s="76">
        <v>0.15</v>
      </c>
      <c r="F477" s="75"/>
      <c r="G477" s="75">
        <f>主要材料品牌单价!E$48</f>
        <v>13</v>
      </c>
      <c r="H477" s="73">
        <f t="shared" ref="H477:H486" si="41">E477*(1+F477)*G477</f>
        <v>1.95</v>
      </c>
      <c r="I477" s="11"/>
    </row>
    <row r="478" customHeight="1" spans="1:9">
      <c r="A478" s="75">
        <v>5.2</v>
      </c>
      <c r="B478" s="70" t="s">
        <v>181</v>
      </c>
      <c r="C478" s="71"/>
      <c r="D478" s="14" t="s">
        <v>177</v>
      </c>
      <c r="E478" s="76">
        <v>12</v>
      </c>
      <c r="F478" s="75"/>
      <c r="G478" s="75">
        <f>主要材料品牌单价!E49</f>
        <v>0.45</v>
      </c>
      <c r="H478" s="73">
        <f t="shared" si="41"/>
        <v>5.4</v>
      </c>
      <c r="I478" s="11"/>
    </row>
    <row r="479" customHeight="1" spans="1:9">
      <c r="A479" s="75">
        <v>5.3</v>
      </c>
      <c r="B479" s="80" t="s">
        <v>182</v>
      </c>
      <c r="C479" s="81"/>
      <c r="D479" s="82" t="s">
        <v>168</v>
      </c>
      <c r="E479" s="67">
        <v>8</v>
      </c>
      <c r="F479" s="14"/>
      <c r="G479" s="75"/>
      <c r="H479" s="73">
        <v>8</v>
      </c>
      <c r="I479" s="11"/>
    </row>
    <row r="480" customHeight="1" spans="1:9">
      <c r="A480" s="83">
        <v>6</v>
      </c>
      <c r="B480" s="82" t="s">
        <v>183</v>
      </c>
      <c r="C480" s="82"/>
      <c r="D480" s="82" t="s">
        <v>168</v>
      </c>
      <c r="E480" s="82">
        <v>1</v>
      </c>
      <c r="F480" s="68">
        <v>0</v>
      </c>
      <c r="G480" s="75">
        <v>35</v>
      </c>
      <c r="H480" s="69">
        <f t="shared" si="41"/>
        <v>35</v>
      </c>
      <c r="I480" s="86" t="s">
        <v>170</v>
      </c>
    </row>
    <row r="481" customHeight="1" spans="1:9">
      <c r="A481" s="68">
        <v>7</v>
      </c>
      <c r="B481" s="84" t="s">
        <v>184</v>
      </c>
      <c r="C481" s="85"/>
      <c r="D481" s="82" t="s">
        <v>168</v>
      </c>
      <c r="E481" s="82">
        <v>1</v>
      </c>
      <c r="F481" s="68">
        <v>0</v>
      </c>
      <c r="G481" s="75">
        <v>48</v>
      </c>
      <c r="H481" s="69">
        <f t="shared" si="41"/>
        <v>48</v>
      </c>
      <c r="I481" s="86" t="s">
        <v>170</v>
      </c>
    </row>
    <row r="482" customHeight="1" spans="1:9">
      <c r="A482" s="68">
        <v>8</v>
      </c>
      <c r="B482" s="82" t="s">
        <v>185</v>
      </c>
      <c r="C482" s="82"/>
      <c r="D482" s="82" t="s">
        <v>168</v>
      </c>
      <c r="E482" s="82">
        <v>1</v>
      </c>
      <c r="F482" s="68">
        <v>0</v>
      </c>
      <c r="G482" s="75">
        <v>3</v>
      </c>
      <c r="H482" s="69">
        <f t="shared" si="41"/>
        <v>3</v>
      </c>
      <c r="I482" s="86" t="s">
        <v>170</v>
      </c>
    </row>
    <row r="483" customHeight="1" spans="1:9">
      <c r="A483" s="82">
        <v>9</v>
      </c>
      <c r="B483" s="82" t="s">
        <v>186</v>
      </c>
      <c r="C483" s="82"/>
      <c r="D483" s="82" t="s">
        <v>168</v>
      </c>
      <c r="E483" s="82">
        <v>1</v>
      </c>
      <c r="F483" s="82">
        <v>0</v>
      </c>
      <c r="G483" s="75">
        <v>0.5</v>
      </c>
      <c r="H483" s="69">
        <f t="shared" si="41"/>
        <v>0.5</v>
      </c>
      <c r="I483" s="86" t="s">
        <v>170</v>
      </c>
    </row>
    <row r="484" customHeight="1" spans="1:9">
      <c r="A484" s="82">
        <v>10</v>
      </c>
      <c r="B484" s="82" t="s">
        <v>187</v>
      </c>
      <c r="C484" s="82"/>
      <c r="D484" s="82" t="s">
        <v>168</v>
      </c>
      <c r="E484" s="82">
        <v>1</v>
      </c>
      <c r="F484" s="82">
        <v>0</v>
      </c>
      <c r="G484" s="75">
        <v>0.5</v>
      </c>
      <c r="H484" s="69">
        <f t="shared" si="41"/>
        <v>0.5</v>
      </c>
      <c r="I484" s="86" t="s">
        <v>170</v>
      </c>
    </row>
    <row r="485" customHeight="1" spans="1:9">
      <c r="A485" s="82">
        <v>11</v>
      </c>
      <c r="B485" s="84" t="s">
        <v>188</v>
      </c>
      <c r="C485" s="85"/>
      <c r="D485" s="82" t="s">
        <v>168</v>
      </c>
      <c r="E485" s="82">
        <v>1</v>
      </c>
      <c r="F485" s="82">
        <v>0</v>
      </c>
      <c r="G485" s="75">
        <v>1</v>
      </c>
      <c r="H485" s="69">
        <f t="shared" si="41"/>
        <v>1</v>
      </c>
      <c r="I485" s="86" t="s">
        <v>170</v>
      </c>
    </row>
    <row r="486" customHeight="1" spans="1:9">
      <c r="A486" s="82">
        <v>12</v>
      </c>
      <c r="B486" s="82" t="s">
        <v>189</v>
      </c>
      <c r="C486" s="82"/>
      <c r="D486" s="82" t="s">
        <v>168</v>
      </c>
      <c r="E486" s="82">
        <v>1</v>
      </c>
      <c r="F486" s="82">
        <v>0</v>
      </c>
      <c r="G486" s="75">
        <v>0.5</v>
      </c>
      <c r="H486" s="69">
        <f t="shared" si="41"/>
        <v>0.5</v>
      </c>
      <c r="I486" s="86" t="s">
        <v>170</v>
      </c>
    </row>
    <row r="487" customHeight="1" spans="1:9">
      <c r="A487" s="82">
        <v>13</v>
      </c>
      <c r="B487" s="84" t="s">
        <v>190</v>
      </c>
      <c r="C487" s="85"/>
      <c r="D487" s="82" t="s">
        <v>6</v>
      </c>
      <c r="E487" s="84" t="s">
        <v>191</v>
      </c>
      <c r="F487" s="85"/>
      <c r="G487" s="86"/>
      <c r="H487" s="69">
        <f>H462+H466+H470+H476+H480+H481+H482+H483+H484+H486+H485+H468</f>
        <v>575.74678</v>
      </c>
      <c r="I487" s="89" t="s">
        <v>192</v>
      </c>
    </row>
    <row r="488" customHeight="1" spans="1:9">
      <c r="A488" s="82">
        <v>14</v>
      </c>
      <c r="B488" s="84" t="s">
        <v>193</v>
      </c>
      <c r="C488" s="85"/>
      <c r="D488" s="82" t="s">
        <v>6</v>
      </c>
      <c r="E488" s="84" t="s">
        <v>194</v>
      </c>
      <c r="F488" s="85"/>
      <c r="G488" s="87">
        <v>0.08</v>
      </c>
      <c r="H488" s="69">
        <f>H487*(G488)</f>
        <v>46.0597424</v>
      </c>
      <c r="I488" s="90"/>
    </row>
    <row r="489" customHeight="1" spans="1:9">
      <c r="A489" s="82">
        <v>15</v>
      </c>
      <c r="B489" s="84" t="s">
        <v>195</v>
      </c>
      <c r="C489" s="85"/>
      <c r="D489" s="82" t="s">
        <v>6</v>
      </c>
      <c r="E489" s="84" t="s">
        <v>196</v>
      </c>
      <c r="F489" s="85"/>
      <c r="G489" s="86"/>
      <c r="H489" s="69">
        <f>H487+H488</f>
        <v>621.8065224</v>
      </c>
      <c r="I489" s="91">
        <f>H489</f>
        <v>621.8065224</v>
      </c>
    </row>
    <row r="492" customHeight="1" spans="1:9">
      <c r="A492" s="66" t="s">
        <v>198</v>
      </c>
      <c r="E492" s="60"/>
      <c r="G492" s="60"/>
      <c r="H492" s="60"/>
      <c r="I492" s="60"/>
    </row>
    <row r="493" customHeight="1" spans="1:9">
      <c r="A493" s="14" t="s">
        <v>143</v>
      </c>
      <c r="B493" s="88"/>
      <c r="C493" s="88"/>
      <c r="D493" s="88"/>
      <c r="E493" s="14" t="s">
        <v>144</v>
      </c>
      <c r="F493" s="13" t="s">
        <v>217</v>
      </c>
      <c r="G493" s="13"/>
      <c r="H493" s="14" t="s">
        <v>145</v>
      </c>
      <c r="I493" s="14"/>
    </row>
    <row r="494" customHeight="1" spans="1:9">
      <c r="A494" s="14" t="s">
        <v>82</v>
      </c>
      <c r="B494" s="14"/>
      <c r="C494" s="14"/>
      <c r="D494" s="14"/>
      <c r="E494" s="14" t="s">
        <v>146</v>
      </c>
      <c r="F494" s="14"/>
      <c r="G494" s="14"/>
      <c r="H494" s="14"/>
      <c r="I494" s="14"/>
    </row>
    <row r="495" customHeight="1" spans="1:9">
      <c r="A495" s="13" t="s">
        <v>147</v>
      </c>
      <c r="B495" s="14">
        <v>0</v>
      </c>
      <c r="C495" s="13" t="s">
        <v>148</v>
      </c>
      <c r="D495" s="14">
        <v>0</v>
      </c>
      <c r="E495" s="14" t="s">
        <v>149</v>
      </c>
      <c r="F495" s="67">
        <v>0</v>
      </c>
      <c r="G495" s="11" t="s">
        <v>150</v>
      </c>
      <c r="H495" s="14"/>
      <c r="I495" s="14"/>
    </row>
    <row r="496" customHeight="1" spans="1:9">
      <c r="A496" s="13"/>
      <c r="B496" s="14"/>
      <c r="C496" s="13"/>
      <c r="D496" s="14"/>
      <c r="E496" s="14"/>
      <c r="F496" s="67">
        <v>0</v>
      </c>
      <c r="G496" s="12" t="s">
        <v>151</v>
      </c>
      <c r="H496" s="14"/>
      <c r="I496" s="14"/>
    </row>
    <row r="497" customHeight="1" spans="1:9">
      <c r="A497" s="14" t="s">
        <v>38</v>
      </c>
      <c r="B497" s="14" t="s">
        <v>152</v>
      </c>
      <c r="C497" s="14"/>
      <c r="D497" s="14" t="s">
        <v>153</v>
      </c>
      <c r="E497" s="14" t="s">
        <v>154</v>
      </c>
      <c r="F497" s="14" t="s">
        <v>155</v>
      </c>
      <c r="G497" s="11" t="s">
        <v>156</v>
      </c>
      <c r="H497" s="11" t="s">
        <v>157</v>
      </c>
      <c r="I497" s="12" t="s">
        <v>158</v>
      </c>
    </row>
    <row r="498" customHeight="1" spans="1:9">
      <c r="A498" s="68">
        <v>1</v>
      </c>
      <c r="B498" s="68" t="s">
        <v>159</v>
      </c>
      <c r="C498" s="68"/>
      <c r="D498" s="68"/>
      <c r="E498" s="68"/>
      <c r="F498" s="68"/>
      <c r="G498" s="68"/>
      <c r="H498" s="69">
        <f>SUM(H499:H501)</f>
        <v>260.973856</v>
      </c>
      <c r="I498" s="86"/>
    </row>
    <row r="499" customHeight="1" spans="1:9">
      <c r="A499" s="14">
        <v>1.1</v>
      </c>
      <c r="B499" s="70" t="s">
        <v>200</v>
      </c>
      <c r="C499" s="71"/>
      <c r="D499" s="14" t="s">
        <v>161</v>
      </c>
      <c r="E499" s="67">
        <v>8.45</v>
      </c>
      <c r="F499" s="72">
        <v>0.07</v>
      </c>
      <c r="G499" s="73">
        <f>主要材料品牌单价!E$5/1000</f>
        <v>26.8</v>
      </c>
      <c r="H499" s="73">
        <f t="shared" ref="H499:H501" si="42">E499*(1+F499)*G499</f>
        <v>242.3122</v>
      </c>
      <c r="I499" s="11"/>
    </row>
    <row r="500" customHeight="1" spans="1:9">
      <c r="A500" s="14">
        <v>1.2</v>
      </c>
      <c r="B500" s="70" t="s">
        <v>160</v>
      </c>
      <c r="C500" s="71"/>
      <c r="D500" s="14" t="s">
        <v>161</v>
      </c>
      <c r="E500" s="67"/>
      <c r="F500" s="72">
        <v>0.07</v>
      </c>
      <c r="G500" s="73"/>
      <c r="H500" s="73">
        <f t="shared" si="42"/>
        <v>0</v>
      </c>
      <c r="I500" s="11"/>
    </row>
    <row r="501" customHeight="1" spans="1:9">
      <c r="A501" s="14">
        <v>1.3</v>
      </c>
      <c r="B501" s="14" t="s">
        <v>162</v>
      </c>
      <c r="C501" s="14"/>
      <c r="D501" s="14" t="s">
        <v>161</v>
      </c>
      <c r="E501" s="67">
        <f>E499*0.08</f>
        <v>0.676</v>
      </c>
      <c r="F501" s="72">
        <v>0.07</v>
      </c>
      <c r="G501" s="73">
        <f>(主要材料品牌单价!E$5-1000)/1000</f>
        <v>25.8</v>
      </c>
      <c r="H501" s="73">
        <f t="shared" si="42"/>
        <v>18.661656</v>
      </c>
      <c r="I501" s="11"/>
    </row>
    <row r="502" customHeight="1" spans="1:9">
      <c r="A502" s="68">
        <v>2</v>
      </c>
      <c r="B502" s="68" t="s">
        <v>163</v>
      </c>
      <c r="C502" s="68"/>
      <c r="D502" s="68"/>
      <c r="E502" s="68"/>
      <c r="F502" s="68"/>
      <c r="G502" s="68"/>
      <c r="H502" s="74">
        <f>H503</f>
        <v>5.79336</v>
      </c>
      <c r="I502" s="86"/>
    </row>
    <row r="503" customHeight="1" spans="1:9">
      <c r="A503" s="14">
        <v>2.1</v>
      </c>
      <c r="B503" s="14" t="s">
        <v>164</v>
      </c>
      <c r="C503" s="14"/>
      <c r="D503" s="14" t="s">
        <v>165</v>
      </c>
      <c r="E503" s="73">
        <v>0.08</v>
      </c>
      <c r="F503" s="72">
        <v>0.01</v>
      </c>
      <c r="G503" s="73">
        <f>主要材料品牌单价!E$14</f>
        <v>71.7</v>
      </c>
      <c r="H503" s="73">
        <f>E503*(1+F503)*G503</f>
        <v>5.79336</v>
      </c>
      <c r="I503" s="11"/>
    </row>
    <row r="504" customHeight="1" spans="1:9">
      <c r="A504" s="68">
        <v>3</v>
      </c>
      <c r="B504" s="68" t="s">
        <v>166</v>
      </c>
      <c r="C504" s="68"/>
      <c r="D504" s="68"/>
      <c r="E504" s="68"/>
      <c r="F504" s="68"/>
      <c r="G504" s="68"/>
      <c r="H504" s="74">
        <f>H505</f>
        <v>132.396</v>
      </c>
      <c r="I504" s="86"/>
    </row>
    <row r="505" customHeight="1" spans="1:9">
      <c r="A505" s="14">
        <v>3.1</v>
      </c>
      <c r="B505" s="13" t="s">
        <v>218</v>
      </c>
      <c r="C505" s="13"/>
      <c r="D505" s="14" t="s">
        <v>168</v>
      </c>
      <c r="E505" s="73">
        <v>1</v>
      </c>
      <c r="F505" s="72">
        <v>0.003</v>
      </c>
      <c r="G505" s="11">
        <f>主要材料品牌单价!E$36</f>
        <v>132</v>
      </c>
      <c r="H505" s="73">
        <f t="shared" ref="H505:H511" si="43">E505*(1+F505)*G505</f>
        <v>132.396</v>
      </c>
      <c r="I505" s="11"/>
    </row>
    <row r="506" customHeight="1" spans="1:9">
      <c r="A506" s="68">
        <v>4</v>
      </c>
      <c r="B506" s="68" t="s">
        <v>169</v>
      </c>
      <c r="C506" s="68"/>
      <c r="D506" s="68"/>
      <c r="E506" s="68"/>
      <c r="F506" s="68"/>
      <c r="G506" s="68"/>
      <c r="H506" s="69">
        <f>SUM(H507:H511)</f>
        <v>19.95</v>
      </c>
      <c r="I506" s="86" t="s">
        <v>170</v>
      </c>
    </row>
    <row r="507" customHeight="1" spans="1:9">
      <c r="A507" s="75">
        <v>4.1</v>
      </c>
      <c r="B507" s="14" t="s">
        <v>171</v>
      </c>
      <c r="C507" s="14"/>
      <c r="D507" s="14" t="s">
        <v>172</v>
      </c>
      <c r="E507" s="75">
        <v>1.5</v>
      </c>
      <c r="F507" s="75"/>
      <c r="G507" s="75">
        <f>主要材料品牌单价!E$44</f>
        <v>11.5</v>
      </c>
      <c r="H507" s="73">
        <f t="shared" si="43"/>
        <v>17.25</v>
      </c>
      <c r="I507" s="11"/>
    </row>
    <row r="508" customHeight="1" spans="1:9">
      <c r="A508" s="75">
        <v>4.2</v>
      </c>
      <c r="B508" s="70" t="s">
        <v>173</v>
      </c>
      <c r="C508" s="71"/>
      <c r="D508" s="14" t="s">
        <v>172</v>
      </c>
      <c r="E508" s="76">
        <v>0</v>
      </c>
      <c r="F508" s="75"/>
      <c r="G508" s="75">
        <f>主要材料品牌单价!E$43</f>
        <v>11.5</v>
      </c>
      <c r="H508" s="73">
        <f t="shared" si="43"/>
        <v>0</v>
      </c>
      <c r="I508" s="11"/>
    </row>
    <row r="509" customHeight="1" spans="1:9">
      <c r="A509" s="75">
        <v>4.3</v>
      </c>
      <c r="B509" s="70" t="s">
        <v>174</v>
      </c>
      <c r="C509" s="71"/>
      <c r="D509" s="14" t="s">
        <v>172</v>
      </c>
      <c r="E509" s="76">
        <v>0.2</v>
      </c>
      <c r="F509" s="75"/>
      <c r="G509" s="75">
        <f>主要材料品牌单价!E$45</f>
        <v>13.5</v>
      </c>
      <c r="H509" s="73">
        <f t="shared" si="43"/>
        <v>2.7</v>
      </c>
      <c r="I509" s="11"/>
    </row>
    <row r="510" customHeight="1" spans="1:9">
      <c r="A510" s="75">
        <v>4.4</v>
      </c>
      <c r="B510" s="77" t="s">
        <v>175</v>
      </c>
      <c r="C510" s="78"/>
      <c r="D510" s="14" t="s">
        <v>172</v>
      </c>
      <c r="E510" s="67">
        <v>0</v>
      </c>
      <c r="F510" s="14"/>
      <c r="G510" s="75">
        <f>主要材料品牌单价!E$46</f>
        <v>18</v>
      </c>
      <c r="H510" s="73">
        <f t="shared" si="43"/>
        <v>0</v>
      </c>
      <c r="I510" s="11"/>
    </row>
    <row r="511" customHeight="1" spans="1:9">
      <c r="A511" s="75">
        <v>4.5</v>
      </c>
      <c r="B511" s="79" t="s">
        <v>176</v>
      </c>
      <c r="C511" s="79"/>
      <c r="D511" s="14" t="s">
        <v>177</v>
      </c>
      <c r="E511" s="67">
        <v>0</v>
      </c>
      <c r="F511" s="14"/>
      <c r="G511" s="75">
        <v>8</v>
      </c>
      <c r="H511" s="73">
        <f t="shared" si="43"/>
        <v>0</v>
      </c>
      <c r="I511" s="11"/>
    </row>
    <row r="512" customHeight="1" spans="1:9">
      <c r="A512" s="68">
        <v>5</v>
      </c>
      <c r="B512" s="68" t="s">
        <v>178</v>
      </c>
      <c r="C512" s="68"/>
      <c r="D512" s="68"/>
      <c r="E512" s="68"/>
      <c r="F512" s="68"/>
      <c r="G512" s="68"/>
      <c r="H512" s="69">
        <f>SUM(H513:H515)</f>
        <v>29.95</v>
      </c>
      <c r="I512" s="86" t="s">
        <v>170</v>
      </c>
    </row>
    <row r="513" customHeight="1" spans="1:9">
      <c r="A513" s="75">
        <v>5.1</v>
      </c>
      <c r="B513" s="14" t="s">
        <v>179</v>
      </c>
      <c r="C513" s="14"/>
      <c r="D513" s="14" t="s">
        <v>180</v>
      </c>
      <c r="E513" s="76">
        <v>0.15</v>
      </c>
      <c r="F513" s="75"/>
      <c r="G513" s="75">
        <f>主要材料品牌单价!E$48</f>
        <v>13</v>
      </c>
      <c r="H513" s="73">
        <f t="shared" ref="H513:H522" si="44">E513*(1+F513)*G513</f>
        <v>1.95</v>
      </c>
      <c r="I513" s="11"/>
    </row>
    <row r="514" customHeight="1" spans="1:9">
      <c r="A514" s="75">
        <v>5.2</v>
      </c>
      <c r="B514" s="70" t="s">
        <v>181</v>
      </c>
      <c r="C514" s="71"/>
      <c r="D514" s="14" t="s">
        <v>177</v>
      </c>
      <c r="E514" s="76">
        <v>0</v>
      </c>
      <c r="F514" s="75"/>
      <c r="G514" s="75">
        <f>主要材料品牌单价!E154</f>
        <v>0</v>
      </c>
      <c r="H514" s="73">
        <f t="shared" si="44"/>
        <v>0</v>
      </c>
      <c r="I514" s="11"/>
    </row>
    <row r="515" customHeight="1" spans="1:9">
      <c r="A515" s="75">
        <v>5.3</v>
      </c>
      <c r="B515" s="80" t="s">
        <v>182</v>
      </c>
      <c r="C515" s="81"/>
      <c r="D515" s="82" t="s">
        <v>168</v>
      </c>
      <c r="E515" s="67">
        <v>28</v>
      </c>
      <c r="F515" s="14"/>
      <c r="G515" s="75"/>
      <c r="H515" s="73">
        <v>28</v>
      </c>
      <c r="I515" s="11"/>
    </row>
    <row r="516" customHeight="1" spans="1:9">
      <c r="A516" s="83">
        <v>6</v>
      </c>
      <c r="B516" s="82" t="s">
        <v>183</v>
      </c>
      <c r="C516" s="82"/>
      <c r="D516" s="82" t="s">
        <v>168</v>
      </c>
      <c r="E516" s="82">
        <v>1</v>
      </c>
      <c r="F516" s="68">
        <v>0</v>
      </c>
      <c r="G516" s="75">
        <v>80</v>
      </c>
      <c r="H516" s="69">
        <f t="shared" si="44"/>
        <v>80</v>
      </c>
      <c r="I516" s="86" t="s">
        <v>170</v>
      </c>
    </row>
    <row r="517" customHeight="1" spans="1:9">
      <c r="A517" s="68">
        <v>7</v>
      </c>
      <c r="B517" s="84" t="s">
        <v>184</v>
      </c>
      <c r="C517" s="85"/>
      <c r="D517" s="82" t="s">
        <v>168</v>
      </c>
      <c r="E517" s="82">
        <v>1</v>
      </c>
      <c r="F517" s="68">
        <v>0</v>
      </c>
      <c r="G517" s="75">
        <v>120</v>
      </c>
      <c r="H517" s="69">
        <f t="shared" si="44"/>
        <v>120</v>
      </c>
      <c r="I517" s="86" t="s">
        <v>170</v>
      </c>
    </row>
    <row r="518" customHeight="1" spans="1:9">
      <c r="A518" s="68">
        <v>8</v>
      </c>
      <c r="B518" s="82" t="s">
        <v>185</v>
      </c>
      <c r="C518" s="82"/>
      <c r="D518" s="82" t="s">
        <v>168</v>
      </c>
      <c r="E518" s="82">
        <v>1</v>
      </c>
      <c r="F518" s="68">
        <v>0</v>
      </c>
      <c r="G518" s="75">
        <v>3</v>
      </c>
      <c r="H518" s="69">
        <f t="shared" si="44"/>
        <v>3</v>
      </c>
      <c r="I518" s="86" t="s">
        <v>170</v>
      </c>
    </row>
    <row r="519" customHeight="1" spans="1:9">
      <c r="A519" s="82">
        <v>9</v>
      </c>
      <c r="B519" s="82" t="s">
        <v>186</v>
      </c>
      <c r="C519" s="82"/>
      <c r="D519" s="82" t="s">
        <v>168</v>
      </c>
      <c r="E519" s="82">
        <v>1</v>
      </c>
      <c r="F519" s="82">
        <v>0</v>
      </c>
      <c r="G519" s="75">
        <v>0.5</v>
      </c>
      <c r="H519" s="69">
        <f t="shared" si="44"/>
        <v>0.5</v>
      </c>
      <c r="I519" s="86" t="s">
        <v>170</v>
      </c>
    </row>
    <row r="520" customHeight="1" spans="1:9">
      <c r="A520" s="82">
        <v>10</v>
      </c>
      <c r="B520" s="82" t="s">
        <v>187</v>
      </c>
      <c r="C520" s="82"/>
      <c r="D520" s="82" t="s">
        <v>168</v>
      </c>
      <c r="E520" s="82">
        <v>1</v>
      </c>
      <c r="F520" s="82">
        <v>0</v>
      </c>
      <c r="G520" s="75">
        <v>0.5</v>
      </c>
      <c r="H520" s="69">
        <f t="shared" si="44"/>
        <v>0.5</v>
      </c>
      <c r="I520" s="86" t="s">
        <v>170</v>
      </c>
    </row>
    <row r="521" customHeight="1" spans="1:9">
      <c r="A521" s="82">
        <v>11</v>
      </c>
      <c r="B521" s="84" t="s">
        <v>188</v>
      </c>
      <c r="C521" s="85"/>
      <c r="D521" s="82" t="s">
        <v>168</v>
      </c>
      <c r="E521" s="82">
        <v>1</v>
      </c>
      <c r="F521" s="82">
        <v>0</v>
      </c>
      <c r="G521" s="75">
        <v>1</v>
      </c>
      <c r="H521" s="69">
        <f t="shared" si="44"/>
        <v>1</v>
      </c>
      <c r="I521" s="86" t="s">
        <v>170</v>
      </c>
    </row>
    <row r="522" customHeight="1" spans="1:9">
      <c r="A522" s="82">
        <v>12</v>
      </c>
      <c r="B522" s="82" t="s">
        <v>189</v>
      </c>
      <c r="C522" s="82"/>
      <c r="D522" s="82" t="s">
        <v>168</v>
      </c>
      <c r="E522" s="82">
        <v>1</v>
      </c>
      <c r="F522" s="82">
        <v>0</v>
      </c>
      <c r="G522" s="75">
        <v>0.5</v>
      </c>
      <c r="H522" s="69">
        <f t="shared" si="44"/>
        <v>0.5</v>
      </c>
      <c r="I522" s="86" t="s">
        <v>170</v>
      </c>
    </row>
    <row r="523" customHeight="1" spans="1:9">
      <c r="A523" s="82">
        <v>13</v>
      </c>
      <c r="B523" s="84" t="s">
        <v>190</v>
      </c>
      <c r="C523" s="85"/>
      <c r="D523" s="82" t="s">
        <v>6</v>
      </c>
      <c r="E523" s="84" t="s">
        <v>191</v>
      </c>
      <c r="F523" s="85"/>
      <c r="G523" s="86"/>
      <c r="H523" s="69">
        <f>H498+H502+H506+H512+H516+H517+H518+H519+H520+H522+H521+H504</f>
        <v>654.563216</v>
      </c>
      <c r="I523" s="89" t="s">
        <v>192</v>
      </c>
    </row>
    <row r="524" customHeight="1" spans="1:9">
      <c r="A524" s="82">
        <v>14</v>
      </c>
      <c r="B524" s="84" t="s">
        <v>193</v>
      </c>
      <c r="C524" s="85"/>
      <c r="D524" s="82" t="s">
        <v>6</v>
      </c>
      <c r="E524" s="84" t="s">
        <v>194</v>
      </c>
      <c r="F524" s="85"/>
      <c r="G524" s="87">
        <v>0.08</v>
      </c>
      <c r="H524" s="69">
        <f>H523*(G524)</f>
        <v>52.36505728</v>
      </c>
      <c r="I524" s="90"/>
    </row>
    <row r="525" customHeight="1" spans="1:9">
      <c r="A525" s="82">
        <v>15</v>
      </c>
      <c r="B525" s="84" t="s">
        <v>195</v>
      </c>
      <c r="C525" s="85"/>
      <c r="D525" s="82" t="s">
        <v>6</v>
      </c>
      <c r="E525" s="84" t="s">
        <v>196</v>
      </c>
      <c r="F525" s="85"/>
      <c r="G525" s="86"/>
      <c r="H525" s="69">
        <f>H523+H524</f>
        <v>706.92827328</v>
      </c>
      <c r="I525" s="91">
        <f>H525</f>
        <v>706.92827328</v>
      </c>
    </row>
    <row r="527" customHeight="1" spans="1:9">
      <c r="A527" s="66" t="s">
        <v>198</v>
      </c>
      <c r="E527" s="60"/>
      <c r="G527" s="60"/>
      <c r="H527" s="60"/>
      <c r="I527" s="60"/>
    </row>
    <row r="528" ht="30" customHeight="1" spans="1:9">
      <c r="A528" s="14" t="s">
        <v>143</v>
      </c>
      <c r="B528" s="88"/>
      <c r="C528" s="88"/>
      <c r="D528" s="88"/>
      <c r="E528" s="14" t="s">
        <v>144</v>
      </c>
      <c r="F528" s="13" t="s">
        <v>219</v>
      </c>
      <c r="G528" s="13"/>
      <c r="H528" s="14" t="s">
        <v>145</v>
      </c>
      <c r="I528" s="14"/>
    </row>
    <row r="529" customHeight="1" spans="1:9">
      <c r="A529" s="14" t="s">
        <v>82</v>
      </c>
      <c r="B529" s="14"/>
      <c r="C529" s="14"/>
      <c r="D529" s="14"/>
      <c r="E529" s="14" t="s">
        <v>146</v>
      </c>
      <c r="F529" s="14"/>
      <c r="G529" s="14"/>
      <c r="H529" s="14"/>
      <c r="I529" s="14"/>
    </row>
    <row r="530" customHeight="1" spans="1:9">
      <c r="A530" s="13" t="s">
        <v>147</v>
      </c>
      <c r="B530" s="14">
        <v>0</v>
      </c>
      <c r="C530" s="13" t="s">
        <v>148</v>
      </c>
      <c r="D530" s="14">
        <v>0</v>
      </c>
      <c r="E530" s="14" t="s">
        <v>149</v>
      </c>
      <c r="F530" s="67">
        <v>0</v>
      </c>
      <c r="G530" s="11" t="s">
        <v>150</v>
      </c>
      <c r="H530" s="14"/>
      <c r="I530" s="14"/>
    </row>
    <row r="531" customHeight="1" spans="1:9">
      <c r="A531" s="13"/>
      <c r="B531" s="14"/>
      <c r="C531" s="13"/>
      <c r="D531" s="14"/>
      <c r="E531" s="14"/>
      <c r="F531" s="67">
        <v>0</v>
      </c>
      <c r="G531" s="12" t="s">
        <v>151</v>
      </c>
      <c r="H531" s="14"/>
      <c r="I531" s="14"/>
    </row>
    <row r="532" customHeight="1" spans="1:9">
      <c r="A532" s="14" t="s">
        <v>38</v>
      </c>
      <c r="B532" s="14" t="s">
        <v>152</v>
      </c>
      <c r="C532" s="14"/>
      <c r="D532" s="14" t="s">
        <v>153</v>
      </c>
      <c r="E532" s="14" t="s">
        <v>154</v>
      </c>
      <c r="F532" s="14" t="s">
        <v>155</v>
      </c>
      <c r="G532" s="11" t="s">
        <v>156</v>
      </c>
      <c r="H532" s="11" t="s">
        <v>157</v>
      </c>
      <c r="I532" s="12" t="s">
        <v>158</v>
      </c>
    </row>
    <row r="533" customHeight="1" spans="1:9">
      <c r="A533" s="68">
        <v>1</v>
      </c>
      <c r="B533" s="68" t="s">
        <v>159</v>
      </c>
      <c r="C533" s="68"/>
      <c r="D533" s="68"/>
      <c r="E533" s="68"/>
      <c r="F533" s="68"/>
      <c r="G533" s="68"/>
      <c r="H533" s="69">
        <f>SUM(H534:H536)</f>
        <v>264.062304</v>
      </c>
      <c r="I533" s="86"/>
    </row>
    <row r="534" customHeight="1" spans="1:9">
      <c r="A534" s="14">
        <v>1.1</v>
      </c>
      <c r="B534" s="70" t="s">
        <v>200</v>
      </c>
      <c r="C534" s="71"/>
      <c r="D534" s="14" t="s">
        <v>161</v>
      </c>
      <c r="E534" s="67">
        <v>8.55</v>
      </c>
      <c r="F534" s="72">
        <v>0.07</v>
      </c>
      <c r="G534" s="73">
        <f>主要材料品牌单价!E$5/1000</f>
        <v>26.8</v>
      </c>
      <c r="H534" s="73">
        <f t="shared" ref="H534:H536" si="45">E534*(1+F534)*G534</f>
        <v>245.1798</v>
      </c>
      <c r="I534" s="11"/>
    </row>
    <row r="535" customHeight="1" spans="1:9">
      <c r="A535" s="14">
        <v>1.2</v>
      </c>
      <c r="B535" s="70" t="s">
        <v>160</v>
      </c>
      <c r="C535" s="71"/>
      <c r="D535" s="14" t="s">
        <v>161</v>
      </c>
      <c r="E535" s="67"/>
      <c r="F535" s="72">
        <v>0.07</v>
      </c>
      <c r="G535" s="73"/>
      <c r="H535" s="73">
        <f t="shared" si="45"/>
        <v>0</v>
      </c>
      <c r="I535" s="11"/>
    </row>
    <row r="536" customHeight="1" spans="1:9">
      <c r="A536" s="14">
        <v>1.3</v>
      </c>
      <c r="B536" s="14" t="s">
        <v>162</v>
      </c>
      <c r="C536" s="14"/>
      <c r="D536" s="14" t="s">
        <v>161</v>
      </c>
      <c r="E536" s="67">
        <f>E534*0.08</f>
        <v>0.684</v>
      </c>
      <c r="F536" s="72">
        <v>0.07</v>
      </c>
      <c r="G536" s="73">
        <f>(主要材料品牌单价!E$5-1000)/1000</f>
        <v>25.8</v>
      </c>
      <c r="H536" s="73">
        <f t="shared" si="45"/>
        <v>18.882504</v>
      </c>
      <c r="I536" s="11"/>
    </row>
    <row r="537" customHeight="1" spans="1:9">
      <c r="A537" s="68">
        <v>2</v>
      </c>
      <c r="B537" s="68" t="s">
        <v>163</v>
      </c>
      <c r="C537" s="68"/>
      <c r="D537" s="68"/>
      <c r="E537" s="68"/>
      <c r="F537" s="68"/>
      <c r="G537" s="68"/>
      <c r="H537" s="74">
        <f>H538</f>
        <v>5.79336</v>
      </c>
      <c r="I537" s="86"/>
    </row>
    <row r="538" customHeight="1" spans="1:9">
      <c r="A538" s="14">
        <v>2.1</v>
      </c>
      <c r="B538" s="14" t="s">
        <v>164</v>
      </c>
      <c r="C538" s="14"/>
      <c r="D538" s="14" t="s">
        <v>165</v>
      </c>
      <c r="E538" s="73">
        <v>0.08</v>
      </c>
      <c r="F538" s="72">
        <v>0.01</v>
      </c>
      <c r="G538" s="73">
        <f>主要材料品牌单价!E$14</f>
        <v>71.7</v>
      </c>
      <c r="H538" s="73">
        <f>E538*(1+F538)*G538</f>
        <v>5.79336</v>
      </c>
      <c r="I538" s="11"/>
    </row>
    <row r="539" customHeight="1" spans="1:9">
      <c r="A539" s="68">
        <v>3</v>
      </c>
      <c r="B539" s="68" t="s">
        <v>166</v>
      </c>
      <c r="C539" s="68"/>
      <c r="D539" s="68"/>
      <c r="E539" s="68"/>
      <c r="F539" s="68"/>
      <c r="G539" s="68"/>
      <c r="H539" s="74">
        <f>H540</f>
        <v>132.396</v>
      </c>
      <c r="I539" s="86"/>
    </row>
    <row r="540" customHeight="1" spans="1:9">
      <c r="A540" s="14">
        <v>3.1</v>
      </c>
      <c r="B540" s="13" t="s">
        <v>218</v>
      </c>
      <c r="C540" s="13"/>
      <c r="D540" s="14" t="s">
        <v>168</v>
      </c>
      <c r="E540" s="73">
        <v>1</v>
      </c>
      <c r="F540" s="72">
        <v>0.003</v>
      </c>
      <c r="G540" s="11">
        <f>主要材料品牌单价!E$36</f>
        <v>132</v>
      </c>
      <c r="H540" s="73">
        <f t="shared" ref="H540:H546" si="46">E540*(1+F540)*G540</f>
        <v>132.396</v>
      </c>
      <c r="I540" s="11"/>
    </row>
    <row r="541" customHeight="1" spans="1:9">
      <c r="A541" s="68">
        <v>4</v>
      </c>
      <c r="B541" s="68" t="s">
        <v>169</v>
      </c>
      <c r="C541" s="68"/>
      <c r="D541" s="68"/>
      <c r="E541" s="68"/>
      <c r="F541" s="68"/>
      <c r="G541" s="68"/>
      <c r="H541" s="69">
        <f>SUM(H542:H546)</f>
        <v>19.95</v>
      </c>
      <c r="I541" s="86" t="s">
        <v>170</v>
      </c>
    </row>
    <row r="542" customHeight="1" spans="1:9">
      <c r="A542" s="75">
        <v>4.1</v>
      </c>
      <c r="B542" s="14" t="s">
        <v>171</v>
      </c>
      <c r="C542" s="14"/>
      <c r="D542" s="14" t="s">
        <v>172</v>
      </c>
      <c r="E542" s="75">
        <v>1.5</v>
      </c>
      <c r="F542" s="75"/>
      <c r="G542" s="75">
        <f>主要材料品牌单价!E$44</f>
        <v>11.5</v>
      </c>
      <c r="H542" s="73">
        <f t="shared" si="46"/>
        <v>17.25</v>
      </c>
      <c r="I542" s="11"/>
    </row>
    <row r="543" customHeight="1" spans="1:9">
      <c r="A543" s="75">
        <v>4.2</v>
      </c>
      <c r="B543" s="70" t="s">
        <v>173</v>
      </c>
      <c r="C543" s="71"/>
      <c r="D543" s="14" t="s">
        <v>172</v>
      </c>
      <c r="E543" s="76">
        <v>0</v>
      </c>
      <c r="F543" s="75"/>
      <c r="G543" s="75">
        <f>主要材料品牌单价!E$43</f>
        <v>11.5</v>
      </c>
      <c r="H543" s="73">
        <f t="shared" si="46"/>
        <v>0</v>
      </c>
      <c r="I543" s="11"/>
    </row>
    <row r="544" customHeight="1" spans="1:9">
      <c r="A544" s="75">
        <v>4.3</v>
      </c>
      <c r="B544" s="70" t="s">
        <v>174</v>
      </c>
      <c r="C544" s="71"/>
      <c r="D544" s="14" t="s">
        <v>172</v>
      </c>
      <c r="E544" s="76">
        <v>0.2</v>
      </c>
      <c r="F544" s="75"/>
      <c r="G544" s="75">
        <f>主要材料品牌单价!E$45</f>
        <v>13.5</v>
      </c>
      <c r="H544" s="73">
        <f t="shared" si="46"/>
        <v>2.7</v>
      </c>
      <c r="I544" s="11"/>
    </row>
    <row r="545" customHeight="1" spans="1:9">
      <c r="A545" s="75">
        <v>4.4</v>
      </c>
      <c r="B545" s="77" t="s">
        <v>175</v>
      </c>
      <c r="C545" s="78"/>
      <c r="D545" s="14" t="s">
        <v>172</v>
      </c>
      <c r="E545" s="67">
        <v>0</v>
      </c>
      <c r="F545" s="14"/>
      <c r="G545" s="75">
        <f>主要材料品牌单价!E$46</f>
        <v>18</v>
      </c>
      <c r="H545" s="73">
        <f t="shared" si="46"/>
        <v>0</v>
      </c>
      <c r="I545" s="11"/>
    </row>
    <row r="546" customHeight="1" spans="1:9">
      <c r="A546" s="75">
        <v>4.5</v>
      </c>
      <c r="B546" s="79" t="s">
        <v>176</v>
      </c>
      <c r="C546" s="79"/>
      <c r="D546" s="14" t="s">
        <v>177</v>
      </c>
      <c r="E546" s="67">
        <v>0</v>
      </c>
      <c r="F546" s="14"/>
      <c r="G546" s="75">
        <v>8</v>
      </c>
      <c r="H546" s="73">
        <f t="shared" si="46"/>
        <v>0</v>
      </c>
      <c r="I546" s="11"/>
    </row>
    <row r="547" customHeight="1" spans="1:9">
      <c r="A547" s="68">
        <v>5</v>
      </c>
      <c r="B547" s="68" t="s">
        <v>178</v>
      </c>
      <c r="C547" s="68"/>
      <c r="D547" s="68"/>
      <c r="E547" s="68"/>
      <c r="F547" s="68"/>
      <c r="G547" s="68"/>
      <c r="H547" s="69">
        <f>SUM(H548:H550)</f>
        <v>29.95</v>
      </c>
      <c r="I547" s="86" t="s">
        <v>170</v>
      </c>
    </row>
    <row r="548" customHeight="1" spans="1:9">
      <c r="A548" s="75">
        <v>5.1</v>
      </c>
      <c r="B548" s="14" t="s">
        <v>179</v>
      </c>
      <c r="C548" s="14"/>
      <c r="D548" s="14" t="s">
        <v>180</v>
      </c>
      <c r="E548" s="76">
        <v>0.15</v>
      </c>
      <c r="F548" s="75"/>
      <c r="G548" s="75">
        <f>主要材料品牌单价!E$48</f>
        <v>13</v>
      </c>
      <c r="H548" s="73">
        <f t="shared" ref="H548:H557" si="47">E548*(1+F548)*G548</f>
        <v>1.95</v>
      </c>
      <c r="I548" s="11"/>
    </row>
    <row r="549" customHeight="1" spans="1:9">
      <c r="A549" s="75">
        <v>5.2</v>
      </c>
      <c r="B549" s="70" t="s">
        <v>181</v>
      </c>
      <c r="C549" s="71"/>
      <c r="D549" s="14" t="s">
        <v>177</v>
      </c>
      <c r="E549" s="76">
        <v>0</v>
      </c>
      <c r="F549" s="75"/>
      <c r="G549" s="75">
        <f>主要材料品牌单价!E189</f>
        <v>0</v>
      </c>
      <c r="H549" s="73">
        <f t="shared" si="47"/>
        <v>0</v>
      </c>
      <c r="I549" s="11"/>
    </row>
    <row r="550" customHeight="1" spans="1:9">
      <c r="A550" s="75">
        <v>5.3</v>
      </c>
      <c r="B550" s="80" t="s">
        <v>182</v>
      </c>
      <c r="C550" s="81"/>
      <c r="D550" s="82" t="s">
        <v>168</v>
      </c>
      <c r="E550" s="67">
        <v>28</v>
      </c>
      <c r="F550" s="14"/>
      <c r="G550" s="75"/>
      <c r="H550" s="73">
        <v>28</v>
      </c>
      <c r="I550" s="11"/>
    </row>
    <row r="551" customHeight="1" spans="1:9">
      <c r="A551" s="83">
        <v>6</v>
      </c>
      <c r="B551" s="82" t="s">
        <v>183</v>
      </c>
      <c r="C551" s="82"/>
      <c r="D551" s="82" t="s">
        <v>168</v>
      </c>
      <c r="E551" s="82">
        <v>1</v>
      </c>
      <c r="F551" s="68">
        <v>0</v>
      </c>
      <c r="G551" s="75">
        <v>80</v>
      </c>
      <c r="H551" s="69">
        <f t="shared" si="47"/>
        <v>80</v>
      </c>
      <c r="I551" s="86" t="s">
        <v>170</v>
      </c>
    </row>
    <row r="552" customHeight="1" spans="1:9">
      <c r="A552" s="68">
        <v>7</v>
      </c>
      <c r="B552" s="84" t="s">
        <v>184</v>
      </c>
      <c r="C552" s="85"/>
      <c r="D552" s="82" t="s">
        <v>168</v>
      </c>
      <c r="E552" s="82">
        <v>1</v>
      </c>
      <c r="F552" s="68">
        <v>0</v>
      </c>
      <c r="G552" s="75">
        <v>120</v>
      </c>
      <c r="H552" s="69">
        <f t="shared" si="47"/>
        <v>120</v>
      </c>
      <c r="I552" s="86" t="s">
        <v>170</v>
      </c>
    </row>
    <row r="553" customHeight="1" spans="1:9">
      <c r="A553" s="68">
        <v>8</v>
      </c>
      <c r="B553" s="82" t="s">
        <v>185</v>
      </c>
      <c r="C553" s="82"/>
      <c r="D553" s="82" t="s">
        <v>168</v>
      </c>
      <c r="E553" s="82">
        <v>1</v>
      </c>
      <c r="F553" s="68">
        <v>0</v>
      </c>
      <c r="G553" s="75">
        <v>3</v>
      </c>
      <c r="H553" s="69">
        <f t="shared" si="47"/>
        <v>3</v>
      </c>
      <c r="I553" s="86" t="s">
        <v>170</v>
      </c>
    </row>
    <row r="554" customHeight="1" spans="1:9">
      <c r="A554" s="82">
        <v>9</v>
      </c>
      <c r="B554" s="82" t="s">
        <v>186</v>
      </c>
      <c r="C554" s="82"/>
      <c r="D554" s="82" t="s">
        <v>168</v>
      </c>
      <c r="E554" s="82">
        <v>1</v>
      </c>
      <c r="F554" s="82">
        <v>0</v>
      </c>
      <c r="G554" s="75">
        <v>0.5</v>
      </c>
      <c r="H554" s="69">
        <f t="shared" si="47"/>
        <v>0.5</v>
      </c>
      <c r="I554" s="86" t="s">
        <v>170</v>
      </c>
    </row>
    <row r="555" customHeight="1" spans="1:9">
      <c r="A555" s="82">
        <v>10</v>
      </c>
      <c r="B555" s="82" t="s">
        <v>187</v>
      </c>
      <c r="C555" s="82"/>
      <c r="D555" s="82" t="s">
        <v>168</v>
      </c>
      <c r="E555" s="82">
        <v>1</v>
      </c>
      <c r="F555" s="82">
        <v>0</v>
      </c>
      <c r="G555" s="75">
        <v>0.5</v>
      </c>
      <c r="H555" s="69">
        <f t="shared" si="47"/>
        <v>0.5</v>
      </c>
      <c r="I555" s="86" t="s">
        <v>170</v>
      </c>
    </row>
    <row r="556" customHeight="1" spans="1:9">
      <c r="A556" s="82">
        <v>11</v>
      </c>
      <c r="B556" s="84" t="s">
        <v>188</v>
      </c>
      <c r="C556" s="85"/>
      <c r="D556" s="82" t="s">
        <v>168</v>
      </c>
      <c r="E556" s="82">
        <v>1</v>
      </c>
      <c r="F556" s="82">
        <v>0</v>
      </c>
      <c r="G556" s="75">
        <v>1</v>
      </c>
      <c r="H556" s="69">
        <f t="shared" si="47"/>
        <v>1</v>
      </c>
      <c r="I556" s="86" t="s">
        <v>170</v>
      </c>
    </row>
    <row r="557" customHeight="1" spans="1:9">
      <c r="A557" s="82">
        <v>12</v>
      </c>
      <c r="B557" s="82" t="s">
        <v>189</v>
      </c>
      <c r="C557" s="82"/>
      <c r="D557" s="82" t="s">
        <v>168</v>
      </c>
      <c r="E557" s="82">
        <v>1</v>
      </c>
      <c r="F557" s="82">
        <v>0</v>
      </c>
      <c r="G557" s="75">
        <v>0.5</v>
      </c>
      <c r="H557" s="69">
        <f t="shared" si="47"/>
        <v>0.5</v>
      </c>
      <c r="I557" s="86" t="s">
        <v>170</v>
      </c>
    </row>
    <row r="558" customHeight="1" spans="1:9">
      <c r="A558" s="82">
        <v>13</v>
      </c>
      <c r="B558" s="84" t="s">
        <v>190</v>
      </c>
      <c r="C558" s="85"/>
      <c r="D558" s="82" t="s">
        <v>6</v>
      </c>
      <c r="E558" s="84" t="s">
        <v>191</v>
      </c>
      <c r="F558" s="85"/>
      <c r="G558" s="86"/>
      <c r="H558" s="69">
        <f>H533+H537+H541+H547+H551+H552+H553+H554+H555+H557+H556+H539</f>
        <v>657.651664</v>
      </c>
      <c r="I558" s="89" t="s">
        <v>192</v>
      </c>
    </row>
    <row r="559" customHeight="1" spans="1:9">
      <c r="A559" s="82">
        <v>14</v>
      </c>
      <c r="B559" s="84" t="s">
        <v>193</v>
      </c>
      <c r="C559" s="85"/>
      <c r="D559" s="82" t="s">
        <v>6</v>
      </c>
      <c r="E559" s="84" t="s">
        <v>194</v>
      </c>
      <c r="F559" s="85"/>
      <c r="G559" s="87">
        <v>0.08</v>
      </c>
      <c r="H559" s="69">
        <f>H558*(G559)</f>
        <v>52.61213312</v>
      </c>
      <c r="I559" s="90"/>
    </row>
    <row r="560" customHeight="1" spans="1:9">
      <c r="A560" s="82">
        <v>15</v>
      </c>
      <c r="B560" s="84" t="s">
        <v>195</v>
      </c>
      <c r="C560" s="85"/>
      <c r="D560" s="82" t="s">
        <v>6</v>
      </c>
      <c r="E560" s="84" t="s">
        <v>196</v>
      </c>
      <c r="F560" s="85"/>
      <c r="G560" s="86"/>
      <c r="H560" s="69">
        <f>H558+H559</f>
        <v>710.26379712</v>
      </c>
      <c r="I560" s="91">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28" workbookViewId="0">
      <selection activeCell="E23" sqref="E23"/>
    </sheetView>
  </sheetViews>
  <sheetFormatPr defaultColWidth="9" defaultRowHeight="24.95" customHeight="1" outlineLevelCol="5"/>
  <cols>
    <col min="1" max="1" width="9" style="47"/>
    <col min="2" max="2" width="21.75" style="47" customWidth="1"/>
    <col min="3" max="4" width="9" style="47"/>
    <col min="5" max="5" width="12.3833333333333" style="47" customWidth="1"/>
    <col min="6" max="16384" width="9" style="47"/>
  </cols>
  <sheetData>
    <row r="1" ht="21.95" customHeight="1" spans="1:6">
      <c r="A1" s="48" t="s">
        <v>220</v>
      </c>
      <c r="B1" s="48"/>
      <c r="C1" s="48"/>
      <c r="D1" s="48"/>
      <c r="E1" s="48"/>
      <c r="F1" s="48"/>
    </row>
    <row r="2" customHeight="1" spans="1:6">
      <c r="A2" s="49" t="s">
        <v>221</v>
      </c>
      <c r="B2" s="49"/>
      <c r="C2" s="50"/>
      <c r="D2" s="49"/>
      <c r="E2" s="49"/>
      <c r="F2" s="49"/>
    </row>
    <row r="3" customHeight="1" spans="1:6">
      <c r="A3" s="51" t="s">
        <v>38</v>
      </c>
      <c r="B3" s="51" t="s">
        <v>143</v>
      </c>
      <c r="C3" s="51" t="s">
        <v>153</v>
      </c>
      <c r="D3" s="51" t="s">
        <v>222</v>
      </c>
      <c r="E3" s="52" t="s">
        <v>223</v>
      </c>
      <c r="F3" s="51" t="s">
        <v>44</v>
      </c>
    </row>
    <row r="4" customHeight="1" spans="1:6">
      <c r="A4" s="53">
        <v>1</v>
      </c>
      <c r="B4" s="53" t="s">
        <v>224</v>
      </c>
      <c r="C4" s="54"/>
      <c r="D4" s="54"/>
      <c r="E4" s="55"/>
      <c r="F4" s="54"/>
    </row>
    <row r="5" customHeight="1" spans="1:6">
      <c r="A5" s="51">
        <v>1.1</v>
      </c>
      <c r="B5" s="51" t="s">
        <v>225</v>
      </c>
      <c r="C5" s="51" t="s">
        <v>226</v>
      </c>
      <c r="D5" s="51" t="s">
        <v>227</v>
      </c>
      <c r="E5" s="51">
        <v>26800</v>
      </c>
      <c r="F5" s="56" t="s">
        <v>228</v>
      </c>
    </row>
    <row r="6" customHeight="1" spans="1:6">
      <c r="A6" s="51">
        <v>1.2</v>
      </c>
      <c r="B6" s="51" t="s">
        <v>229</v>
      </c>
      <c r="C6" s="51" t="s">
        <v>226</v>
      </c>
      <c r="D6" s="51" t="s">
        <v>227</v>
      </c>
      <c r="E6" s="51">
        <v>27100</v>
      </c>
      <c r="F6" s="56" t="s">
        <v>228</v>
      </c>
    </row>
    <row r="7" customHeight="1" spans="1:6">
      <c r="A7" s="51">
        <v>1.3</v>
      </c>
      <c r="B7" s="51" t="s">
        <v>211</v>
      </c>
      <c r="C7" s="51" t="s">
        <v>226</v>
      </c>
      <c r="D7" s="51" t="s">
        <v>227</v>
      </c>
      <c r="E7" s="51">
        <v>11300</v>
      </c>
      <c r="F7" s="56" t="s">
        <v>230</v>
      </c>
    </row>
    <row r="8" customHeight="1" spans="1:6">
      <c r="A8" s="51">
        <v>1.4</v>
      </c>
      <c r="B8" s="51" t="s">
        <v>231</v>
      </c>
      <c r="C8" s="51" t="s">
        <v>226</v>
      </c>
      <c r="D8" s="51" t="s">
        <v>232</v>
      </c>
      <c r="E8" s="51">
        <f>E6</f>
        <v>27100</v>
      </c>
      <c r="F8" s="56" t="s">
        <v>228</v>
      </c>
    </row>
    <row r="9" customHeight="1" spans="1:6">
      <c r="A9" s="51">
        <v>1.5</v>
      </c>
      <c r="B9" s="51" t="s">
        <v>233</v>
      </c>
      <c r="C9" s="51" t="s">
        <v>226</v>
      </c>
      <c r="D9" s="51" t="s">
        <v>234</v>
      </c>
      <c r="E9" s="51">
        <f>E8</f>
        <v>27100</v>
      </c>
      <c r="F9" s="56" t="s">
        <v>228</v>
      </c>
    </row>
    <row r="10" customHeight="1" spans="1:6">
      <c r="A10" s="51">
        <v>1.6</v>
      </c>
      <c r="B10" s="51" t="s">
        <v>235</v>
      </c>
      <c r="C10" s="51" t="s">
        <v>226</v>
      </c>
      <c r="D10" s="51" t="s">
        <v>236</v>
      </c>
      <c r="E10" s="51">
        <f>E9</f>
        <v>27100</v>
      </c>
      <c r="F10" s="56" t="s">
        <v>228</v>
      </c>
    </row>
    <row r="11" customHeight="1" spans="1:6">
      <c r="A11" s="51">
        <v>1.7</v>
      </c>
      <c r="B11" s="51" t="s">
        <v>237</v>
      </c>
      <c r="C11" s="51" t="s">
        <v>226</v>
      </c>
      <c r="D11" s="51" t="s">
        <v>238</v>
      </c>
      <c r="E11" s="51">
        <f>E5</f>
        <v>26800</v>
      </c>
      <c r="F11" s="56" t="s">
        <v>228</v>
      </c>
    </row>
    <row r="12" customHeight="1" spans="1:6">
      <c r="A12" s="51">
        <v>1.8</v>
      </c>
      <c r="B12" s="51" t="s">
        <v>239</v>
      </c>
      <c r="C12" s="51" t="s">
        <v>226</v>
      </c>
      <c r="D12" s="51" t="s">
        <v>240</v>
      </c>
      <c r="E12" s="51">
        <f>E5</f>
        <v>26800</v>
      </c>
      <c r="F12" s="56" t="s">
        <v>228</v>
      </c>
    </row>
    <row r="13" customHeight="1" spans="1:6">
      <c r="A13" s="53">
        <v>2</v>
      </c>
      <c r="B13" s="53" t="s">
        <v>241</v>
      </c>
      <c r="C13" s="53"/>
      <c r="D13" s="53"/>
      <c r="E13" s="57"/>
      <c r="F13" s="58"/>
    </row>
    <row r="14" customHeight="1" spans="1:6">
      <c r="A14" s="51">
        <v>2.1</v>
      </c>
      <c r="B14" s="51" t="s">
        <v>242</v>
      </c>
      <c r="C14" s="51" t="s">
        <v>165</v>
      </c>
      <c r="D14" s="51"/>
      <c r="E14" s="52">
        <f>五金配置表!F3+五金配置表!F4+五金配置表!F5+五金配置表!F6+五金配置表!F7</f>
        <v>71.7</v>
      </c>
      <c r="F14" s="51" t="s">
        <v>243</v>
      </c>
    </row>
    <row r="15" customHeight="1" spans="1:6">
      <c r="A15" s="51">
        <v>2.2</v>
      </c>
      <c r="B15" s="51" t="s">
        <v>244</v>
      </c>
      <c r="C15" s="51" t="s">
        <v>165</v>
      </c>
      <c r="D15" s="51"/>
      <c r="E15" s="52">
        <f>五金配置表!F8+五金配置表!F9+五金配置表!F10+五金配置表!F11+五金配置表!F12</f>
        <v>78.7</v>
      </c>
      <c r="F15" s="51" t="s">
        <v>243</v>
      </c>
    </row>
    <row r="16" customHeight="1" spans="1:6">
      <c r="A16" s="51">
        <v>2.3</v>
      </c>
      <c r="B16" s="51" t="s">
        <v>245</v>
      </c>
      <c r="C16" s="51" t="s">
        <v>165</v>
      </c>
      <c r="D16" s="51"/>
      <c r="E16" s="52">
        <f>五金配置表!F13+五金配置表!F14+五金配置表!F15+五金配置表!F16+五金配置表!F17+五金配置表!F18+五金配置表!F19</f>
        <v>52.3</v>
      </c>
      <c r="F16" s="51" t="s">
        <v>243</v>
      </c>
    </row>
    <row r="17" customHeight="1" spans="1:6">
      <c r="A17" s="51">
        <v>2.4</v>
      </c>
      <c r="B17" s="51" t="s">
        <v>246</v>
      </c>
      <c r="C17" s="51" t="s">
        <v>165</v>
      </c>
      <c r="D17" s="51"/>
      <c r="E17" s="52">
        <f>五金配置表!F3+五金配置表!F4+五金配置表!F5+五金配置表!F6+五金配置表!F7</f>
        <v>71.7</v>
      </c>
      <c r="F17" s="51" t="s">
        <v>243</v>
      </c>
    </row>
    <row r="18" customHeight="1" spans="1:6">
      <c r="A18" s="51">
        <v>2.5</v>
      </c>
      <c r="B18" s="51" t="s">
        <v>247</v>
      </c>
      <c r="C18" s="51" t="s">
        <v>165</v>
      </c>
      <c r="D18" s="51"/>
      <c r="E18" s="52">
        <v>0</v>
      </c>
      <c r="F18" s="51" t="s">
        <v>243</v>
      </c>
    </row>
    <row r="19" customHeight="1" spans="1:6">
      <c r="A19" s="51">
        <v>2.6</v>
      </c>
      <c r="B19" s="51" t="s">
        <v>248</v>
      </c>
      <c r="C19" s="51" t="s">
        <v>165</v>
      </c>
      <c r="D19" s="51"/>
      <c r="E19" s="52">
        <f>五金配置表!F23+五金配置表!F25</f>
        <v>25.5</v>
      </c>
      <c r="F19" s="51" t="s">
        <v>243</v>
      </c>
    </row>
    <row r="20" customHeight="1" spans="1:6">
      <c r="A20" s="51">
        <v>2.7</v>
      </c>
      <c r="B20" s="51" t="s">
        <v>249</v>
      </c>
      <c r="C20" s="51" t="s">
        <v>165</v>
      </c>
      <c r="D20" s="51"/>
      <c r="E20" s="52">
        <f>五金配置表!F23+五金配置表!F25</f>
        <v>25.5</v>
      </c>
      <c r="F20" s="51" t="s">
        <v>243</v>
      </c>
    </row>
    <row r="21" customHeight="1" spans="1:6">
      <c r="A21" s="51">
        <v>2.8</v>
      </c>
      <c r="B21" s="51" t="s">
        <v>250</v>
      </c>
      <c r="C21" s="51" t="s">
        <v>165</v>
      </c>
      <c r="D21" s="51"/>
      <c r="E21" s="52">
        <f>五金配置表!F27+五金配置表!F28</f>
        <v>35</v>
      </c>
      <c r="F21" s="51" t="s">
        <v>243</v>
      </c>
    </row>
    <row r="22" customHeight="1" spans="1:6">
      <c r="A22" s="51">
        <v>2.9</v>
      </c>
      <c r="B22" s="51" t="s">
        <v>251</v>
      </c>
      <c r="C22" s="51" t="s">
        <v>165</v>
      </c>
      <c r="D22" s="51"/>
      <c r="E22" s="52">
        <f>五金配置表!F27+五金配置表!E28*8</f>
        <v>53</v>
      </c>
      <c r="F22" s="51" t="s">
        <v>243</v>
      </c>
    </row>
    <row r="23" customHeight="1" spans="1:6">
      <c r="A23" s="59">
        <v>2.1</v>
      </c>
      <c r="B23" s="51" t="s">
        <v>252</v>
      </c>
      <c r="C23" s="51" t="s">
        <v>165</v>
      </c>
      <c r="D23" s="51"/>
      <c r="E23" s="52">
        <f>五金配置表!F29+五金配置表!F30+五金配置表!F31+五金配置表!F32+五金配置表!F33</f>
        <v>127</v>
      </c>
      <c r="F23" s="51" t="s">
        <v>243</v>
      </c>
    </row>
    <row r="24" customHeight="1" spans="1:6">
      <c r="A24" s="59">
        <v>2.12</v>
      </c>
      <c r="B24" s="51" t="s">
        <v>253</v>
      </c>
      <c r="C24" s="51" t="s">
        <v>165</v>
      </c>
      <c r="D24" s="51"/>
      <c r="E24" s="52">
        <f>五金配置表!F29+五金配置表!F30+五金配置表!F31+五金配置表!F32+五金配置表!F33</f>
        <v>127</v>
      </c>
      <c r="F24" s="51" t="s">
        <v>243</v>
      </c>
    </row>
    <row r="25" customHeight="1" spans="1:6">
      <c r="A25" s="59">
        <v>2.14</v>
      </c>
      <c r="B25" s="51" t="s">
        <v>254</v>
      </c>
      <c r="C25" s="51" t="s">
        <v>165</v>
      </c>
      <c r="D25" s="51"/>
      <c r="E25" s="52">
        <f>五金配置表!F34+五金配置表!F35</f>
        <v>490</v>
      </c>
      <c r="F25" s="51" t="s">
        <v>243</v>
      </c>
    </row>
    <row r="26" customHeight="1" spans="1:6">
      <c r="A26" s="59">
        <v>2.15</v>
      </c>
      <c r="B26" s="51" t="s">
        <v>255</v>
      </c>
      <c r="C26" s="51" t="s">
        <v>165</v>
      </c>
      <c r="D26" s="51"/>
      <c r="E26" s="52">
        <v>135</v>
      </c>
      <c r="F26" s="51" t="s">
        <v>243</v>
      </c>
    </row>
    <row r="27" customHeight="1" spans="1:6">
      <c r="A27" s="60">
        <v>2.16</v>
      </c>
      <c r="B27" s="51" t="s">
        <v>256</v>
      </c>
      <c r="C27" s="51" t="s">
        <v>165</v>
      </c>
      <c r="D27" s="51"/>
      <c r="E27" s="52">
        <v>165</v>
      </c>
      <c r="F27" s="51" t="s">
        <v>243</v>
      </c>
    </row>
    <row r="28" customHeight="1" spans="1:6">
      <c r="A28" s="53">
        <v>3</v>
      </c>
      <c r="B28" s="53" t="s">
        <v>166</v>
      </c>
      <c r="C28" s="53"/>
      <c r="D28" s="53"/>
      <c r="E28" s="57"/>
      <c r="F28" s="58"/>
    </row>
    <row r="29" customHeight="1" spans="1:6">
      <c r="A29" s="51">
        <v>3.1</v>
      </c>
      <c r="B29" s="33" t="s">
        <v>257</v>
      </c>
      <c r="C29" s="51" t="s">
        <v>258</v>
      </c>
      <c r="D29" s="51"/>
      <c r="E29" s="52">
        <f>玻璃调整表!E4</f>
        <v>48</v>
      </c>
      <c r="F29" s="51" t="s">
        <v>259</v>
      </c>
    </row>
    <row r="30" customHeight="1" spans="1:6">
      <c r="A30" s="51">
        <v>3.2</v>
      </c>
      <c r="B30" s="33" t="s">
        <v>260</v>
      </c>
      <c r="C30" s="61" t="s">
        <v>258</v>
      </c>
      <c r="D30" s="51"/>
      <c r="E30" s="52">
        <f>玻璃调整表!E5</f>
        <v>55</v>
      </c>
      <c r="F30" s="51" t="s">
        <v>259</v>
      </c>
    </row>
    <row r="31" customHeight="1" spans="1:6">
      <c r="A31" s="51">
        <v>3.3</v>
      </c>
      <c r="B31" s="33" t="s">
        <v>213</v>
      </c>
      <c r="C31" s="61" t="s">
        <v>258</v>
      </c>
      <c r="D31" s="51"/>
      <c r="E31" s="52">
        <f>玻璃调整表!D6</f>
        <v>95</v>
      </c>
      <c r="F31" s="51" t="s">
        <v>259</v>
      </c>
    </row>
    <row r="32" customHeight="1" spans="1:6">
      <c r="A32" s="51">
        <v>3.4</v>
      </c>
      <c r="B32" s="33" t="s">
        <v>212</v>
      </c>
      <c r="C32" s="61" t="s">
        <v>258</v>
      </c>
      <c r="D32" s="51"/>
      <c r="E32" s="52">
        <f>玻璃调整表!E7</f>
        <v>105</v>
      </c>
      <c r="F32" s="51" t="s">
        <v>259</v>
      </c>
    </row>
    <row r="33" customHeight="1" spans="1:6">
      <c r="A33" s="51">
        <v>3.5</v>
      </c>
      <c r="B33" s="33" t="s">
        <v>214</v>
      </c>
      <c r="C33" s="61" t="s">
        <v>258</v>
      </c>
      <c r="D33" s="51"/>
      <c r="E33" s="52">
        <f>玻璃调整表!E8</f>
        <v>115</v>
      </c>
      <c r="F33" s="51" t="s">
        <v>259</v>
      </c>
    </row>
    <row r="34" customHeight="1" spans="1:6">
      <c r="A34" s="51">
        <v>3.6</v>
      </c>
      <c r="B34" s="33" t="s">
        <v>209</v>
      </c>
      <c r="C34" s="61" t="s">
        <v>258</v>
      </c>
      <c r="D34" s="51"/>
      <c r="E34" s="52">
        <v>115</v>
      </c>
      <c r="F34" s="51" t="s">
        <v>259</v>
      </c>
    </row>
    <row r="35" customHeight="1" spans="1:6">
      <c r="A35" s="51">
        <v>3.7</v>
      </c>
      <c r="B35" s="33" t="s">
        <v>205</v>
      </c>
      <c r="C35" s="61" t="s">
        <v>258</v>
      </c>
      <c r="D35" s="51"/>
      <c r="E35" s="52">
        <f>玻璃调整表!F9</f>
        <v>125</v>
      </c>
      <c r="F35" s="51" t="s">
        <v>259</v>
      </c>
    </row>
    <row r="36" customHeight="1" spans="1:6">
      <c r="A36" s="51">
        <v>3.8</v>
      </c>
      <c r="B36" s="33" t="s">
        <v>218</v>
      </c>
      <c r="C36" s="61" t="s">
        <v>258</v>
      </c>
      <c r="D36" s="51"/>
      <c r="E36" s="52">
        <f>玻璃调整表!E12</f>
        <v>132</v>
      </c>
      <c r="F36" s="51" t="s">
        <v>259</v>
      </c>
    </row>
    <row r="37" customHeight="1" spans="1:6">
      <c r="A37" s="59">
        <v>3.9</v>
      </c>
      <c r="B37" s="33" t="s">
        <v>201</v>
      </c>
      <c r="C37" s="61" t="s">
        <v>258</v>
      </c>
      <c r="D37" s="51"/>
      <c r="E37" s="52">
        <f>玻璃调整表!F13</f>
        <v>165</v>
      </c>
      <c r="F37" s="51" t="s">
        <v>259</v>
      </c>
    </row>
    <row r="38" customHeight="1" spans="1:6">
      <c r="A38" s="59">
        <v>3.1</v>
      </c>
      <c r="B38" s="33" t="s">
        <v>202</v>
      </c>
      <c r="C38" s="61" t="s">
        <v>258</v>
      </c>
      <c r="D38" s="51"/>
      <c r="E38" s="52">
        <f>玻璃调整表!F14</f>
        <v>185</v>
      </c>
      <c r="F38" s="51" t="s">
        <v>259</v>
      </c>
    </row>
    <row r="39" customHeight="1" spans="1:6">
      <c r="A39" s="59">
        <v>3.11</v>
      </c>
      <c r="B39" s="33" t="s">
        <v>203</v>
      </c>
      <c r="C39" s="61" t="s">
        <v>258</v>
      </c>
      <c r="D39" s="51"/>
      <c r="E39" s="52">
        <f>玻璃调整表!F15</f>
        <v>265</v>
      </c>
      <c r="F39" s="51" t="s">
        <v>259</v>
      </c>
    </row>
    <row r="40" customHeight="1" spans="1:6">
      <c r="A40" s="59">
        <v>3.12</v>
      </c>
      <c r="B40" s="33" t="s">
        <v>206</v>
      </c>
      <c r="C40" s="61" t="s">
        <v>258</v>
      </c>
      <c r="D40" s="51"/>
      <c r="E40" s="52">
        <f>玻璃调整表!F16</f>
        <v>187</v>
      </c>
      <c r="F40" s="51" t="s">
        <v>259</v>
      </c>
    </row>
    <row r="41" customHeight="1" spans="1:6">
      <c r="A41" s="60">
        <v>3.13</v>
      </c>
      <c r="B41" s="33" t="s">
        <v>207</v>
      </c>
      <c r="C41" s="61" t="s">
        <v>258</v>
      </c>
      <c r="D41" s="51"/>
      <c r="E41" s="52">
        <f>玻璃调整表!F17</f>
        <v>206</v>
      </c>
      <c r="F41" s="51" t="s">
        <v>259</v>
      </c>
    </row>
    <row r="42" s="46" customFormat="1" customHeight="1" spans="1:6">
      <c r="A42" s="62">
        <v>4</v>
      </c>
      <c r="B42" s="53" t="s">
        <v>169</v>
      </c>
      <c r="C42" s="53"/>
      <c r="D42" s="53"/>
      <c r="E42" s="57"/>
      <c r="F42" s="58"/>
    </row>
    <row r="43" s="46" customFormat="1" customHeight="1" spans="1:6">
      <c r="A43" s="63">
        <v>4.1</v>
      </c>
      <c r="B43" s="56" t="s">
        <v>173</v>
      </c>
      <c r="C43" s="56" t="s">
        <v>172</v>
      </c>
      <c r="D43" s="56"/>
      <c r="E43" s="64">
        <v>11.5</v>
      </c>
      <c r="F43" s="56" t="s">
        <v>261</v>
      </c>
    </row>
    <row r="44" s="46" customFormat="1" customHeight="1" spans="1:6">
      <c r="A44" s="63">
        <v>4.2</v>
      </c>
      <c r="B44" s="56" t="s">
        <v>171</v>
      </c>
      <c r="C44" s="56" t="s">
        <v>172</v>
      </c>
      <c r="D44" s="56"/>
      <c r="E44" s="64">
        <v>11.5</v>
      </c>
      <c r="F44" s="56" t="s">
        <v>261</v>
      </c>
    </row>
    <row r="45" s="46" customFormat="1" customHeight="1" spans="1:6">
      <c r="A45" s="63">
        <v>4.3</v>
      </c>
      <c r="B45" s="56" t="s">
        <v>174</v>
      </c>
      <c r="C45" s="56" t="s">
        <v>172</v>
      </c>
      <c r="D45" s="56"/>
      <c r="E45" s="64">
        <v>13.5</v>
      </c>
      <c r="F45" s="56" t="s">
        <v>261</v>
      </c>
    </row>
    <row r="46" s="46" customFormat="1" customHeight="1" spans="1:6">
      <c r="A46" s="63">
        <v>4.4</v>
      </c>
      <c r="B46" s="56" t="s">
        <v>175</v>
      </c>
      <c r="C46" s="56" t="s">
        <v>172</v>
      </c>
      <c r="D46" s="56"/>
      <c r="E46" s="64">
        <v>18</v>
      </c>
      <c r="F46" s="56" t="s">
        <v>261</v>
      </c>
    </row>
    <row r="47" s="46" customFormat="1" customHeight="1" spans="1:6">
      <c r="A47" s="62">
        <v>5</v>
      </c>
      <c r="B47" s="53" t="s">
        <v>178</v>
      </c>
      <c r="C47" s="53"/>
      <c r="D47" s="53"/>
      <c r="E47" s="57"/>
      <c r="F47" s="58"/>
    </row>
    <row r="48" s="46" customFormat="1" customHeight="1" spans="1:6">
      <c r="A48" s="63">
        <v>5.1</v>
      </c>
      <c r="B48" s="56" t="s">
        <v>179</v>
      </c>
      <c r="C48" s="53" t="s">
        <v>180</v>
      </c>
      <c r="D48" s="56"/>
      <c r="E48" s="64">
        <v>13</v>
      </c>
      <c r="F48" s="53" t="s">
        <v>262</v>
      </c>
    </row>
    <row r="49" s="46" customFormat="1" customHeight="1" spans="1:6">
      <c r="A49" s="63">
        <v>5.2</v>
      </c>
      <c r="B49" s="56" t="s">
        <v>181</v>
      </c>
      <c r="C49" s="56" t="s">
        <v>177</v>
      </c>
      <c r="D49" s="56"/>
      <c r="E49" s="64">
        <v>0.45</v>
      </c>
      <c r="F49" s="53" t="s">
        <v>262</v>
      </c>
    </row>
    <row r="50" s="46" customFormat="1" customHeight="1" spans="1:6">
      <c r="A50" s="62">
        <v>6</v>
      </c>
      <c r="B50" s="53" t="s">
        <v>263</v>
      </c>
      <c r="C50" s="51" t="s">
        <v>180</v>
      </c>
      <c r="D50" s="53"/>
      <c r="E50" s="57">
        <v>5800</v>
      </c>
      <c r="F50" s="58"/>
    </row>
    <row r="51" s="46" customFormat="1" customHeight="1" spans="1:6">
      <c r="A51" s="62">
        <v>7</v>
      </c>
      <c r="B51" s="53" t="s">
        <v>264</v>
      </c>
      <c r="C51" s="51" t="s">
        <v>180</v>
      </c>
      <c r="D51" s="53"/>
      <c r="E51" s="57">
        <v>6800</v>
      </c>
      <c r="F51" s="58"/>
    </row>
    <row r="52" s="46" customFormat="1" customHeight="1" spans="1:6">
      <c r="A52" s="62">
        <v>8</v>
      </c>
      <c r="B52" s="53" t="s">
        <v>265</v>
      </c>
      <c r="C52" s="51" t="s">
        <v>180</v>
      </c>
      <c r="D52" s="53"/>
      <c r="E52" s="57">
        <v>7200</v>
      </c>
      <c r="F52" s="58"/>
    </row>
    <row r="53" s="46" customFormat="1" customHeight="1" spans="1:6">
      <c r="A53" s="62">
        <v>9</v>
      </c>
      <c r="B53" s="53" t="s">
        <v>266</v>
      </c>
      <c r="C53" s="51" t="s">
        <v>180</v>
      </c>
      <c r="D53" s="53"/>
      <c r="E53" s="57">
        <v>7200</v>
      </c>
      <c r="F53" s="58"/>
    </row>
    <row r="54" customHeight="1" spans="1:6">
      <c r="A54" s="65" t="s">
        <v>267</v>
      </c>
      <c r="B54" s="65"/>
      <c r="C54" s="65"/>
      <c r="D54" s="65"/>
      <c r="E54" s="65"/>
      <c r="F54" s="65"/>
    </row>
    <row r="55" ht="27.95" customHeight="1" spans="1:6">
      <c r="A55" s="65"/>
      <c r="B55" s="65"/>
      <c r="C55" s="65"/>
      <c r="D55" s="65"/>
      <c r="E55" s="65"/>
      <c r="F55" s="6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3.5" outlineLevelCol="6"/>
  <cols>
    <col min="2" max="2" width="12.5" customWidth="1"/>
    <col min="3" max="3" width="16" customWidth="1"/>
    <col min="5" max="5" width="11" customWidth="1"/>
    <col min="6" max="6" width="12.5" customWidth="1"/>
    <col min="7" max="7" width="21.1333333333333" customWidth="1"/>
  </cols>
  <sheetData>
    <row r="1" ht="39" customHeight="1" spans="1:7">
      <c r="A1" s="36" t="s">
        <v>268</v>
      </c>
      <c r="B1" s="36"/>
      <c r="C1" s="36"/>
      <c r="D1" s="36"/>
      <c r="E1" s="36"/>
      <c r="F1" s="36"/>
      <c r="G1" s="36"/>
    </row>
    <row r="2" spans="1:7">
      <c r="A2" s="37" t="s">
        <v>38</v>
      </c>
      <c r="B2" s="37" t="s">
        <v>81</v>
      </c>
      <c r="C2" s="37" t="s">
        <v>269</v>
      </c>
      <c r="D2" s="37" t="s">
        <v>270</v>
      </c>
      <c r="E2" s="37" t="s">
        <v>271</v>
      </c>
      <c r="F2" s="37" t="s">
        <v>272</v>
      </c>
      <c r="G2" s="37" t="s">
        <v>44</v>
      </c>
    </row>
    <row r="3" spans="1:7">
      <c r="A3" s="37">
        <v>1</v>
      </c>
      <c r="B3" s="38" t="s">
        <v>273</v>
      </c>
      <c r="C3" s="37" t="s">
        <v>274</v>
      </c>
      <c r="D3" s="39">
        <v>1</v>
      </c>
      <c r="E3" s="40">
        <v>18</v>
      </c>
      <c r="F3" s="39">
        <f t="shared" ref="F3:F9" si="0">D3*E3</f>
        <v>18</v>
      </c>
      <c r="G3" s="38" t="s">
        <v>275</v>
      </c>
    </row>
    <row r="4" spans="1:7">
      <c r="A4" s="37"/>
      <c r="B4" s="38"/>
      <c r="C4" s="39" t="s">
        <v>276</v>
      </c>
      <c r="D4" s="39">
        <v>1</v>
      </c>
      <c r="E4" s="40">
        <v>9</v>
      </c>
      <c r="F4" s="39">
        <f t="shared" si="0"/>
        <v>9</v>
      </c>
      <c r="G4" s="38" t="s">
        <v>275</v>
      </c>
    </row>
    <row r="5" spans="1:7">
      <c r="A5" s="37"/>
      <c r="B5" s="38"/>
      <c r="C5" s="39" t="s">
        <v>277</v>
      </c>
      <c r="D5" s="39">
        <v>2</v>
      </c>
      <c r="E5" s="40">
        <v>0.85</v>
      </c>
      <c r="F5" s="39">
        <f t="shared" si="0"/>
        <v>1.7</v>
      </c>
      <c r="G5" s="38" t="s">
        <v>275</v>
      </c>
    </row>
    <row r="6" spans="1:7">
      <c r="A6" s="37"/>
      <c r="B6" s="38"/>
      <c r="C6" s="39" t="s">
        <v>278</v>
      </c>
      <c r="D6" s="39">
        <v>1</v>
      </c>
      <c r="E6" s="40">
        <v>11</v>
      </c>
      <c r="F6" s="39">
        <f t="shared" si="0"/>
        <v>11</v>
      </c>
      <c r="G6" s="38" t="s">
        <v>275</v>
      </c>
    </row>
    <row r="7" spans="1:7">
      <c r="A7" s="37"/>
      <c r="B7" s="38"/>
      <c r="C7" s="39" t="s">
        <v>279</v>
      </c>
      <c r="D7" s="39">
        <v>2</v>
      </c>
      <c r="E7" s="40">
        <v>16</v>
      </c>
      <c r="F7" s="39">
        <f t="shared" si="0"/>
        <v>32</v>
      </c>
      <c r="G7" s="38" t="s">
        <v>275</v>
      </c>
    </row>
    <row r="8" spans="1:7">
      <c r="A8" s="41">
        <v>2</v>
      </c>
      <c r="B8" s="38" t="s">
        <v>280</v>
      </c>
      <c r="C8" s="39" t="s">
        <v>281</v>
      </c>
      <c r="D8" s="39">
        <v>1</v>
      </c>
      <c r="E8" s="40">
        <v>18</v>
      </c>
      <c r="F8" s="39">
        <f t="shared" si="0"/>
        <v>18</v>
      </c>
      <c r="G8" s="38" t="s">
        <v>275</v>
      </c>
    </row>
    <row r="9" spans="1:7">
      <c r="A9" s="42"/>
      <c r="B9" s="38"/>
      <c r="C9" s="39" t="s">
        <v>282</v>
      </c>
      <c r="D9" s="39">
        <v>2</v>
      </c>
      <c r="E9" s="40">
        <v>16</v>
      </c>
      <c r="F9" s="39">
        <f t="shared" si="0"/>
        <v>32</v>
      </c>
      <c r="G9" s="38" t="s">
        <v>275</v>
      </c>
    </row>
    <row r="10" spans="1:7">
      <c r="A10" s="42"/>
      <c r="B10" s="38"/>
      <c r="C10" s="39" t="s">
        <v>283</v>
      </c>
      <c r="D10" s="39">
        <v>1</v>
      </c>
      <c r="E10" s="40">
        <v>9</v>
      </c>
      <c r="F10" s="39">
        <f t="shared" ref="F10:F35" si="1">D10*E10</f>
        <v>9</v>
      </c>
      <c r="G10" s="38" t="s">
        <v>275</v>
      </c>
    </row>
    <row r="11" spans="1:7">
      <c r="A11" s="42"/>
      <c r="B11" s="38"/>
      <c r="C11" s="39" t="s">
        <v>284</v>
      </c>
      <c r="D11" s="39">
        <v>2</v>
      </c>
      <c r="E11" s="40">
        <v>0.85</v>
      </c>
      <c r="F11" s="39">
        <f t="shared" si="1"/>
        <v>1.7</v>
      </c>
      <c r="G11" s="38" t="s">
        <v>275</v>
      </c>
    </row>
    <row r="12" spans="1:7">
      <c r="A12" s="43"/>
      <c r="B12" s="38"/>
      <c r="C12" s="37" t="s">
        <v>285</v>
      </c>
      <c r="D12" s="39">
        <v>2</v>
      </c>
      <c r="E12" s="40">
        <v>9</v>
      </c>
      <c r="F12" s="39">
        <f t="shared" si="1"/>
        <v>18</v>
      </c>
      <c r="G12" s="38" t="s">
        <v>275</v>
      </c>
    </row>
    <row r="13" spans="1:7">
      <c r="A13" s="41">
        <v>3</v>
      </c>
      <c r="B13" s="41" t="s">
        <v>286</v>
      </c>
      <c r="C13" s="37" t="s">
        <v>281</v>
      </c>
      <c r="D13" s="39">
        <v>1</v>
      </c>
      <c r="E13" s="40">
        <v>17</v>
      </c>
      <c r="F13" s="39">
        <f t="shared" si="1"/>
        <v>17</v>
      </c>
      <c r="G13" s="38" t="s">
        <v>275</v>
      </c>
    </row>
    <row r="14" spans="1:7">
      <c r="A14" s="42"/>
      <c r="B14" s="42"/>
      <c r="C14" s="39" t="s">
        <v>276</v>
      </c>
      <c r="D14" s="39">
        <v>1</v>
      </c>
      <c r="E14" s="40">
        <v>9</v>
      </c>
      <c r="F14" s="39">
        <f t="shared" si="1"/>
        <v>9</v>
      </c>
      <c r="G14" s="38" t="s">
        <v>275</v>
      </c>
    </row>
    <row r="15" spans="1:7">
      <c r="A15" s="42"/>
      <c r="B15" s="42"/>
      <c r="C15" s="39" t="s">
        <v>287</v>
      </c>
      <c r="D15" s="39">
        <v>2</v>
      </c>
      <c r="E15" s="40">
        <v>0.85</v>
      </c>
      <c r="F15" s="39">
        <f t="shared" si="1"/>
        <v>1.7</v>
      </c>
      <c r="G15" s="38" t="s">
        <v>275</v>
      </c>
    </row>
    <row r="16" spans="1:7">
      <c r="A16" s="42"/>
      <c r="B16" s="42"/>
      <c r="C16" s="39" t="s">
        <v>288</v>
      </c>
      <c r="D16" s="39">
        <v>2</v>
      </c>
      <c r="E16" s="40">
        <v>7.5</v>
      </c>
      <c r="F16" s="39">
        <f t="shared" si="1"/>
        <v>15</v>
      </c>
      <c r="G16" s="38" t="s">
        <v>275</v>
      </c>
    </row>
    <row r="17" spans="1:7">
      <c r="A17" s="42"/>
      <c r="B17" s="42"/>
      <c r="C17" s="39" t="s">
        <v>289</v>
      </c>
      <c r="D17" s="39">
        <v>4</v>
      </c>
      <c r="E17" s="40">
        <v>0.1</v>
      </c>
      <c r="F17" s="39">
        <f t="shared" si="1"/>
        <v>0.4</v>
      </c>
      <c r="G17" s="38" t="s">
        <v>275</v>
      </c>
    </row>
    <row r="18" spans="1:7">
      <c r="A18" s="42"/>
      <c r="B18" s="42"/>
      <c r="C18" s="37" t="s">
        <v>290</v>
      </c>
      <c r="D18" s="39">
        <v>2</v>
      </c>
      <c r="E18" s="40">
        <v>0.1</v>
      </c>
      <c r="F18" s="39">
        <f t="shared" si="1"/>
        <v>0.2</v>
      </c>
      <c r="G18" s="38" t="s">
        <v>275</v>
      </c>
    </row>
    <row r="19" spans="1:7">
      <c r="A19" s="43"/>
      <c r="B19" s="42"/>
      <c r="C19" s="39" t="s">
        <v>285</v>
      </c>
      <c r="D19" s="39">
        <v>1</v>
      </c>
      <c r="E19" s="40">
        <v>9</v>
      </c>
      <c r="F19" s="39">
        <f t="shared" si="1"/>
        <v>9</v>
      </c>
      <c r="G19" s="38" t="s">
        <v>275</v>
      </c>
    </row>
    <row r="20" spans="1:7">
      <c r="A20" s="41">
        <v>4</v>
      </c>
      <c r="B20" s="41" t="s">
        <v>291</v>
      </c>
      <c r="C20" s="37" t="s">
        <v>292</v>
      </c>
      <c r="D20" s="39"/>
      <c r="E20" s="40"/>
      <c r="F20" s="39">
        <f t="shared" si="1"/>
        <v>0</v>
      </c>
      <c r="G20" s="38" t="s">
        <v>275</v>
      </c>
    </row>
    <row r="21" spans="1:7">
      <c r="A21" s="42"/>
      <c r="B21" s="42"/>
      <c r="C21" s="39"/>
      <c r="D21" s="39"/>
      <c r="E21" s="40"/>
      <c r="F21" s="39">
        <f t="shared" si="1"/>
        <v>0</v>
      </c>
      <c r="G21" s="38" t="s">
        <v>275</v>
      </c>
    </row>
    <row r="22" spans="1:7">
      <c r="A22" s="42"/>
      <c r="B22" s="42"/>
      <c r="C22" s="39"/>
      <c r="D22" s="39"/>
      <c r="E22" s="40"/>
      <c r="F22" s="39">
        <f t="shared" si="1"/>
        <v>0</v>
      </c>
      <c r="G22" s="38" t="s">
        <v>275</v>
      </c>
    </row>
    <row r="23" spans="1:7">
      <c r="A23" s="41">
        <v>5</v>
      </c>
      <c r="B23" s="41" t="s">
        <v>293</v>
      </c>
      <c r="C23" s="39" t="s">
        <v>294</v>
      </c>
      <c r="D23" s="39">
        <v>1</v>
      </c>
      <c r="E23" s="40">
        <v>7.5</v>
      </c>
      <c r="F23" s="39">
        <f t="shared" si="1"/>
        <v>7.5</v>
      </c>
      <c r="G23" s="38" t="s">
        <v>275</v>
      </c>
    </row>
    <row r="24" spans="1:7">
      <c r="A24" s="42"/>
      <c r="B24" s="42"/>
      <c r="C24" s="39" t="s">
        <v>295</v>
      </c>
      <c r="D24" s="39">
        <v>1</v>
      </c>
      <c r="E24" s="40">
        <v>8.5</v>
      </c>
      <c r="F24" s="39">
        <f t="shared" si="1"/>
        <v>8.5</v>
      </c>
      <c r="G24" s="38" t="s">
        <v>275</v>
      </c>
    </row>
    <row r="25" spans="1:7">
      <c r="A25" s="43"/>
      <c r="B25" s="42"/>
      <c r="C25" s="39" t="s">
        <v>296</v>
      </c>
      <c r="D25" s="39">
        <v>4</v>
      </c>
      <c r="E25" s="40">
        <v>4.5</v>
      </c>
      <c r="F25" s="39">
        <f t="shared" si="1"/>
        <v>18</v>
      </c>
      <c r="G25" s="38" t="s">
        <v>275</v>
      </c>
    </row>
    <row r="26" spans="1:7">
      <c r="A26" s="37">
        <v>6</v>
      </c>
      <c r="B26" s="38" t="s">
        <v>297</v>
      </c>
      <c r="C26" s="39" t="s">
        <v>294</v>
      </c>
      <c r="D26" s="39">
        <v>2</v>
      </c>
      <c r="E26" s="40">
        <v>7.5</v>
      </c>
      <c r="F26" s="39">
        <f t="shared" si="1"/>
        <v>15</v>
      </c>
      <c r="G26" s="38" t="s">
        <v>298</v>
      </c>
    </row>
    <row r="27" spans="1:7">
      <c r="A27" s="37"/>
      <c r="B27" s="38"/>
      <c r="C27" s="39" t="s">
        <v>295</v>
      </c>
      <c r="D27" s="39">
        <v>2</v>
      </c>
      <c r="E27" s="40">
        <v>8.5</v>
      </c>
      <c r="F27" s="39">
        <f t="shared" si="1"/>
        <v>17</v>
      </c>
      <c r="G27" s="38" t="s">
        <v>298</v>
      </c>
    </row>
    <row r="28" spans="1:7">
      <c r="A28" s="37"/>
      <c r="B28" s="38"/>
      <c r="C28" s="39" t="s">
        <v>296</v>
      </c>
      <c r="D28" s="39">
        <v>4</v>
      </c>
      <c r="E28" s="40">
        <v>4.5</v>
      </c>
      <c r="F28" s="39">
        <f t="shared" si="1"/>
        <v>18</v>
      </c>
      <c r="G28" s="38" t="s">
        <v>298</v>
      </c>
    </row>
    <row r="29" spans="1:7">
      <c r="A29" s="37">
        <v>7</v>
      </c>
      <c r="B29" s="38" t="s">
        <v>299</v>
      </c>
      <c r="C29" s="39" t="s">
        <v>281</v>
      </c>
      <c r="D29" s="44">
        <v>1</v>
      </c>
      <c r="E29" s="44">
        <v>25</v>
      </c>
      <c r="F29" s="39">
        <f t="shared" si="1"/>
        <v>25</v>
      </c>
      <c r="G29" s="38" t="s">
        <v>298</v>
      </c>
    </row>
    <row r="30" spans="1:7">
      <c r="A30" s="37"/>
      <c r="B30" s="38"/>
      <c r="C30" s="39" t="s">
        <v>300</v>
      </c>
      <c r="D30" s="44">
        <v>1</v>
      </c>
      <c r="E30" s="44">
        <v>28</v>
      </c>
      <c r="F30" s="39">
        <f t="shared" si="1"/>
        <v>28</v>
      </c>
      <c r="G30" s="38" t="s">
        <v>298</v>
      </c>
    </row>
    <row r="31" spans="1:7">
      <c r="A31" s="37"/>
      <c r="B31" s="38"/>
      <c r="C31" s="39" t="s">
        <v>301</v>
      </c>
      <c r="D31" s="44">
        <v>1</v>
      </c>
      <c r="E31" s="44">
        <v>30</v>
      </c>
      <c r="F31" s="39">
        <f t="shared" si="1"/>
        <v>30</v>
      </c>
      <c r="G31" s="38" t="s">
        <v>298</v>
      </c>
    </row>
    <row r="32" spans="1:7">
      <c r="A32" s="37"/>
      <c r="B32" s="38"/>
      <c r="C32" s="39" t="s">
        <v>302</v>
      </c>
      <c r="D32" s="44">
        <v>1</v>
      </c>
      <c r="E32" s="44">
        <v>8</v>
      </c>
      <c r="F32" s="39">
        <f t="shared" si="1"/>
        <v>8</v>
      </c>
      <c r="G32" s="38" t="s">
        <v>298</v>
      </c>
    </row>
    <row r="33" spans="1:7">
      <c r="A33" s="37"/>
      <c r="B33" s="38"/>
      <c r="C33" s="39" t="s">
        <v>288</v>
      </c>
      <c r="D33" s="44">
        <v>3</v>
      </c>
      <c r="E33" s="44">
        <v>12</v>
      </c>
      <c r="F33" s="39">
        <f t="shared" si="1"/>
        <v>36</v>
      </c>
      <c r="G33" s="38" t="s">
        <v>298</v>
      </c>
    </row>
    <row r="34" spans="1:7">
      <c r="A34" s="41">
        <v>8</v>
      </c>
      <c r="B34" s="38" t="s">
        <v>303</v>
      </c>
      <c r="C34" s="44" t="s">
        <v>304</v>
      </c>
      <c r="D34" s="44">
        <v>2</v>
      </c>
      <c r="E34" s="45">
        <v>35</v>
      </c>
      <c r="F34" s="39">
        <f t="shared" si="1"/>
        <v>70</v>
      </c>
      <c r="G34" s="38" t="s">
        <v>298</v>
      </c>
    </row>
    <row r="35" spans="1:7">
      <c r="A35" s="43"/>
      <c r="B35" s="38"/>
      <c r="C35" s="44" t="s">
        <v>305</v>
      </c>
      <c r="D35" s="44">
        <v>2</v>
      </c>
      <c r="E35" s="45">
        <v>210</v>
      </c>
      <c r="F35" s="39">
        <f t="shared" si="1"/>
        <v>420</v>
      </c>
      <c r="G35" s="38" t="s">
        <v>298</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F18" sqref="F18"/>
    </sheetView>
  </sheetViews>
  <sheetFormatPr defaultColWidth="9" defaultRowHeight="24.95" customHeight="1" outlineLevelCol="6"/>
  <cols>
    <col min="2" max="2" width="22" customWidth="1"/>
    <col min="3" max="4" width="14.6333333333333" customWidth="1"/>
    <col min="5" max="5" width="16.6333333333333" customWidth="1"/>
    <col min="6" max="6" width="14.5" style="1" customWidth="1"/>
    <col min="7" max="7" width="16.3833333333333" customWidth="1"/>
  </cols>
  <sheetData>
    <row r="1" customHeight="1" spans="1:7">
      <c r="A1" s="28" t="s">
        <v>306</v>
      </c>
      <c r="B1" s="29"/>
      <c r="C1" s="29"/>
      <c r="D1" s="29"/>
      <c r="E1" s="29"/>
      <c r="F1" s="28"/>
      <c r="G1" s="28"/>
    </row>
    <row r="2" customHeight="1" spans="1:7">
      <c r="A2" s="30" t="s">
        <v>221</v>
      </c>
      <c r="B2" s="30"/>
      <c r="C2" s="30"/>
      <c r="D2" s="30"/>
      <c r="E2" s="30"/>
      <c r="F2" s="31"/>
      <c r="G2" s="30"/>
    </row>
    <row r="3" customHeight="1" spans="1:7">
      <c r="A3" s="32" t="s">
        <v>38</v>
      </c>
      <c r="B3" s="32" t="s">
        <v>307</v>
      </c>
      <c r="C3" s="32" t="s">
        <v>153</v>
      </c>
      <c r="D3" s="32" t="s">
        <v>308</v>
      </c>
      <c r="E3" s="32" t="s">
        <v>309</v>
      </c>
      <c r="F3" s="32" t="s">
        <v>310</v>
      </c>
      <c r="G3" s="32" t="s">
        <v>44</v>
      </c>
    </row>
    <row r="4" customHeight="1" spans="1:7">
      <c r="A4" s="32">
        <v>1</v>
      </c>
      <c r="B4" s="33" t="s">
        <v>257</v>
      </c>
      <c r="C4" s="33" t="s">
        <v>168</v>
      </c>
      <c r="D4" s="32"/>
      <c r="E4" s="32">
        <v>48</v>
      </c>
      <c r="F4" s="32"/>
      <c r="G4" s="32"/>
    </row>
    <row r="5" customHeight="1" spans="1:7">
      <c r="A5" s="32">
        <v>2</v>
      </c>
      <c r="B5" s="33" t="s">
        <v>260</v>
      </c>
      <c r="C5" s="33" t="s">
        <v>168</v>
      </c>
      <c r="D5" s="32"/>
      <c r="E5" s="32">
        <v>55</v>
      </c>
      <c r="F5" s="32"/>
      <c r="G5" s="32"/>
    </row>
    <row r="6" customHeight="1" spans="1:7">
      <c r="A6" s="32">
        <v>3</v>
      </c>
      <c r="B6" s="33" t="s">
        <v>213</v>
      </c>
      <c r="C6" s="33" t="s">
        <v>168</v>
      </c>
      <c r="D6" s="32">
        <v>95</v>
      </c>
      <c r="E6" s="32"/>
      <c r="F6" s="32"/>
      <c r="G6" s="32"/>
    </row>
    <row r="7" customHeight="1" spans="1:7">
      <c r="A7" s="32">
        <v>4</v>
      </c>
      <c r="B7" s="33" t="s">
        <v>212</v>
      </c>
      <c r="C7" s="33" t="s">
        <v>168</v>
      </c>
      <c r="D7" s="32"/>
      <c r="E7" s="32">
        <v>105</v>
      </c>
      <c r="F7" s="32"/>
      <c r="G7" s="32"/>
    </row>
    <row r="8" customHeight="1" spans="1:7">
      <c r="A8" s="32">
        <v>5</v>
      </c>
      <c r="B8" s="33" t="s">
        <v>214</v>
      </c>
      <c r="C8" s="33" t="s">
        <v>168</v>
      </c>
      <c r="D8" s="32"/>
      <c r="E8" s="32">
        <v>115</v>
      </c>
      <c r="F8" s="32"/>
      <c r="G8" s="32"/>
    </row>
    <row r="9" customHeight="1" spans="1:7">
      <c r="A9" s="32">
        <v>6</v>
      </c>
      <c r="B9" s="33" t="s">
        <v>311</v>
      </c>
      <c r="C9" s="33" t="s">
        <v>168</v>
      </c>
      <c r="D9" s="32"/>
      <c r="E9" s="32"/>
      <c r="F9" s="32">
        <v>125</v>
      </c>
      <c r="G9" s="32"/>
    </row>
    <row r="10" customHeight="1" spans="1:7">
      <c r="A10" s="32">
        <v>7</v>
      </c>
      <c r="B10" s="33" t="s">
        <v>312</v>
      </c>
      <c r="C10" s="33" t="s">
        <v>168</v>
      </c>
      <c r="D10" s="32"/>
      <c r="E10" s="32"/>
      <c r="F10" s="32">
        <v>128</v>
      </c>
      <c r="G10" s="32"/>
    </row>
    <row r="11" customHeight="1" spans="1:7">
      <c r="A11" s="32">
        <v>8</v>
      </c>
      <c r="B11" s="33" t="s">
        <v>313</v>
      </c>
      <c r="C11" s="33" t="s">
        <v>168</v>
      </c>
      <c r="D11" s="33">
        <v>125</v>
      </c>
      <c r="E11" s="33"/>
      <c r="F11" s="33"/>
      <c r="G11" s="34"/>
    </row>
    <row r="12" customHeight="1" spans="1:7">
      <c r="A12" s="32">
        <v>9</v>
      </c>
      <c r="B12" s="33" t="s">
        <v>218</v>
      </c>
      <c r="C12" s="33" t="s">
        <v>168</v>
      </c>
      <c r="D12" s="33"/>
      <c r="E12" s="33">
        <v>132</v>
      </c>
      <c r="F12" s="33"/>
      <c r="G12" s="34"/>
    </row>
    <row r="13" customHeight="1" spans="1:7">
      <c r="A13" s="32">
        <v>10</v>
      </c>
      <c r="B13" s="33" t="s">
        <v>201</v>
      </c>
      <c r="C13" s="33" t="s">
        <v>168</v>
      </c>
      <c r="D13" s="33"/>
      <c r="E13" s="35"/>
      <c r="F13" s="33">
        <v>165</v>
      </c>
      <c r="G13" s="34"/>
    </row>
    <row r="14" ht="40" customHeight="1" spans="1:7">
      <c r="A14" s="32">
        <v>11</v>
      </c>
      <c r="B14" s="33" t="s">
        <v>202</v>
      </c>
      <c r="C14" s="33" t="s">
        <v>168</v>
      </c>
      <c r="D14" s="15"/>
      <c r="E14" s="15"/>
      <c r="F14" s="9">
        <v>185</v>
      </c>
      <c r="G14" s="15"/>
    </row>
    <row r="15" ht="40" customHeight="1" spans="1:7">
      <c r="A15" s="32">
        <v>12</v>
      </c>
      <c r="B15" s="33" t="s">
        <v>203</v>
      </c>
      <c r="C15" s="33" t="s">
        <v>168</v>
      </c>
      <c r="D15" s="15"/>
      <c r="E15" s="15"/>
      <c r="F15" s="9">
        <v>265</v>
      </c>
      <c r="G15" s="15"/>
    </row>
    <row r="16" customHeight="1" spans="1:7">
      <c r="A16" s="32">
        <v>13</v>
      </c>
      <c r="B16" s="33" t="s">
        <v>206</v>
      </c>
      <c r="C16" s="33" t="s">
        <v>168</v>
      </c>
      <c r="D16" s="15"/>
      <c r="E16" s="15"/>
      <c r="F16" s="9">
        <v>187</v>
      </c>
      <c r="G16" s="15"/>
    </row>
    <row r="17" customHeight="1" spans="1:7">
      <c r="A17" s="32">
        <v>14</v>
      </c>
      <c r="B17" s="33" t="s">
        <v>207</v>
      </c>
      <c r="C17" s="33" t="s">
        <v>168</v>
      </c>
      <c r="D17" s="15"/>
      <c r="E17" s="15"/>
      <c r="F17" s="9">
        <v>206</v>
      </c>
      <c r="G17" s="15"/>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opLeftCell="A84" workbookViewId="0">
      <selection activeCell="A98" sqref="A98"/>
    </sheetView>
  </sheetViews>
  <sheetFormatPr defaultColWidth="9" defaultRowHeight="35" customHeight="1"/>
  <cols>
    <col min="1" max="1" width="7.5" style="1" customWidth="1"/>
    <col min="2" max="2" width="21.25" customWidth="1"/>
    <col min="3" max="3" width="9.84166666666667" customWidth="1"/>
    <col min="4" max="4" width="45.5" customWidth="1"/>
    <col min="5" max="5" width="12.625" style="1" customWidth="1"/>
    <col min="6" max="6" width="8.38333333333333" style="1" customWidth="1"/>
    <col min="7" max="7" width="8.63333333333333" style="1" customWidth="1"/>
    <col min="8" max="8" width="7.75" style="1" customWidth="1"/>
    <col min="9" max="9" width="8.5" style="1" customWidth="1"/>
    <col min="10" max="10" width="9.13333333333333" style="1" customWidth="1"/>
    <col min="11" max="11" width="12.625" style="1" customWidth="1"/>
    <col min="12" max="12" width="17.1833333333333" customWidth="1"/>
    <col min="13" max="13" width="29.125" style="2" customWidth="1"/>
    <col min="14" max="14" width="12.625" customWidth="1"/>
  </cols>
  <sheetData>
    <row r="1" customHeight="1" spans="1:12">
      <c r="A1" s="3" t="s">
        <v>314</v>
      </c>
      <c r="B1" s="3"/>
      <c r="C1" s="3"/>
      <c r="D1" s="3"/>
      <c r="E1" s="3"/>
      <c r="F1" s="3"/>
      <c r="G1" s="3"/>
      <c r="H1" s="3"/>
      <c r="I1" s="3"/>
      <c r="J1" s="3"/>
      <c r="K1" s="3"/>
      <c r="L1" s="3"/>
    </row>
    <row r="2" customHeight="1" spans="1:12">
      <c r="A2" s="4" t="s">
        <v>38</v>
      </c>
      <c r="B2" s="4" t="s">
        <v>81</v>
      </c>
      <c r="C2" s="5" t="s">
        <v>82</v>
      </c>
      <c r="D2" s="5" t="s">
        <v>40</v>
      </c>
      <c r="E2" s="6" t="s">
        <v>315</v>
      </c>
      <c r="F2" s="5" t="s">
        <v>316</v>
      </c>
      <c r="G2" s="5" t="s">
        <v>317</v>
      </c>
      <c r="H2" s="5" t="s">
        <v>318</v>
      </c>
      <c r="I2" s="5" t="s">
        <v>319</v>
      </c>
      <c r="J2" s="5" t="s">
        <v>320</v>
      </c>
      <c r="K2" s="5" t="s">
        <v>83</v>
      </c>
      <c r="L2" s="17" t="s">
        <v>44</v>
      </c>
    </row>
    <row r="3" customHeight="1" spans="1:14">
      <c r="A3" s="7" t="s">
        <v>88</v>
      </c>
      <c r="B3" s="8"/>
      <c r="C3" s="8"/>
      <c r="D3" s="8"/>
      <c r="E3" s="8"/>
      <c r="F3" s="8"/>
      <c r="G3" s="8"/>
      <c r="H3" s="8"/>
      <c r="I3" s="8"/>
      <c r="J3" s="8"/>
      <c r="K3" s="8"/>
      <c r="L3" s="8"/>
      <c r="N3">
        <f t="shared" ref="N3:N19" si="0">K3</f>
        <v>0</v>
      </c>
    </row>
    <row r="4" customHeight="1" outlineLevel="1" spans="1:14">
      <c r="A4" s="9">
        <v>1</v>
      </c>
      <c r="B4" s="10" t="s">
        <v>321</v>
      </c>
      <c r="C4" s="11" t="s">
        <v>322</v>
      </c>
      <c r="D4" s="12" t="s">
        <v>59</v>
      </c>
      <c r="E4" s="13" t="s">
        <v>323</v>
      </c>
      <c r="F4" s="14">
        <v>900</v>
      </c>
      <c r="G4" s="14">
        <v>1400</v>
      </c>
      <c r="H4" s="14">
        <v>900</v>
      </c>
      <c r="I4" s="14">
        <v>1400</v>
      </c>
      <c r="J4" s="9">
        <f>7*3</f>
        <v>21</v>
      </c>
      <c r="K4" s="13">
        <f>J4*G4*F4/1000000</f>
        <v>26.46</v>
      </c>
      <c r="L4" s="18" t="s">
        <v>88</v>
      </c>
      <c r="M4" s="19" t="s">
        <v>324</v>
      </c>
      <c r="N4">
        <f t="shared" si="0"/>
        <v>26.46</v>
      </c>
    </row>
    <row r="5" customHeight="1" outlineLevel="1" spans="1:14">
      <c r="A5" s="9">
        <v>2</v>
      </c>
      <c r="B5" s="10" t="s">
        <v>321</v>
      </c>
      <c r="C5" s="11" t="s">
        <v>322</v>
      </c>
      <c r="D5" s="12" t="s">
        <v>59</v>
      </c>
      <c r="E5" s="13" t="s">
        <v>325</v>
      </c>
      <c r="F5" s="14">
        <v>900</v>
      </c>
      <c r="G5" s="14">
        <v>1400</v>
      </c>
      <c r="H5" s="14">
        <v>900</v>
      </c>
      <c r="I5" s="14">
        <v>1400</v>
      </c>
      <c r="J5" s="9">
        <f>16*3</f>
        <v>48</v>
      </c>
      <c r="K5" s="13">
        <f t="shared" ref="K5:K36" si="1">J5*G5*F5/1000000</f>
        <v>60.48</v>
      </c>
      <c r="L5" s="18" t="s">
        <v>88</v>
      </c>
      <c r="N5">
        <f t="shared" si="0"/>
        <v>60.48</v>
      </c>
    </row>
    <row r="6" customHeight="1" outlineLevel="1" spans="1:14">
      <c r="A6" s="9">
        <v>3</v>
      </c>
      <c r="B6" s="10" t="s">
        <v>321</v>
      </c>
      <c r="C6" s="11" t="s">
        <v>326</v>
      </c>
      <c r="D6" s="12" t="s">
        <v>59</v>
      </c>
      <c r="E6" s="13" t="s">
        <v>323</v>
      </c>
      <c r="F6" s="9">
        <v>600</v>
      </c>
      <c r="G6" s="9">
        <v>1400</v>
      </c>
      <c r="H6" s="9">
        <v>600</v>
      </c>
      <c r="I6" s="9">
        <v>1400</v>
      </c>
      <c r="J6" s="9">
        <f>5+6*7</f>
        <v>47</v>
      </c>
      <c r="K6" s="13">
        <f t="shared" si="1"/>
        <v>39.48</v>
      </c>
      <c r="L6" s="18" t="s">
        <v>88</v>
      </c>
      <c r="M6" s="19" t="s">
        <v>324</v>
      </c>
      <c r="N6">
        <f t="shared" si="0"/>
        <v>39.48</v>
      </c>
    </row>
    <row r="7" customHeight="1" outlineLevel="1" spans="1:14">
      <c r="A7" s="9">
        <v>4</v>
      </c>
      <c r="B7" s="10" t="s">
        <v>321</v>
      </c>
      <c r="C7" s="11" t="s">
        <v>326</v>
      </c>
      <c r="D7" s="12" t="s">
        <v>59</v>
      </c>
      <c r="E7" s="13" t="s">
        <v>325</v>
      </c>
      <c r="F7" s="9">
        <v>600</v>
      </c>
      <c r="G7" s="9">
        <v>1400</v>
      </c>
      <c r="H7" s="9">
        <v>600</v>
      </c>
      <c r="I7" s="9">
        <v>1400</v>
      </c>
      <c r="J7" s="9">
        <f>16*7</f>
        <v>112</v>
      </c>
      <c r="K7" s="13">
        <f t="shared" si="1"/>
        <v>94.08</v>
      </c>
      <c r="L7" s="18" t="s">
        <v>88</v>
      </c>
      <c r="N7">
        <f t="shared" si="0"/>
        <v>94.08</v>
      </c>
    </row>
    <row r="8" customHeight="1" outlineLevel="1" spans="1:14">
      <c r="A8" s="9">
        <v>5</v>
      </c>
      <c r="B8" s="10" t="s">
        <v>321</v>
      </c>
      <c r="C8" s="11" t="s">
        <v>327</v>
      </c>
      <c r="D8" s="12" t="s">
        <v>59</v>
      </c>
      <c r="E8" s="13" t="s">
        <v>323</v>
      </c>
      <c r="F8" s="9">
        <v>500</v>
      </c>
      <c r="G8" s="9">
        <v>1400</v>
      </c>
      <c r="H8" s="9">
        <v>500</v>
      </c>
      <c r="I8" s="9">
        <v>1400</v>
      </c>
      <c r="J8" s="9">
        <v>7</v>
      </c>
      <c r="K8" s="13">
        <f t="shared" si="1"/>
        <v>4.9</v>
      </c>
      <c r="L8" s="18" t="s">
        <v>88</v>
      </c>
      <c r="M8" s="19" t="s">
        <v>324</v>
      </c>
      <c r="N8">
        <f t="shared" si="0"/>
        <v>4.9</v>
      </c>
    </row>
    <row r="9" customHeight="1" outlineLevel="1" spans="1:14">
      <c r="A9" s="9">
        <v>6</v>
      </c>
      <c r="B9" s="10" t="s">
        <v>321</v>
      </c>
      <c r="C9" s="11" t="s">
        <v>327</v>
      </c>
      <c r="D9" s="12" t="s">
        <v>59</v>
      </c>
      <c r="E9" s="13" t="s">
        <v>325</v>
      </c>
      <c r="F9" s="9">
        <v>500</v>
      </c>
      <c r="G9" s="9">
        <v>1400</v>
      </c>
      <c r="H9" s="9">
        <v>500</v>
      </c>
      <c r="I9" s="9">
        <v>1400</v>
      </c>
      <c r="J9" s="9">
        <v>16</v>
      </c>
      <c r="K9" s="13">
        <f t="shared" si="1"/>
        <v>11.2</v>
      </c>
      <c r="L9" s="18" t="s">
        <v>88</v>
      </c>
      <c r="N9">
        <f t="shared" si="0"/>
        <v>11.2</v>
      </c>
    </row>
    <row r="10" customHeight="1" outlineLevel="1" spans="1:14">
      <c r="A10" s="9">
        <v>7</v>
      </c>
      <c r="B10" s="10" t="s">
        <v>321</v>
      </c>
      <c r="C10" s="11" t="s">
        <v>328</v>
      </c>
      <c r="D10" s="12" t="s">
        <v>59</v>
      </c>
      <c r="E10" s="13" t="s">
        <v>323</v>
      </c>
      <c r="F10" s="9">
        <v>550</v>
      </c>
      <c r="G10" s="9">
        <v>1400</v>
      </c>
      <c r="H10" s="9">
        <v>550</v>
      </c>
      <c r="I10" s="9">
        <v>1400</v>
      </c>
      <c r="J10" s="9">
        <v>7</v>
      </c>
      <c r="K10" s="13">
        <f t="shared" si="1"/>
        <v>5.39</v>
      </c>
      <c r="L10" s="18" t="s">
        <v>88</v>
      </c>
      <c r="M10" s="19" t="s">
        <v>324</v>
      </c>
      <c r="N10">
        <f t="shared" si="0"/>
        <v>5.39</v>
      </c>
    </row>
    <row r="11" customHeight="1" outlineLevel="1" spans="1:14">
      <c r="A11" s="9">
        <v>8</v>
      </c>
      <c r="B11" s="10" t="s">
        <v>321</v>
      </c>
      <c r="C11" s="11" t="s">
        <v>328</v>
      </c>
      <c r="D11" s="12" t="s">
        <v>59</v>
      </c>
      <c r="E11" s="13" t="s">
        <v>325</v>
      </c>
      <c r="F11" s="9">
        <v>550</v>
      </c>
      <c r="G11" s="9">
        <v>1400</v>
      </c>
      <c r="H11" s="9">
        <v>550</v>
      </c>
      <c r="I11" s="9">
        <v>1400</v>
      </c>
      <c r="J11" s="9">
        <v>16</v>
      </c>
      <c r="K11" s="13">
        <f t="shared" si="1"/>
        <v>12.32</v>
      </c>
      <c r="L11" s="18" t="s">
        <v>88</v>
      </c>
      <c r="N11">
        <f t="shared" si="0"/>
        <v>12.32</v>
      </c>
    </row>
    <row r="12" customHeight="1" outlineLevel="1" spans="1:15">
      <c r="A12" s="9">
        <v>9</v>
      </c>
      <c r="B12" s="10" t="s">
        <v>329</v>
      </c>
      <c r="C12" s="11" t="s">
        <v>330</v>
      </c>
      <c r="D12" s="12" t="s">
        <v>53</v>
      </c>
      <c r="E12" s="13" t="s">
        <v>323</v>
      </c>
      <c r="F12" s="14">
        <v>900</v>
      </c>
      <c r="G12" s="9">
        <v>1400</v>
      </c>
      <c r="H12" s="14">
        <v>900</v>
      </c>
      <c r="I12" s="9">
        <v>1400</v>
      </c>
      <c r="J12" s="9">
        <f>4*7</f>
        <v>28</v>
      </c>
      <c r="K12" s="13">
        <f t="shared" si="1"/>
        <v>35.28</v>
      </c>
      <c r="L12" s="18" t="s">
        <v>88</v>
      </c>
      <c r="M12" s="19" t="s">
        <v>331</v>
      </c>
      <c r="N12">
        <f t="shared" si="0"/>
        <v>35.28</v>
      </c>
      <c r="O12" t="e">
        <f>#REF!+#REF!+K12+K44+#REF!+#REF!+K75+#REF!</f>
        <v>#REF!</v>
      </c>
    </row>
    <row r="13" customHeight="1" outlineLevel="1" spans="1:14">
      <c r="A13" s="9">
        <v>10</v>
      </c>
      <c r="B13" s="10" t="s">
        <v>329</v>
      </c>
      <c r="C13" s="11" t="s">
        <v>330</v>
      </c>
      <c r="D13" s="12" t="s">
        <v>53</v>
      </c>
      <c r="E13" s="13" t="s">
        <v>325</v>
      </c>
      <c r="F13" s="14">
        <v>900</v>
      </c>
      <c r="G13" s="9">
        <v>1400</v>
      </c>
      <c r="H13" s="14">
        <v>900</v>
      </c>
      <c r="I13" s="9">
        <v>1400</v>
      </c>
      <c r="J13" s="9">
        <f>4*16</f>
        <v>64</v>
      </c>
      <c r="K13" s="13">
        <f t="shared" si="1"/>
        <v>80.64</v>
      </c>
      <c r="L13" s="18" t="s">
        <v>88</v>
      </c>
      <c r="N13">
        <f t="shared" si="0"/>
        <v>80.64</v>
      </c>
    </row>
    <row r="14" customHeight="1" outlineLevel="1" spans="1:14">
      <c r="A14" s="9">
        <v>11</v>
      </c>
      <c r="B14" s="10" t="s">
        <v>329</v>
      </c>
      <c r="C14" s="11" t="s">
        <v>332</v>
      </c>
      <c r="D14" s="12" t="s">
        <v>53</v>
      </c>
      <c r="E14" s="13" t="s">
        <v>323</v>
      </c>
      <c r="F14" s="14">
        <v>600</v>
      </c>
      <c r="G14" s="14">
        <v>1400</v>
      </c>
      <c r="H14" s="14">
        <v>600</v>
      </c>
      <c r="I14" s="14">
        <v>1400</v>
      </c>
      <c r="J14" s="9">
        <f>2+6*3</f>
        <v>20</v>
      </c>
      <c r="K14" s="13">
        <f t="shared" si="1"/>
        <v>16.8</v>
      </c>
      <c r="L14" s="18" t="s">
        <v>88</v>
      </c>
      <c r="M14" s="19" t="s">
        <v>331</v>
      </c>
      <c r="N14">
        <f t="shared" si="0"/>
        <v>16.8</v>
      </c>
    </row>
    <row r="15" customHeight="1" outlineLevel="1" spans="1:14">
      <c r="A15" s="9">
        <v>12</v>
      </c>
      <c r="B15" s="10" t="s">
        <v>329</v>
      </c>
      <c r="C15" s="11" t="s">
        <v>332</v>
      </c>
      <c r="D15" s="12" t="s">
        <v>53</v>
      </c>
      <c r="E15" s="13" t="s">
        <v>325</v>
      </c>
      <c r="F15" s="14">
        <v>600</v>
      </c>
      <c r="G15" s="14">
        <v>1400</v>
      </c>
      <c r="H15" s="14">
        <v>600</v>
      </c>
      <c r="I15" s="14">
        <v>1400</v>
      </c>
      <c r="J15" s="9">
        <f>16*3</f>
        <v>48</v>
      </c>
      <c r="K15" s="13">
        <f t="shared" si="1"/>
        <v>40.32</v>
      </c>
      <c r="L15" s="18" t="s">
        <v>88</v>
      </c>
      <c r="N15">
        <f t="shared" si="0"/>
        <v>40.32</v>
      </c>
    </row>
    <row r="16" ht="52" customHeight="1" outlineLevel="1" spans="1:14">
      <c r="A16" s="9">
        <v>13</v>
      </c>
      <c r="B16" s="10" t="s">
        <v>333</v>
      </c>
      <c r="C16" s="11" t="s">
        <v>334</v>
      </c>
      <c r="D16" s="12" t="s">
        <v>73</v>
      </c>
      <c r="E16" s="9" t="s">
        <v>335</v>
      </c>
      <c r="F16" s="9">
        <v>1500</v>
      </c>
      <c r="G16" s="9">
        <v>1400</v>
      </c>
      <c r="H16" s="9">
        <v>1500</v>
      </c>
      <c r="I16" s="9">
        <v>1400</v>
      </c>
      <c r="J16" s="9">
        <v>22</v>
      </c>
      <c r="K16" s="13">
        <f t="shared" si="1"/>
        <v>46.2</v>
      </c>
      <c r="L16" s="18" t="s">
        <v>88</v>
      </c>
      <c r="N16">
        <f t="shared" si="0"/>
        <v>46.2</v>
      </c>
    </row>
    <row r="17" ht="59" customHeight="1" outlineLevel="1" spans="1:14">
      <c r="A17" s="9">
        <v>14</v>
      </c>
      <c r="B17" s="10" t="s">
        <v>333</v>
      </c>
      <c r="C17" s="11" t="s">
        <v>336</v>
      </c>
      <c r="D17" s="12" t="s">
        <v>337</v>
      </c>
      <c r="E17" s="14" t="s">
        <v>338</v>
      </c>
      <c r="F17" s="9">
        <v>2100</v>
      </c>
      <c r="G17" s="9">
        <v>2100</v>
      </c>
      <c r="H17" s="9">
        <v>2100</v>
      </c>
      <c r="I17" s="9">
        <v>2100</v>
      </c>
      <c r="J17" s="9">
        <v>138</v>
      </c>
      <c r="K17" s="13">
        <f t="shared" si="1"/>
        <v>608.58</v>
      </c>
      <c r="L17" s="18" t="s">
        <v>88</v>
      </c>
      <c r="N17">
        <f t="shared" si="0"/>
        <v>608.58</v>
      </c>
    </row>
    <row r="18" customHeight="1" outlineLevel="1" spans="1:14">
      <c r="A18" s="9">
        <v>15</v>
      </c>
      <c r="B18" s="10" t="s">
        <v>329</v>
      </c>
      <c r="C18" s="11" t="s">
        <v>334</v>
      </c>
      <c r="D18" s="12" t="s">
        <v>53</v>
      </c>
      <c r="E18" s="9" t="s">
        <v>323</v>
      </c>
      <c r="F18" s="9">
        <v>1500</v>
      </c>
      <c r="G18" s="9">
        <v>1400</v>
      </c>
      <c r="H18" s="9">
        <v>1500</v>
      </c>
      <c r="I18" s="9">
        <v>1400</v>
      </c>
      <c r="J18" s="9">
        <f>2*7</f>
        <v>14</v>
      </c>
      <c r="K18" s="13">
        <f t="shared" si="1"/>
        <v>29.4</v>
      </c>
      <c r="L18" s="18" t="s">
        <v>88</v>
      </c>
      <c r="M18" s="19" t="s">
        <v>331</v>
      </c>
      <c r="N18">
        <f t="shared" si="0"/>
        <v>29.4</v>
      </c>
    </row>
    <row r="19" customHeight="1" outlineLevel="1" spans="1:14">
      <c r="A19" s="9">
        <v>16</v>
      </c>
      <c r="B19" s="10" t="s">
        <v>329</v>
      </c>
      <c r="C19" s="11" t="s">
        <v>334</v>
      </c>
      <c r="D19" s="12" t="s">
        <v>53</v>
      </c>
      <c r="E19" s="14" t="s">
        <v>325</v>
      </c>
      <c r="F19" s="9">
        <v>1500</v>
      </c>
      <c r="G19" s="9">
        <v>1400</v>
      </c>
      <c r="H19" s="9">
        <v>1500</v>
      </c>
      <c r="I19" s="9">
        <v>1400</v>
      </c>
      <c r="J19" s="9">
        <f>2*16</f>
        <v>32</v>
      </c>
      <c r="K19" s="13">
        <f t="shared" si="1"/>
        <v>67.2</v>
      </c>
      <c r="L19" s="18" t="s">
        <v>88</v>
      </c>
      <c r="N19">
        <f t="shared" si="0"/>
        <v>67.2</v>
      </c>
    </row>
    <row r="20" customHeight="1" outlineLevel="1" spans="1:14">
      <c r="A20" s="9">
        <v>17</v>
      </c>
      <c r="B20" s="10" t="s">
        <v>329</v>
      </c>
      <c r="C20" s="11" t="s">
        <v>339</v>
      </c>
      <c r="D20" s="12" t="s">
        <v>55</v>
      </c>
      <c r="E20" s="9" t="s">
        <v>340</v>
      </c>
      <c r="F20" s="13">
        <v>4900</v>
      </c>
      <c r="G20" s="13">
        <v>2100</v>
      </c>
      <c r="H20" s="13">
        <v>4900</v>
      </c>
      <c r="I20" s="13">
        <v>2100</v>
      </c>
      <c r="J20" s="9">
        <v>6</v>
      </c>
      <c r="K20" s="13">
        <f t="shared" si="1"/>
        <v>61.74</v>
      </c>
      <c r="L20" s="18" t="s">
        <v>88</v>
      </c>
      <c r="M20" s="19" t="s">
        <v>113</v>
      </c>
      <c r="N20">
        <f t="shared" ref="N20:N83" si="2">K20</f>
        <v>61.74</v>
      </c>
    </row>
    <row r="21" ht="53" customHeight="1" outlineLevel="1" spans="1:14">
      <c r="A21" s="9">
        <v>18</v>
      </c>
      <c r="B21" s="10" t="s">
        <v>329</v>
      </c>
      <c r="C21" s="11" t="s">
        <v>339</v>
      </c>
      <c r="D21" s="12" t="s">
        <v>55</v>
      </c>
      <c r="E21" s="14" t="s">
        <v>325</v>
      </c>
      <c r="F21" s="13">
        <v>4900</v>
      </c>
      <c r="G21" s="13">
        <v>2100</v>
      </c>
      <c r="H21" s="13">
        <v>4900</v>
      </c>
      <c r="I21" s="13">
        <v>2100</v>
      </c>
      <c r="J21" s="9">
        <v>16</v>
      </c>
      <c r="K21" s="13">
        <f t="shared" si="1"/>
        <v>164.64</v>
      </c>
      <c r="L21" s="18" t="s">
        <v>88</v>
      </c>
      <c r="N21">
        <f t="shared" si="2"/>
        <v>164.64</v>
      </c>
    </row>
    <row r="22" customHeight="1" outlineLevel="1" spans="1:14">
      <c r="A22" s="9">
        <v>19</v>
      </c>
      <c r="B22" s="10" t="s">
        <v>329</v>
      </c>
      <c r="C22" s="11" t="s">
        <v>341</v>
      </c>
      <c r="D22" s="12" t="s">
        <v>53</v>
      </c>
      <c r="E22" s="13" t="s">
        <v>340</v>
      </c>
      <c r="F22" s="9">
        <v>1500</v>
      </c>
      <c r="G22" s="9">
        <v>2100</v>
      </c>
      <c r="H22" s="9">
        <v>1500</v>
      </c>
      <c r="I22" s="9">
        <v>2100</v>
      </c>
      <c r="J22" s="9">
        <v>6</v>
      </c>
      <c r="K22" s="13">
        <f t="shared" si="1"/>
        <v>18.9</v>
      </c>
      <c r="L22" s="18" t="s">
        <v>88</v>
      </c>
      <c r="M22" s="19" t="s">
        <v>331</v>
      </c>
      <c r="N22">
        <f t="shared" si="2"/>
        <v>18.9</v>
      </c>
    </row>
    <row r="23" customHeight="1" outlineLevel="1" spans="1:14">
      <c r="A23" s="9">
        <v>20</v>
      </c>
      <c r="B23" s="10" t="s">
        <v>329</v>
      </c>
      <c r="C23" s="11" t="s">
        <v>341</v>
      </c>
      <c r="D23" s="12" t="s">
        <v>53</v>
      </c>
      <c r="E23" s="13" t="s">
        <v>325</v>
      </c>
      <c r="F23" s="9">
        <v>1500</v>
      </c>
      <c r="G23" s="9">
        <v>2100</v>
      </c>
      <c r="H23" s="9">
        <v>1500</v>
      </c>
      <c r="I23" s="9">
        <v>2100</v>
      </c>
      <c r="J23" s="9">
        <v>16</v>
      </c>
      <c r="K23" s="13">
        <f t="shared" si="1"/>
        <v>50.4</v>
      </c>
      <c r="L23" s="18" t="s">
        <v>88</v>
      </c>
      <c r="N23">
        <f t="shared" si="2"/>
        <v>50.4</v>
      </c>
    </row>
    <row r="24" customHeight="1" outlineLevel="1" spans="1:14">
      <c r="A24" s="9">
        <v>21</v>
      </c>
      <c r="B24" s="10" t="s">
        <v>123</v>
      </c>
      <c r="C24" s="11" t="s">
        <v>342</v>
      </c>
      <c r="D24" s="12" t="s">
        <v>57</v>
      </c>
      <c r="E24" s="9" t="s">
        <v>343</v>
      </c>
      <c r="F24" s="9">
        <v>1200</v>
      </c>
      <c r="G24" s="9">
        <v>1400</v>
      </c>
      <c r="H24" s="9">
        <v>1200</v>
      </c>
      <c r="I24" s="9">
        <v>1400</v>
      </c>
      <c r="J24" s="9">
        <v>48</v>
      </c>
      <c r="K24" s="13">
        <f t="shared" si="1"/>
        <v>80.64</v>
      </c>
      <c r="L24" s="18" t="s">
        <v>88</v>
      </c>
      <c r="M24" s="12" t="s">
        <v>57</v>
      </c>
      <c r="N24">
        <f t="shared" si="2"/>
        <v>80.64</v>
      </c>
    </row>
    <row r="25" customHeight="1" outlineLevel="1" spans="1:14">
      <c r="A25" s="9">
        <v>22</v>
      </c>
      <c r="B25" s="10" t="s">
        <v>344</v>
      </c>
      <c r="C25" s="11" t="s">
        <v>345</v>
      </c>
      <c r="D25" s="12" t="s">
        <v>52</v>
      </c>
      <c r="E25" s="9" t="s">
        <v>346</v>
      </c>
      <c r="F25" s="9">
        <v>1200</v>
      </c>
      <c r="G25" s="9">
        <v>1400</v>
      </c>
      <c r="H25" s="9">
        <v>1200</v>
      </c>
      <c r="I25" s="9">
        <v>1400</v>
      </c>
      <c r="J25" s="9">
        <v>2</v>
      </c>
      <c r="K25" s="13">
        <f t="shared" si="1"/>
        <v>3.36</v>
      </c>
      <c r="L25" s="18" t="s">
        <v>88</v>
      </c>
      <c r="M25" s="12" t="s">
        <v>347</v>
      </c>
      <c r="N25">
        <f t="shared" si="2"/>
        <v>3.36</v>
      </c>
    </row>
    <row r="26" customHeight="1" outlineLevel="1" spans="1:14">
      <c r="A26" s="9">
        <v>23</v>
      </c>
      <c r="B26" s="10" t="s">
        <v>344</v>
      </c>
      <c r="C26" s="11" t="s">
        <v>348</v>
      </c>
      <c r="D26" s="12" t="s">
        <v>52</v>
      </c>
      <c r="E26" s="9" t="s">
        <v>349</v>
      </c>
      <c r="F26" s="9">
        <v>1800</v>
      </c>
      <c r="G26" s="9">
        <v>1700</v>
      </c>
      <c r="H26" s="9">
        <v>1800</v>
      </c>
      <c r="I26" s="9">
        <v>1700</v>
      </c>
      <c r="J26" s="9">
        <v>24</v>
      </c>
      <c r="K26" s="13">
        <f t="shared" si="1"/>
        <v>73.44</v>
      </c>
      <c r="L26" s="18" t="s">
        <v>88</v>
      </c>
      <c r="M26" s="12" t="s">
        <v>347</v>
      </c>
      <c r="N26">
        <f t="shared" si="2"/>
        <v>73.44</v>
      </c>
    </row>
    <row r="27" customHeight="1" outlineLevel="1" spans="1:14">
      <c r="A27" s="9">
        <v>24</v>
      </c>
      <c r="B27" s="10" t="s">
        <v>344</v>
      </c>
      <c r="C27" s="11" t="s">
        <v>350</v>
      </c>
      <c r="D27" s="12" t="s">
        <v>52</v>
      </c>
      <c r="E27" s="9" t="s">
        <v>343</v>
      </c>
      <c r="F27" s="9">
        <v>1500</v>
      </c>
      <c r="G27" s="9">
        <v>1400</v>
      </c>
      <c r="H27" s="9">
        <v>1500</v>
      </c>
      <c r="I27" s="9">
        <v>1400</v>
      </c>
      <c r="J27" s="9">
        <v>23</v>
      </c>
      <c r="K27" s="13">
        <f t="shared" si="1"/>
        <v>48.3</v>
      </c>
      <c r="L27" s="18" t="s">
        <v>88</v>
      </c>
      <c r="M27" s="12" t="s">
        <v>347</v>
      </c>
      <c r="N27">
        <f t="shared" si="2"/>
        <v>48.3</v>
      </c>
    </row>
    <row r="28" customHeight="1" outlineLevel="1" spans="1:14">
      <c r="A28" s="9">
        <v>25</v>
      </c>
      <c r="B28" s="10" t="s">
        <v>344</v>
      </c>
      <c r="C28" s="11" t="s">
        <v>351</v>
      </c>
      <c r="D28" s="12" t="s">
        <v>52</v>
      </c>
      <c r="E28" s="13" t="s">
        <v>340</v>
      </c>
      <c r="F28" s="9">
        <v>900</v>
      </c>
      <c r="G28" s="9">
        <v>1400</v>
      </c>
      <c r="H28" s="9">
        <v>900</v>
      </c>
      <c r="I28" s="9">
        <v>1400</v>
      </c>
      <c r="J28" s="9">
        <f>6*2</f>
        <v>12</v>
      </c>
      <c r="K28" s="13">
        <f t="shared" si="1"/>
        <v>15.12</v>
      </c>
      <c r="L28" s="18" t="s">
        <v>88</v>
      </c>
      <c r="M28" s="19" t="s">
        <v>347</v>
      </c>
      <c r="N28">
        <f t="shared" si="2"/>
        <v>15.12</v>
      </c>
    </row>
    <row r="29" customHeight="1" outlineLevel="1" spans="1:14">
      <c r="A29" s="9">
        <v>26</v>
      </c>
      <c r="B29" s="10" t="s">
        <v>344</v>
      </c>
      <c r="C29" s="11" t="s">
        <v>351</v>
      </c>
      <c r="D29" s="12" t="s">
        <v>52</v>
      </c>
      <c r="E29" s="13" t="s">
        <v>325</v>
      </c>
      <c r="F29" s="9">
        <v>900</v>
      </c>
      <c r="G29" s="9">
        <v>1400</v>
      </c>
      <c r="H29" s="9">
        <v>900</v>
      </c>
      <c r="I29" s="9">
        <v>1400</v>
      </c>
      <c r="J29" s="9">
        <f>17*2</f>
        <v>34</v>
      </c>
      <c r="K29" s="13">
        <f t="shared" si="1"/>
        <v>42.84</v>
      </c>
      <c r="L29" s="18" t="s">
        <v>88</v>
      </c>
      <c r="N29">
        <f t="shared" si="2"/>
        <v>42.84</v>
      </c>
    </row>
    <row r="30" customHeight="1" outlineLevel="1" spans="1:14">
      <c r="A30" s="9">
        <v>27</v>
      </c>
      <c r="B30" s="10" t="s">
        <v>100</v>
      </c>
      <c r="C30" s="15" t="s">
        <v>352</v>
      </c>
      <c r="D30" s="12" t="s">
        <v>50</v>
      </c>
      <c r="E30" s="9" t="s">
        <v>338</v>
      </c>
      <c r="F30" s="9">
        <v>500</v>
      </c>
      <c r="G30" s="9">
        <v>1000</v>
      </c>
      <c r="H30" s="9">
        <v>500</v>
      </c>
      <c r="I30" s="9">
        <v>1000</v>
      </c>
      <c r="J30" s="9">
        <v>276</v>
      </c>
      <c r="K30" s="13">
        <f t="shared" si="1"/>
        <v>138</v>
      </c>
      <c r="L30" s="18" t="s">
        <v>88</v>
      </c>
      <c r="N30">
        <f t="shared" si="2"/>
        <v>138</v>
      </c>
    </row>
    <row r="31" customHeight="1" outlineLevel="1" spans="1:14">
      <c r="A31" s="9">
        <v>28</v>
      </c>
      <c r="B31" s="11" t="s">
        <v>132</v>
      </c>
      <c r="C31" s="16" t="s">
        <v>353</v>
      </c>
      <c r="D31" s="12" t="s">
        <v>69</v>
      </c>
      <c r="E31" s="14" t="s">
        <v>338</v>
      </c>
      <c r="F31" s="9">
        <v>1600</v>
      </c>
      <c r="G31" s="9">
        <v>2300</v>
      </c>
      <c r="H31" s="9">
        <v>1600</v>
      </c>
      <c r="I31" s="9">
        <v>2300</v>
      </c>
      <c r="J31" s="9">
        <v>160</v>
      </c>
      <c r="K31" s="13">
        <f t="shared" si="1"/>
        <v>588.8</v>
      </c>
      <c r="L31" s="18" t="s">
        <v>88</v>
      </c>
      <c r="M31" s="19" t="s">
        <v>354</v>
      </c>
      <c r="N31">
        <f t="shared" si="2"/>
        <v>588.8</v>
      </c>
    </row>
    <row r="32" customHeight="1" outlineLevel="1" spans="1:14">
      <c r="A32" s="9">
        <v>29</v>
      </c>
      <c r="B32" s="11" t="s">
        <v>132</v>
      </c>
      <c r="C32" s="16" t="s">
        <v>355</v>
      </c>
      <c r="D32" s="12" t="s">
        <v>70</v>
      </c>
      <c r="E32" s="14" t="s">
        <v>338</v>
      </c>
      <c r="F32" s="9">
        <v>2100</v>
      </c>
      <c r="G32" s="9">
        <v>2300</v>
      </c>
      <c r="H32" s="9">
        <v>2100</v>
      </c>
      <c r="I32" s="9">
        <v>2300</v>
      </c>
      <c r="J32" s="9">
        <v>182</v>
      </c>
      <c r="K32" s="13">
        <f t="shared" si="1"/>
        <v>879.06</v>
      </c>
      <c r="L32" s="18" t="s">
        <v>88</v>
      </c>
      <c r="M32" s="19" t="s">
        <v>356</v>
      </c>
      <c r="N32">
        <f t="shared" si="2"/>
        <v>879.06</v>
      </c>
    </row>
    <row r="33" customHeight="1" outlineLevel="1" spans="1:14">
      <c r="A33" s="9">
        <v>30</v>
      </c>
      <c r="B33" s="11" t="s">
        <v>127</v>
      </c>
      <c r="C33" s="16" t="s">
        <v>357</v>
      </c>
      <c r="D33" s="12" t="s">
        <v>65</v>
      </c>
      <c r="E33" s="14" t="s">
        <v>338</v>
      </c>
      <c r="F33" s="9">
        <v>1200</v>
      </c>
      <c r="G33" s="9">
        <v>2300</v>
      </c>
      <c r="H33" s="9">
        <v>1200</v>
      </c>
      <c r="I33" s="9">
        <v>2300</v>
      </c>
      <c r="J33" s="9">
        <v>92</v>
      </c>
      <c r="K33" s="13">
        <f t="shared" si="1"/>
        <v>253.92</v>
      </c>
      <c r="L33" s="18" t="s">
        <v>88</v>
      </c>
      <c r="N33">
        <f t="shared" si="2"/>
        <v>253.92</v>
      </c>
    </row>
    <row r="34" customHeight="1" outlineLevel="1" spans="1:14">
      <c r="A34" s="9">
        <v>31</v>
      </c>
      <c r="B34" s="11" t="s">
        <v>217</v>
      </c>
      <c r="C34" s="11" t="s">
        <v>140</v>
      </c>
      <c r="D34" s="12" t="s">
        <v>358</v>
      </c>
      <c r="E34" s="14">
        <v>1</v>
      </c>
      <c r="F34" s="14">
        <v>11400</v>
      </c>
      <c r="G34" s="14">
        <v>4000</v>
      </c>
      <c r="H34" s="14">
        <v>11400</v>
      </c>
      <c r="I34" s="14">
        <v>4000</v>
      </c>
      <c r="J34" s="9">
        <v>1</v>
      </c>
      <c r="K34" s="13">
        <f t="shared" si="1"/>
        <v>45.6</v>
      </c>
      <c r="L34" s="18" t="s">
        <v>88</v>
      </c>
      <c r="N34">
        <f t="shared" si="2"/>
        <v>45.6</v>
      </c>
    </row>
    <row r="35" customHeight="1" outlineLevel="1" spans="1:14">
      <c r="A35" s="9">
        <v>32</v>
      </c>
      <c r="B35" s="11" t="s">
        <v>217</v>
      </c>
      <c r="C35" s="11" t="s">
        <v>140</v>
      </c>
      <c r="D35" s="12" t="s">
        <v>358</v>
      </c>
      <c r="E35" s="14">
        <v>1</v>
      </c>
      <c r="F35" s="14">
        <v>14600</v>
      </c>
      <c r="G35" s="14">
        <v>4000</v>
      </c>
      <c r="H35" s="14">
        <v>14600</v>
      </c>
      <c r="I35" s="14">
        <v>4000</v>
      </c>
      <c r="J35" s="9">
        <v>1</v>
      </c>
      <c r="K35" s="13">
        <f t="shared" si="1"/>
        <v>58.4</v>
      </c>
      <c r="L35" s="18" t="s">
        <v>88</v>
      </c>
      <c r="N35">
        <f t="shared" si="2"/>
        <v>58.4</v>
      </c>
    </row>
    <row r="36" customHeight="1" outlineLevel="1" spans="1:14">
      <c r="A36" s="9">
        <v>33</v>
      </c>
      <c r="B36" s="11" t="s">
        <v>217</v>
      </c>
      <c r="C36" s="11" t="s">
        <v>140</v>
      </c>
      <c r="D36" s="12" t="s">
        <v>358</v>
      </c>
      <c r="E36" s="14">
        <v>1</v>
      </c>
      <c r="F36" s="14">
        <v>30825</v>
      </c>
      <c r="G36" s="14">
        <v>4000</v>
      </c>
      <c r="H36" s="14">
        <v>30825</v>
      </c>
      <c r="I36" s="14">
        <v>4000</v>
      </c>
      <c r="J36" s="9">
        <v>1</v>
      </c>
      <c r="K36" s="13">
        <f t="shared" si="1"/>
        <v>123.3</v>
      </c>
      <c r="L36" s="18" t="s">
        <v>88</v>
      </c>
      <c r="N36">
        <f t="shared" si="2"/>
        <v>123.3</v>
      </c>
    </row>
    <row r="37" customHeight="1" spans="1:14">
      <c r="A37" s="7" t="s">
        <v>89</v>
      </c>
      <c r="B37" s="8"/>
      <c r="C37" s="8"/>
      <c r="D37" s="8"/>
      <c r="E37" s="8"/>
      <c r="F37" s="8"/>
      <c r="G37" s="8"/>
      <c r="H37" s="8"/>
      <c r="I37" s="8"/>
      <c r="J37" s="8"/>
      <c r="K37" s="8"/>
      <c r="L37" s="8"/>
      <c r="N37">
        <f t="shared" si="2"/>
        <v>0</v>
      </c>
    </row>
    <row r="38" customHeight="1" spans="1:14">
      <c r="A38" s="9">
        <v>34</v>
      </c>
      <c r="B38" s="10" t="s">
        <v>321</v>
      </c>
      <c r="C38" s="11" t="s">
        <v>322</v>
      </c>
      <c r="D38" s="12" t="s">
        <v>59</v>
      </c>
      <c r="E38" s="13" t="s">
        <v>323</v>
      </c>
      <c r="F38" s="14">
        <v>500</v>
      </c>
      <c r="G38" s="9">
        <v>1450</v>
      </c>
      <c r="H38" s="14">
        <v>500</v>
      </c>
      <c r="I38" s="9">
        <v>1450</v>
      </c>
      <c r="J38" s="9">
        <f>3*7</f>
        <v>21</v>
      </c>
      <c r="K38" s="13">
        <f>J38*G38*F38/1000000</f>
        <v>15.225</v>
      </c>
      <c r="L38" s="18" t="s">
        <v>89</v>
      </c>
      <c r="M38" s="19" t="s">
        <v>324</v>
      </c>
      <c r="N38">
        <f t="shared" si="2"/>
        <v>15.225</v>
      </c>
    </row>
    <row r="39" customHeight="1" spans="1:14">
      <c r="A39" s="9">
        <v>35</v>
      </c>
      <c r="B39" s="10" t="s">
        <v>321</v>
      </c>
      <c r="C39" s="11" t="s">
        <v>322</v>
      </c>
      <c r="D39" s="12" t="s">
        <v>59</v>
      </c>
      <c r="E39" s="13" t="s">
        <v>359</v>
      </c>
      <c r="F39" s="14">
        <v>500</v>
      </c>
      <c r="G39" s="9">
        <v>1450</v>
      </c>
      <c r="H39" s="14">
        <v>500</v>
      </c>
      <c r="I39" s="9">
        <v>1450</v>
      </c>
      <c r="J39" s="9">
        <f>6*3</f>
        <v>18</v>
      </c>
      <c r="K39" s="13">
        <f>J39*G39*F39/1000000</f>
        <v>13.05</v>
      </c>
      <c r="L39" s="18" t="s">
        <v>89</v>
      </c>
      <c r="N39">
        <f t="shared" si="2"/>
        <v>13.05</v>
      </c>
    </row>
    <row r="40" customHeight="1" spans="1:14">
      <c r="A40" s="9">
        <v>36</v>
      </c>
      <c r="B40" s="10" t="s">
        <v>321</v>
      </c>
      <c r="C40" s="11" t="s">
        <v>330</v>
      </c>
      <c r="D40" s="12" t="s">
        <v>59</v>
      </c>
      <c r="E40" s="13" t="s">
        <v>323</v>
      </c>
      <c r="F40" s="9">
        <v>600</v>
      </c>
      <c r="G40" s="9">
        <v>1450</v>
      </c>
      <c r="H40" s="9">
        <v>600</v>
      </c>
      <c r="I40" s="9">
        <v>1450</v>
      </c>
      <c r="J40" s="9">
        <f>7*2</f>
        <v>14</v>
      </c>
      <c r="K40" s="13">
        <f>J40*G40*F40/1000000</f>
        <v>12.18</v>
      </c>
      <c r="L40" s="18" t="s">
        <v>89</v>
      </c>
      <c r="M40" s="19" t="s">
        <v>324</v>
      </c>
      <c r="N40">
        <f t="shared" si="2"/>
        <v>12.18</v>
      </c>
    </row>
    <row r="41" customHeight="1" spans="1:14">
      <c r="A41" s="9">
        <v>37</v>
      </c>
      <c r="B41" s="10" t="s">
        <v>321</v>
      </c>
      <c r="C41" s="11" t="s">
        <v>330</v>
      </c>
      <c r="D41" s="12" t="s">
        <v>59</v>
      </c>
      <c r="E41" s="13" t="s">
        <v>359</v>
      </c>
      <c r="F41" s="9">
        <v>600</v>
      </c>
      <c r="G41" s="9">
        <v>1450</v>
      </c>
      <c r="H41" s="9">
        <v>600</v>
      </c>
      <c r="I41" s="9">
        <v>1450</v>
      </c>
      <c r="J41" s="9">
        <f>6*2</f>
        <v>12</v>
      </c>
      <c r="K41" s="13">
        <f>J41*G41*F41/1000000</f>
        <v>10.44</v>
      </c>
      <c r="L41" s="18" t="s">
        <v>89</v>
      </c>
      <c r="N41">
        <f t="shared" si="2"/>
        <v>10.44</v>
      </c>
    </row>
    <row r="42" customHeight="1" spans="1:14">
      <c r="A42" s="9">
        <v>38</v>
      </c>
      <c r="B42" s="10" t="s">
        <v>321</v>
      </c>
      <c r="C42" s="11" t="s">
        <v>326</v>
      </c>
      <c r="D42" s="12" t="s">
        <v>59</v>
      </c>
      <c r="E42" s="13" t="s">
        <v>323</v>
      </c>
      <c r="F42" s="9">
        <v>900</v>
      </c>
      <c r="G42" s="9">
        <v>1450</v>
      </c>
      <c r="H42" s="9">
        <v>900</v>
      </c>
      <c r="I42" s="9">
        <v>1450</v>
      </c>
      <c r="J42" s="9">
        <f>3*7</f>
        <v>21</v>
      </c>
      <c r="K42" s="13">
        <f>J42*G42*F42/1000000</f>
        <v>27.405</v>
      </c>
      <c r="L42" s="18" t="s">
        <v>89</v>
      </c>
      <c r="M42" s="19" t="s">
        <v>324</v>
      </c>
      <c r="N42">
        <f t="shared" si="2"/>
        <v>27.405</v>
      </c>
    </row>
    <row r="43" customHeight="1" spans="1:14">
      <c r="A43" s="9">
        <v>39</v>
      </c>
      <c r="B43" s="10" t="s">
        <v>321</v>
      </c>
      <c r="C43" s="11" t="s">
        <v>326</v>
      </c>
      <c r="D43" s="12" t="s">
        <v>59</v>
      </c>
      <c r="E43" s="13" t="s">
        <v>359</v>
      </c>
      <c r="F43" s="9">
        <v>900</v>
      </c>
      <c r="G43" s="9">
        <v>1450</v>
      </c>
      <c r="H43" s="9">
        <v>900</v>
      </c>
      <c r="I43" s="9">
        <v>1450</v>
      </c>
      <c r="J43" s="9">
        <f>3*6</f>
        <v>18</v>
      </c>
      <c r="K43" s="13">
        <f t="shared" ref="K43:K50" si="3">J43*G43*F43/1000000</f>
        <v>23.49</v>
      </c>
      <c r="L43" s="18" t="s">
        <v>89</v>
      </c>
      <c r="N43">
        <f t="shared" si="2"/>
        <v>23.49</v>
      </c>
    </row>
    <row r="44" customHeight="1" spans="1:14">
      <c r="A44" s="9">
        <v>40</v>
      </c>
      <c r="B44" s="10" t="s">
        <v>329</v>
      </c>
      <c r="C44" s="11" t="s">
        <v>326</v>
      </c>
      <c r="D44" s="12" t="s">
        <v>53</v>
      </c>
      <c r="E44" s="13" t="s">
        <v>323</v>
      </c>
      <c r="F44" s="9">
        <v>900</v>
      </c>
      <c r="G44" s="9">
        <v>1400</v>
      </c>
      <c r="H44" s="9">
        <v>900</v>
      </c>
      <c r="I44" s="9">
        <v>1400</v>
      </c>
      <c r="J44" s="9">
        <f>7*4</f>
        <v>28</v>
      </c>
      <c r="K44" s="13">
        <f t="shared" si="3"/>
        <v>35.28</v>
      </c>
      <c r="L44" s="18" t="s">
        <v>89</v>
      </c>
      <c r="M44" s="19" t="s">
        <v>331</v>
      </c>
      <c r="N44">
        <f t="shared" si="2"/>
        <v>35.28</v>
      </c>
    </row>
    <row r="45" customHeight="1" spans="1:14">
      <c r="A45" s="9">
        <v>41</v>
      </c>
      <c r="B45" s="10" t="s">
        <v>329</v>
      </c>
      <c r="C45" s="11" t="s">
        <v>326</v>
      </c>
      <c r="D45" s="12" t="s">
        <v>53</v>
      </c>
      <c r="E45" s="13" t="s">
        <v>359</v>
      </c>
      <c r="F45" s="9">
        <v>900</v>
      </c>
      <c r="G45" s="9">
        <v>1400</v>
      </c>
      <c r="H45" s="9">
        <v>900</v>
      </c>
      <c r="I45" s="9">
        <v>1400</v>
      </c>
      <c r="J45" s="9">
        <f>6*4</f>
        <v>24</v>
      </c>
      <c r="K45" s="13">
        <f t="shared" si="3"/>
        <v>30.24</v>
      </c>
      <c r="L45" s="18" t="s">
        <v>89</v>
      </c>
      <c r="N45">
        <f t="shared" si="2"/>
        <v>30.24</v>
      </c>
    </row>
    <row r="46" customHeight="1" spans="1:14">
      <c r="A46" s="9">
        <v>42</v>
      </c>
      <c r="B46" s="10" t="s">
        <v>329</v>
      </c>
      <c r="C46" s="11" t="s">
        <v>334</v>
      </c>
      <c r="D46" s="12" t="s">
        <v>53</v>
      </c>
      <c r="E46" s="13" t="s">
        <v>323</v>
      </c>
      <c r="F46" s="9">
        <v>1500</v>
      </c>
      <c r="G46" s="9">
        <v>1450</v>
      </c>
      <c r="H46" s="9">
        <v>1500</v>
      </c>
      <c r="I46" s="9">
        <v>1450</v>
      </c>
      <c r="J46" s="9">
        <f>7*3</f>
        <v>21</v>
      </c>
      <c r="K46" s="13">
        <f t="shared" si="3"/>
        <v>45.675</v>
      </c>
      <c r="L46" s="18" t="s">
        <v>89</v>
      </c>
      <c r="M46" s="19" t="s">
        <v>331</v>
      </c>
      <c r="N46">
        <f t="shared" si="2"/>
        <v>45.675</v>
      </c>
    </row>
    <row r="47" customHeight="1" spans="1:14">
      <c r="A47" s="9">
        <v>43</v>
      </c>
      <c r="B47" s="10" t="s">
        <v>329</v>
      </c>
      <c r="C47" s="11" t="s">
        <v>334</v>
      </c>
      <c r="D47" s="12" t="s">
        <v>53</v>
      </c>
      <c r="E47" s="13" t="s">
        <v>359</v>
      </c>
      <c r="F47" s="9">
        <v>1500</v>
      </c>
      <c r="G47" s="9">
        <v>1450</v>
      </c>
      <c r="H47" s="9">
        <v>1500</v>
      </c>
      <c r="I47" s="9">
        <v>1450</v>
      </c>
      <c r="J47" s="9">
        <f>6*3</f>
        <v>18</v>
      </c>
      <c r="K47" s="13">
        <f t="shared" si="3"/>
        <v>39.15</v>
      </c>
      <c r="L47" s="18" t="s">
        <v>89</v>
      </c>
      <c r="N47">
        <f t="shared" si="2"/>
        <v>39.15</v>
      </c>
    </row>
    <row r="48" customHeight="1" spans="1:14">
      <c r="A48" s="9">
        <v>44</v>
      </c>
      <c r="B48" s="10" t="s">
        <v>329</v>
      </c>
      <c r="C48" s="11" t="s">
        <v>327</v>
      </c>
      <c r="D48" s="12" t="s">
        <v>53</v>
      </c>
      <c r="E48" s="13" t="s">
        <v>323</v>
      </c>
      <c r="F48" s="9">
        <v>1600</v>
      </c>
      <c r="G48" s="9">
        <v>2150</v>
      </c>
      <c r="H48" s="9">
        <v>1600</v>
      </c>
      <c r="I48" s="9">
        <v>2150</v>
      </c>
      <c r="J48" s="9">
        <f>7*3</f>
        <v>21</v>
      </c>
      <c r="K48" s="13">
        <f t="shared" si="3"/>
        <v>72.24</v>
      </c>
      <c r="L48" s="18" t="s">
        <v>89</v>
      </c>
      <c r="M48" s="19" t="s">
        <v>331</v>
      </c>
      <c r="N48">
        <f t="shared" si="2"/>
        <v>72.24</v>
      </c>
    </row>
    <row r="49" customHeight="1" spans="1:14">
      <c r="A49" s="9">
        <v>45</v>
      </c>
      <c r="B49" s="10" t="s">
        <v>329</v>
      </c>
      <c r="C49" s="11" t="s">
        <v>327</v>
      </c>
      <c r="D49" s="12" t="s">
        <v>53</v>
      </c>
      <c r="E49" s="13" t="s">
        <v>359</v>
      </c>
      <c r="F49" s="9">
        <v>1600</v>
      </c>
      <c r="G49" s="9">
        <v>2150</v>
      </c>
      <c r="H49" s="9">
        <v>1600</v>
      </c>
      <c r="I49" s="9">
        <v>2150</v>
      </c>
      <c r="J49" s="9">
        <f>6*3</f>
        <v>18</v>
      </c>
      <c r="K49" s="13">
        <f t="shared" si="3"/>
        <v>61.92</v>
      </c>
      <c r="L49" s="18" t="s">
        <v>89</v>
      </c>
      <c r="N49">
        <f t="shared" si="2"/>
        <v>61.92</v>
      </c>
    </row>
    <row r="50" customHeight="1" spans="1:14">
      <c r="A50" s="9">
        <v>46</v>
      </c>
      <c r="B50" s="10" t="s">
        <v>329</v>
      </c>
      <c r="C50" s="11" t="s">
        <v>342</v>
      </c>
      <c r="D50" s="12" t="s">
        <v>54</v>
      </c>
      <c r="E50" s="13" t="s">
        <v>323</v>
      </c>
      <c r="F50" s="9">
        <v>2100</v>
      </c>
      <c r="G50" s="9">
        <v>2150</v>
      </c>
      <c r="H50" s="9">
        <v>2100</v>
      </c>
      <c r="I50" s="9">
        <v>2150</v>
      </c>
      <c r="J50" s="9">
        <f>7*4</f>
        <v>28</v>
      </c>
      <c r="K50" s="13">
        <f t="shared" si="3"/>
        <v>126.42</v>
      </c>
      <c r="L50" s="18" t="s">
        <v>89</v>
      </c>
      <c r="M50" s="19" t="s">
        <v>360</v>
      </c>
      <c r="N50">
        <f t="shared" si="2"/>
        <v>126.42</v>
      </c>
    </row>
    <row r="51" customHeight="1" spans="1:14">
      <c r="A51" s="9">
        <v>47</v>
      </c>
      <c r="B51" s="10" t="s">
        <v>329</v>
      </c>
      <c r="C51" s="11" t="s">
        <v>342</v>
      </c>
      <c r="D51" s="12" t="s">
        <v>54</v>
      </c>
      <c r="E51" s="13" t="s">
        <v>359</v>
      </c>
      <c r="F51" s="9">
        <v>2100</v>
      </c>
      <c r="G51" s="9">
        <v>2150</v>
      </c>
      <c r="H51" s="9">
        <v>2100</v>
      </c>
      <c r="I51" s="9">
        <v>2150</v>
      </c>
      <c r="J51" s="9">
        <f>6*4</f>
        <v>24</v>
      </c>
      <c r="K51" s="13">
        <f t="shared" ref="K51:K59" si="4">J51*G51*F51/1000000</f>
        <v>108.36</v>
      </c>
      <c r="L51" s="18" t="s">
        <v>89</v>
      </c>
      <c r="N51">
        <f t="shared" si="2"/>
        <v>108.36</v>
      </c>
    </row>
    <row r="52" customHeight="1" spans="1:14">
      <c r="A52" s="9">
        <v>48</v>
      </c>
      <c r="B52" s="10" t="s">
        <v>123</v>
      </c>
      <c r="C52" s="11" t="s">
        <v>332</v>
      </c>
      <c r="D52" s="12" t="s">
        <v>57</v>
      </c>
      <c r="E52" s="9" t="s">
        <v>361</v>
      </c>
      <c r="F52" s="9">
        <v>1500</v>
      </c>
      <c r="G52" s="9">
        <v>1500</v>
      </c>
      <c r="H52" s="9">
        <v>1500</v>
      </c>
      <c r="I52" s="9">
        <v>1500</v>
      </c>
      <c r="J52" s="9">
        <v>26</v>
      </c>
      <c r="K52" s="13">
        <f t="shared" si="4"/>
        <v>58.5</v>
      </c>
      <c r="L52" s="18" t="s">
        <v>89</v>
      </c>
      <c r="M52" s="12" t="s">
        <v>362</v>
      </c>
      <c r="N52">
        <f t="shared" si="2"/>
        <v>58.5</v>
      </c>
    </row>
    <row r="53" customHeight="1" spans="1:14">
      <c r="A53" s="9">
        <v>49</v>
      </c>
      <c r="B53" s="10" t="s">
        <v>247</v>
      </c>
      <c r="C53" s="11" t="s">
        <v>363</v>
      </c>
      <c r="D53" s="12" t="s">
        <v>61</v>
      </c>
      <c r="E53" s="9">
        <v>2</v>
      </c>
      <c r="F53" s="9">
        <v>900</v>
      </c>
      <c r="G53" s="9">
        <v>1400</v>
      </c>
      <c r="H53" s="9">
        <v>900</v>
      </c>
      <c r="I53" s="9">
        <v>1400</v>
      </c>
      <c r="J53" s="9">
        <v>2</v>
      </c>
      <c r="K53" s="13">
        <f t="shared" si="4"/>
        <v>2.52</v>
      </c>
      <c r="L53" s="18" t="s">
        <v>89</v>
      </c>
      <c r="M53" s="12" t="s">
        <v>364</v>
      </c>
      <c r="N53">
        <f t="shared" si="2"/>
        <v>2.52</v>
      </c>
    </row>
    <row r="54" customHeight="1" spans="1:14">
      <c r="A54" s="9">
        <v>50</v>
      </c>
      <c r="B54" s="10" t="s">
        <v>344</v>
      </c>
      <c r="C54" s="11" t="s">
        <v>348</v>
      </c>
      <c r="D54" s="12" t="s">
        <v>52</v>
      </c>
      <c r="E54" s="9">
        <v>2</v>
      </c>
      <c r="F54" s="9">
        <v>1200</v>
      </c>
      <c r="G54" s="9">
        <v>1200</v>
      </c>
      <c r="H54" s="9">
        <v>1200</v>
      </c>
      <c r="I54" s="9">
        <v>1200</v>
      </c>
      <c r="J54" s="9">
        <v>2</v>
      </c>
      <c r="K54" s="13">
        <f t="shared" si="4"/>
        <v>2.88</v>
      </c>
      <c r="L54" s="18" t="s">
        <v>89</v>
      </c>
      <c r="M54" s="12" t="s">
        <v>347</v>
      </c>
      <c r="N54">
        <f t="shared" si="2"/>
        <v>2.88</v>
      </c>
    </row>
    <row r="55" customHeight="1" spans="1:14">
      <c r="A55" s="9">
        <v>51</v>
      </c>
      <c r="B55" s="10" t="s">
        <v>344</v>
      </c>
      <c r="C55" s="11" t="s">
        <v>336</v>
      </c>
      <c r="D55" s="12" t="s">
        <v>52</v>
      </c>
      <c r="E55" s="9">
        <v>2</v>
      </c>
      <c r="F55" s="9">
        <v>1500</v>
      </c>
      <c r="G55" s="9">
        <v>1200</v>
      </c>
      <c r="H55" s="9">
        <v>1500</v>
      </c>
      <c r="I55" s="9">
        <v>1200</v>
      </c>
      <c r="J55" s="9">
        <v>2</v>
      </c>
      <c r="K55" s="13">
        <f t="shared" si="4"/>
        <v>3.6</v>
      </c>
      <c r="L55" s="18" t="s">
        <v>89</v>
      </c>
      <c r="M55" s="12" t="s">
        <v>347</v>
      </c>
      <c r="N55">
        <f t="shared" si="2"/>
        <v>3.6</v>
      </c>
    </row>
    <row r="56" customHeight="1" spans="1:14">
      <c r="A56" s="9">
        <v>52</v>
      </c>
      <c r="B56" s="10" t="s">
        <v>100</v>
      </c>
      <c r="C56" s="15" t="s">
        <v>352</v>
      </c>
      <c r="D56" s="12" t="s">
        <v>50</v>
      </c>
      <c r="E56" s="9" t="s">
        <v>365</v>
      </c>
      <c r="F56" s="9">
        <v>500</v>
      </c>
      <c r="G56" s="9">
        <v>1000</v>
      </c>
      <c r="H56" s="9">
        <v>500</v>
      </c>
      <c r="I56" s="9">
        <v>1000</v>
      </c>
      <c r="J56" s="9">
        <v>52</v>
      </c>
      <c r="K56" s="13">
        <f t="shared" si="4"/>
        <v>26</v>
      </c>
      <c r="L56" s="18" t="s">
        <v>89</v>
      </c>
      <c r="N56">
        <f t="shared" si="2"/>
        <v>26</v>
      </c>
    </row>
    <row r="57" customHeight="1" spans="1:14">
      <c r="A57" s="9">
        <v>53</v>
      </c>
      <c r="B57" s="11" t="s">
        <v>125</v>
      </c>
      <c r="C57" s="11" t="s">
        <v>353</v>
      </c>
      <c r="D57" s="12" t="s">
        <v>64</v>
      </c>
      <c r="E57" s="9" t="s">
        <v>365</v>
      </c>
      <c r="F57" s="9">
        <v>1200</v>
      </c>
      <c r="G57" s="9">
        <v>2350</v>
      </c>
      <c r="H57" s="9">
        <v>1200</v>
      </c>
      <c r="I57" s="9">
        <v>2350</v>
      </c>
      <c r="J57" s="9">
        <v>39</v>
      </c>
      <c r="K57" s="13">
        <f t="shared" si="4"/>
        <v>109.98</v>
      </c>
      <c r="L57" s="18" t="s">
        <v>89</v>
      </c>
      <c r="M57" s="19" t="s">
        <v>366</v>
      </c>
      <c r="N57">
        <f t="shared" si="2"/>
        <v>109.98</v>
      </c>
    </row>
    <row r="58" customHeight="1" spans="1:14">
      <c r="A58" s="9">
        <v>54</v>
      </c>
      <c r="B58" s="11" t="s">
        <v>132</v>
      </c>
      <c r="C58" s="11" t="s">
        <v>367</v>
      </c>
      <c r="D58" s="12" t="s">
        <v>70</v>
      </c>
      <c r="E58" s="9" t="s">
        <v>365</v>
      </c>
      <c r="F58" s="9">
        <v>3600</v>
      </c>
      <c r="G58" s="9">
        <v>2350</v>
      </c>
      <c r="H58" s="9">
        <v>3600</v>
      </c>
      <c r="I58" s="9">
        <v>2350</v>
      </c>
      <c r="J58" s="9">
        <v>13</v>
      </c>
      <c r="K58" s="13">
        <f t="shared" si="4"/>
        <v>109.98</v>
      </c>
      <c r="L58" s="18" t="s">
        <v>89</v>
      </c>
      <c r="M58" s="19" t="s">
        <v>356</v>
      </c>
      <c r="N58">
        <f t="shared" si="2"/>
        <v>109.98</v>
      </c>
    </row>
    <row r="59" customHeight="1" spans="1:14">
      <c r="A59" s="9">
        <v>55</v>
      </c>
      <c r="B59" s="11" t="s">
        <v>132</v>
      </c>
      <c r="C59" s="11" t="s">
        <v>368</v>
      </c>
      <c r="D59" s="12" t="s">
        <v>69</v>
      </c>
      <c r="E59" s="9" t="s">
        <v>365</v>
      </c>
      <c r="F59" s="9">
        <v>1500</v>
      </c>
      <c r="G59" s="9">
        <v>2350</v>
      </c>
      <c r="H59" s="9">
        <v>1500</v>
      </c>
      <c r="I59" s="9">
        <v>2350</v>
      </c>
      <c r="J59" s="9">
        <v>13</v>
      </c>
      <c r="K59" s="13">
        <f t="shared" si="4"/>
        <v>45.825</v>
      </c>
      <c r="L59" s="18" t="s">
        <v>89</v>
      </c>
      <c r="M59" s="19" t="s">
        <v>354</v>
      </c>
      <c r="N59">
        <f t="shared" si="2"/>
        <v>45.825</v>
      </c>
    </row>
    <row r="60" customHeight="1" spans="1:14">
      <c r="A60" s="9">
        <v>56</v>
      </c>
      <c r="B60" s="11" t="s">
        <v>132</v>
      </c>
      <c r="C60" s="11" t="s">
        <v>369</v>
      </c>
      <c r="D60" s="12" t="s">
        <v>69</v>
      </c>
      <c r="E60" s="9" t="s">
        <v>365</v>
      </c>
      <c r="F60" s="9">
        <v>1600</v>
      </c>
      <c r="G60" s="9">
        <v>2350</v>
      </c>
      <c r="H60" s="9">
        <v>1600</v>
      </c>
      <c r="I60" s="9">
        <v>2350</v>
      </c>
      <c r="J60" s="9">
        <v>13</v>
      </c>
      <c r="K60" s="13">
        <f t="shared" ref="K60:K67" si="5">J60*G60*F60/1000000</f>
        <v>48.88</v>
      </c>
      <c r="L60" s="18" t="s">
        <v>89</v>
      </c>
      <c r="M60" s="19" t="s">
        <v>354</v>
      </c>
      <c r="N60">
        <f t="shared" si="2"/>
        <v>48.88</v>
      </c>
    </row>
    <row r="61" customHeight="1" spans="1:14">
      <c r="A61" s="9">
        <v>57</v>
      </c>
      <c r="B61" s="11" t="s">
        <v>132</v>
      </c>
      <c r="C61" s="11" t="s">
        <v>370</v>
      </c>
      <c r="D61" s="12" t="s">
        <v>69</v>
      </c>
      <c r="E61" s="9" t="s">
        <v>365</v>
      </c>
      <c r="F61" s="9">
        <v>4800</v>
      </c>
      <c r="G61" s="9">
        <v>2350</v>
      </c>
      <c r="H61" s="9">
        <v>4800</v>
      </c>
      <c r="I61" s="9">
        <v>2350</v>
      </c>
      <c r="J61" s="9">
        <v>39</v>
      </c>
      <c r="K61" s="13">
        <f t="shared" si="5"/>
        <v>439.92</v>
      </c>
      <c r="L61" s="18" t="s">
        <v>89</v>
      </c>
      <c r="M61" s="19" t="s">
        <v>354</v>
      </c>
      <c r="N61">
        <f t="shared" si="2"/>
        <v>439.92</v>
      </c>
    </row>
    <row r="62" customHeight="1" spans="1:14">
      <c r="A62" s="9">
        <v>58</v>
      </c>
      <c r="B62" s="11" t="s">
        <v>125</v>
      </c>
      <c r="C62" s="11" t="s">
        <v>371</v>
      </c>
      <c r="D62" s="12" t="s">
        <v>64</v>
      </c>
      <c r="E62" s="9" t="s">
        <v>365</v>
      </c>
      <c r="F62" s="9">
        <v>700</v>
      </c>
      <c r="G62" s="9">
        <v>2350</v>
      </c>
      <c r="H62" s="9">
        <v>700</v>
      </c>
      <c r="I62" s="9">
        <v>2350</v>
      </c>
      <c r="J62" s="9">
        <v>48</v>
      </c>
      <c r="K62" s="13">
        <f t="shared" si="5"/>
        <v>78.96</v>
      </c>
      <c r="L62" s="18" t="s">
        <v>89</v>
      </c>
      <c r="M62" s="19" t="s">
        <v>366</v>
      </c>
      <c r="N62">
        <f t="shared" si="2"/>
        <v>78.96</v>
      </c>
    </row>
    <row r="63" customHeight="1" spans="1:14">
      <c r="A63" s="9">
        <v>59</v>
      </c>
      <c r="B63" s="11" t="s">
        <v>130</v>
      </c>
      <c r="C63" s="11" t="s">
        <v>372</v>
      </c>
      <c r="D63" s="12" t="s">
        <v>373</v>
      </c>
      <c r="E63" s="9" t="s">
        <v>374</v>
      </c>
      <c r="F63" s="9">
        <v>1200</v>
      </c>
      <c r="G63" s="9">
        <v>2400</v>
      </c>
      <c r="H63" s="9">
        <v>1200</v>
      </c>
      <c r="I63" s="9">
        <v>2400</v>
      </c>
      <c r="J63" s="9">
        <v>2</v>
      </c>
      <c r="K63" s="13">
        <f t="shared" si="5"/>
        <v>5.76</v>
      </c>
      <c r="L63" s="18" t="s">
        <v>89</v>
      </c>
      <c r="N63">
        <f t="shared" si="2"/>
        <v>5.76</v>
      </c>
    </row>
    <row r="64" customHeight="1" spans="1:14">
      <c r="A64" s="9">
        <v>60</v>
      </c>
      <c r="B64" s="10" t="s">
        <v>100</v>
      </c>
      <c r="C64" s="15" t="s">
        <v>375</v>
      </c>
      <c r="D64" s="12" t="s">
        <v>50</v>
      </c>
      <c r="E64" s="9" t="s">
        <v>376</v>
      </c>
      <c r="F64" s="9">
        <v>600</v>
      </c>
      <c r="G64" s="9">
        <v>1200</v>
      </c>
      <c r="H64" s="9">
        <v>600</v>
      </c>
      <c r="I64" s="9">
        <v>1200</v>
      </c>
      <c r="J64" s="9">
        <v>4</v>
      </c>
      <c r="K64" s="13">
        <f t="shared" si="5"/>
        <v>2.88</v>
      </c>
      <c r="L64" s="18" t="s">
        <v>89</v>
      </c>
      <c r="N64">
        <f t="shared" si="2"/>
        <v>2.88</v>
      </c>
    </row>
    <row r="65" customHeight="1" spans="1:14">
      <c r="A65" s="9">
        <v>61</v>
      </c>
      <c r="B65" s="11" t="s">
        <v>217</v>
      </c>
      <c r="C65" s="11" t="s">
        <v>140</v>
      </c>
      <c r="D65" s="12" t="s">
        <v>358</v>
      </c>
      <c r="E65" s="14">
        <v>1</v>
      </c>
      <c r="F65" s="14">
        <v>9800</v>
      </c>
      <c r="G65" s="14">
        <v>2900</v>
      </c>
      <c r="H65" s="14">
        <v>9800</v>
      </c>
      <c r="I65" s="14">
        <v>2900</v>
      </c>
      <c r="J65" s="9">
        <v>1</v>
      </c>
      <c r="K65" s="13">
        <f t="shared" si="5"/>
        <v>28.42</v>
      </c>
      <c r="L65" s="18" t="s">
        <v>89</v>
      </c>
      <c r="N65">
        <f t="shared" si="2"/>
        <v>28.42</v>
      </c>
    </row>
    <row r="66" customHeight="1" spans="1:14">
      <c r="A66" s="9">
        <v>62</v>
      </c>
      <c r="B66" s="11" t="s">
        <v>217</v>
      </c>
      <c r="C66" s="11" t="s">
        <v>140</v>
      </c>
      <c r="D66" s="12" t="s">
        <v>358</v>
      </c>
      <c r="E66" s="14">
        <v>1</v>
      </c>
      <c r="F66" s="14">
        <v>10100</v>
      </c>
      <c r="G66" s="14">
        <v>2900</v>
      </c>
      <c r="H66" s="14">
        <v>10100</v>
      </c>
      <c r="I66" s="14">
        <v>2900</v>
      </c>
      <c r="J66" s="9">
        <v>1</v>
      </c>
      <c r="K66" s="13">
        <f t="shared" si="5"/>
        <v>29.29</v>
      </c>
      <c r="L66" s="18" t="s">
        <v>89</v>
      </c>
      <c r="N66">
        <f t="shared" si="2"/>
        <v>29.29</v>
      </c>
    </row>
    <row r="67" customHeight="1" spans="1:14">
      <c r="A67" s="9">
        <v>63</v>
      </c>
      <c r="B67" s="12" t="s">
        <v>219</v>
      </c>
      <c r="C67" s="11" t="s">
        <v>140</v>
      </c>
      <c r="D67" s="12" t="s">
        <v>377</v>
      </c>
      <c r="E67" s="14">
        <v>1</v>
      </c>
      <c r="F67" s="14">
        <f>6450+5500+31300</f>
        <v>43250</v>
      </c>
      <c r="G67" s="14">
        <v>2900</v>
      </c>
      <c r="H67" s="14">
        <f>6450+5500+31300</f>
        <v>43250</v>
      </c>
      <c r="I67" s="14">
        <v>2900</v>
      </c>
      <c r="J67" s="9">
        <v>1</v>
      </c>
      <c r="K67" s="13">
        <f t="shared" si="5"/>
        <v>125.425</v>
      </c>
      <c r="L67" s="18" t="s">
        <v>89</v>
      </c>
      <c r="N67">
        <f t="shared" si="2"/>
        <v>125.425</v>
      </c>
    </row>
    <row r="68" customHeight="1" spans="1:14">
      <c r="A68" s="7" t="s">
        <v>90</v>
      </c>
      <c r="B68" s="8"/>
      <c r="C68" s="8"/>
      <c r="D68" s="8"/>
      <c r="E68" s="8"/>
      <c r="F68" s="8"/>
      <c r="G68" s="8"/>
      <c r="H68" s="8"/>
      <c r="I68" s="8"/>
      <c r="J68" s="8"/>
      <c r="K68" s="8"/>
      <c r="L68" s="8"/>
      <c r="N68">
        <f t="shared" ref="N68:N128" si="6">K68</f>
        <v>0</v>
      </c>
    </row>
    <row r="69" customHeight="1" spans="1:14">
      <c r="A69" s="9">
        <v>64</v>
      </c>
      <c r="B69" s="10" t="s">
        <v>321</v>
      </c>
      <c r="C69" s="11" t="s">
        <v>322</v>
      </c>
      <c r="D69" s="12" t="s">
        <v>324</v>
      </c>
      <c r="E69" s="13" t="s">
        <v>323</v>
      </c>
      <c r="F69" s="14">
        <v>500</v>
      </c>
      <c r="G69" s="9">
        <v>1450</v>
      </c>
      <c r="H69" s="14">
        <v>500</v>
      </c>
      <c r="I69" s="9">
        <v>1450</v>
      </c>
      <c r="J69" s="9">
        <f>7*3</f>
        <v>21</v>
      </c>
      <c r="K69" s="13">
        <f>J69*G69*F69/1000000</f>
        <v>15.225</v>
      </c>
      <c r="L69" s="18" t="s">
        <v>90</v>
      </c>
      <c r="M69" s="12" t="s">
        <v>324</v>
      </c>
      <c r="N69">
        <f t="shared" si="6"/>
        <v>15.225</v>
      </c>
    </row>
    <row r="70" customHeight="1" spans="1:14">
      <c r="A70" s="9">
        <v>65</v>
      </c>
      <c r="B70" s="10" t="s">
        <v>321</v>
      </c>
      <c r="C70" s="11" t="s">
        <v>322</v>
      </c>
      <c r="D70" s="12" t="s">
        <v>59</v>
      </c>
      <c r="E70" s="13" t="s">
        <v>378</v>
      </c>
      <c r="F70" s="14">
        <v>500</v>
      </c>
      <c r="G70" s="9">
        <v>1450</v>
      </c>
      <c r="H70" s="14">
        <v>500</v>
      </c>
      <c r="I70" s="9">
        <v>1450</v>
      </c>
      <c r="J70" s="9">
        <f>4*3</f>
        <v>12</v>
      </c>
      <c r="K70" s="13">
        <f t="shared" ref="K70:K95" si="7">J70*G70*F70/1000000</f>
        <v>8.7</v>
      </c>
      <c r="L70" s="18" t="s">
        <v>90</v>
      </c>
      <c r="M70" s="2">
        <f>K70</f>
        <v>8.7</v>
      </c>
      <c r="N70">
        <f t="shared" si="6"/>
        <v>8.7</v>
      </c>
    </row>
    <row r="71" customHeight="1" spans="1:14">
      <c r="A71" s="9">
        <v>66</v>
      </c>
      <c r="B71" s="10" t="s">
        <v>321</v>
      </c>
      <c r="C71" s="11" t="s">
        <v>330</v>
      </c>
      <c r="D71" s="12" t="s">
        <v>324</v>
      </c>
      <c r="E71" s="13" t="s">
        <v>323</v>
      </c>
      <c r="F71" s="9">
        <v>600</v>
      </c>
      <c r="G71" s="9">
        <v>1450</v>
      </c>
      <c r="H71" s="9">
        <v>600</v>
      </c>
      <c r="I71" s="9">
        <v>1450</v>
      </c>
      <c r="J71" s="9">
        <v>14</v>
      </c>
      <c r="K71" s="13">
        <f t="shared" si="7"/>
        <v>12.18</v>
      </c>
      <c r="L71" s="18" t="s">
        <v>90</v>
      </c>
      <c r="M71" s="12" t="s">
        <v>324</v>
      </c>
      <c r="N71">
        <f t="shared" si="6"/>
        <v>12.18</v>
      </c>
    </row>
    <row r="72" customHeight="1" spans="1:14">
      <c r="A72" s="9">
        <v>67</v>
      </c>
      <c r="B72" s="10" t="s">
        <v>321</v>
      </c>
      <c r="C72" s="11" t="s">
        <v>330</v>
      </c>
      <c r="D72" s="12" t="s">
        <v>59</v>
      </c>
      <c r="E72" s="13" t="s">
        <v>378</v>
      </c>
      <c r="F72" s="9">
        <v>600</v>
      </c>
      <c r="G72" s="9">
        <v>1450</v>
      </c>
      <c r="H72" s="9">
        <v>600</v>
      </c>
      <c r="I72" s="9">
        <v>1450</v>
      </c>
      <c r="J72" s="9">
        <v>8</v>
      </c>
      <c r="K72" s="13">
        <f t="shared" si="7"/>
        <v>6.96</v>
      </c>
      <c r="L72" s="18" t="s">
        <v>90</v>
      </c>
      <c r="M72" s="2">
        <f>K72</f>
        <v>6.96</v>
      </c>
      <c r="N72">
        <f t="shared" si="6"/>
        <v>6.96</v>
      </c>
    </row>
    <row r="73" customHeight="1" spans="1:14">
      <c r="A73" s="9">
        <v>68</v>
      </c>
      <c r="B73" s="10" t="s">
        <v>321</v>
      </c>
      <c r="C73" s="11" t="s">
        <v>326</v>
      </c>
      <c r="D73" s="12" t="s">
        <v>324</v>
      </c>
      <c r="E73" s="13" t="s">
        <v>323</v>
      </c>
      <c r="F73" s="9">
        <v>900</v>
      </c>
      <c r="G73" s="9">
        <v>1450</v>
      </c>
      <c r="H73" s="9">
        <v>900</v>
      </c>
      <c r="I73" s="9">
        <v>1450</v>
      </c>
      <c r="J73" s="9">
        <f>7*3</f>
        <v>21</v>
      </c>
      <c r="K73" s="13">
        <f t="shared" si="7"/>
        <v>27.405</v>
      </c>
      <c r="L73" s="18" t="s">
        <v>90</v>
      </c>
      <c r="M73" s="12" t="s">
        <v>324</v>
      </c>
      <c r="N73">
        <f t="shared" si="6"/>
        <v>27.405</v>
      </c>
    </row>
    <row r="74" customHeight="1" spans="1:14">
      <c r="A74" s="9">
        <v>69</v>
      </c>
      <c r="B74" s="10" t="s">
        <v>321</v>
      </c>
      <c r="C74" s="11" t="s">
        <v>326</v>
      </c>
      <c r="D74" s="12" t="s">
        <v>59</v>
      </c>
      <c r="E74" s="13" t="s">
        <v>378</v>
      </c>
      <c r="F74" s="9">
        <v>900</v>
      </c>
      <c r="G74" s="9">
        <v>1450</v>
      </c>
      <c r="H74" s="9">
        <v>900</v>
      </c>
      <c r="I74" s="9">
        <v>1450</v>
      </c>
      <c r="J74" s="9">
        <f>4*3</f>
        <v>12</v>
      </c>
      <c r="K74" s="13">
        <f t="shared" si="7"/>
        <v>15.66</v>
      </c>
      <c r="L74" s="18" t="s">
        <v>90</v>
      </c>
      <c r="M74" s="2">
        <f>K74</f>
        <v>15.66</v>
      </c>
      <c r="N74">
        <f t="shared" si="6"/>
        <v>15.66</v>
      </c>
    </row>
    <row r="75" customHeight="1" spans="1:14">
      <c r="A75" s="9">
        <v>70</v>
      </c>
      <c r="B75" s="10" t="s">
        <v>329</v>
      </c>
      <c r="C75" s="11" t="s">
        <v>326</v>
      </c>
      <c r="D75" s="12" t="s">
        <v>331</v>
      </c>
      <c r="E75" s="13" t="s">
        <v>323</v>
      </c>
      <c r="F75" s="9">
        <v>900</v>
      </c>
      <c r="G75" s="9">
        <v>1450</v>
      </c>
      <c r="H75" s="9">
        <v>900</v>
      </c>
      <c r="I75" s="9">
        <v>1450</v>
      </c>
      <c r="J75" s="9">
        <f>7*4</f>
        <v>28</v>
      </c>
      <c r="K75" s="13">
        <f t="shared" si="7"/>
        <v>36.54</v>
      </c>
      <c r="L75" s="18" t="s">
        <v>90</v>
      </c>
      <c r="M75" s="12" t="s">
        <v>331</v>
      </c>
      <c r="N75">
        <f t="shared" si="6"/>
        <v>36.54</v>
      </c>
    </row>
    <row r="76" customHeight="1" spans="1:14">
      <c r="A76" s="9">
        <v>71</v>
      </c>
      <c r="B76" s="10" t="s">
        <v>329</v>
      </c>
      <c r="C76" s="11" t="s">
        <v>326</v>
      </c>
      <c r="D76" s="12" t="s">
        <v>53</v>
      </c>
      <c r="E76" s="13" t="s">
        <v>378</v>
      </c>
      <c r="F76" s="9">
        <v>900</v>
      </c>
      <c r="G76" s="9">
        <v>1450</v>
      </c>
      <c r="H76" s="9">
        <v>900</v>
      </c>
      <c r="I76" s="9">
        <v>1450</v>
      </c>
      <c r="J76" s="9">
        <f>4*4</f>
        <v>16</v>
      </c>
      <c r="K76" s="13">
        <f t="shared" si="7"/>
        <v>20.88</v>
      </c>
      <c r="L76" s="18" t="s">
        <v>90</v>
      </c>
      <c r="M76" s="2">
        <f>K76</f>
        <v>20.88</v>
      </c>
      <c r="N76">
        <f t="shared" si="6"/>
        <v>20.88</v>
      </c>
    </row>
    <row r="77" customHeight="1" spans="1:14">
      <c r="A77" s="9">
        <v>72</v>
      </c>
      <c r="B77" s="10" t="s">
        <v>329</v>
      </c>
      <c r="C77" s="11" t="s">
        <v>334</v>
      </c>
      <c r="D77" s="12" t="s">
        <v>53</v>
      </c>
      <c r="E77" s="13" t="s">
        <v>323</v>
      </c>
      <c r="F77" s="9">
        <v>1500</v>
      </c>
      <c r="G77" s="9">
        <v>1450</v>
      </c>
      <c r="H77" s="9">
        <v>1500</v>
      </c>
      <c r="I77" s="9">
        <v>1450</v>
      </c>
      <c r="J77" s="9">
        <f>7*3</f>
        <v>21</v>
      </c>
      <c r="K77" s="13">
        <f t="shared" si="7"/>
        <v>45.675</v>
      </c>
      <c r="L77" s="18" t="s">
        <v>90</v>
      </c>
      <c r="M77" s="12" t="s">
        <v>331</v>
      </c>
      <c r="N77">
        <f t="shared" si="6"/>
        <v>45.675</v>
      </c>
    </row>
    <row r="78" customHeight="1" spans="1:14">
      <c r="A78" s="9">
        <v>73</v>
      </c>
      <c r="B78" s="10" t="s">
        <v>329</v>
      </c>
      <c r="C78" s="11" t="s">
        <v>334</v>
      </c>
      <c r="D78" s="12" t="s">
        <v>53</v>
      </c>
      <c r="E78" s="13" t="s">
        <v>378</v>
      </c>
      <c r="F78" s="9">
        <v>1500</v>
      </c>
      <c r="G78" s="9">
        <v>1450</v>
      </c>
      <c r="H78" s="9">
        <v>1500</v>
      </c>
      <c r="I78" s="9">
        <v>1450</v>
      </c>
      <c r="J78" s="9">
        <f>4*3</f>
        <v>12</v>
      </c>
      <c r="K78" s="13">
        <f t="shared" si="7"/>
        <v>26.1</v>
      </c>
      <c r="L78" s="18" t="s">
        <v>90</v>
      </c>
      <c r="M78" s="2">
        <f>K78</f>
        <v>26.1</v>
      </c>
      <c r="N78">
        <f t="shared" si="6"/>
        <v>26.1</v>
      </c>
    </row>
    <row r="79" customHeight="1" spans="1:14">
      <c r="A79" s="9">
        <v>74</v>
      </c>
      <c r="B79" s="10" t="s">
        <v>329</v>
      </c>
      <c r="C79" s="11" t="s">
        <v>327</v>
      </c>
      <c r="D79" s="12" t="s">
        <v>331</v>
      </c>
      <c r="E79" s="13" t="s">
        <v>323</v>
      </c>
      <c r="F79" s="9">
        <v>1600</v>
      </c>
      <c r="G79" s="9">
        <v>2150</v>
      </c>
      <c r="H79" s="9">
        <v>1600</v>
      </c>
      <c r="I79" s="9">
        <v>2150</v>
      </c>
      <c r="J79" s="9">
        <f>7*3</f>
        <v>21</v>
      </c>
      <c r="K79" s="13">
        <f t="shared" si="7"/>
        <v>72.24</v>
      </c>
      <c r="L79" s="18" t="s">
        <v>90</v>
      </c>
      <c r="M79" s="12" t="s">
        <v>331</v>
      </c>
      <c r="N79">
        <f t="shared" si="6"/>
        <v>72.24</v>
      </c>
    </row>
    <row r="80" customHeight="1" spans="1:14">
      <c r="A80" s="9">
        <v>75</v>
      </c>
      <c r="B80" s="10" t="s">
        <v>329</v>
      </c>
      <c r="C80" s="11" t="s">
        <v>327</v>
      </c>
      <c r="D80" s="12" t="s">
        <v>53</v>
      </c>
      <c r="E80" s="13" t="s">
        <v>378</v>
      </c>
      <c r="F80" s="9">
        <v>1600</v>
      </c>
      <c r="G80" s="9">
        <v>2150</v>
      </c>
      <c r="H80" s="9">
        <v>1600</v>
      </c>
      <c r="I80" s="9">
        <v>2150</v>
      </c>
      <c r="J80" s="9">
        <f>4*3</f>
        <v>12</v>
      </c>
      <c r="K80" s="13">
        <f t="shared" si="7"/>
        <v>41.28</v>
      </c>
      <c r="L80" s="18" t="s">
        <v>90</v>
      </c>
      <c r="M80" s="2">
        <f>K80</f>
        <v>41.28</v>
      </c>
      <c r="N80">
        <f t="shared" si="6"/>
        <v>41.28</v>
      </c>
    </row>
    <row r="81" customHeight="1" spans="1:14">
      <c r="A81" s="9">
        <v>76</v>
      </c>
      <c r="B81" s="10" t="s">
        <v>329</v>
      </c>
      <c r="C81" s="11" t="s">
        <v>342</v>
      </c>
      <c r="D81" s="12" t="s">
        <v>360</v>
      </c>
      <c r="E81" s="13" t="s">
        <v>323</v>
      </c>
      <c r="F81" s="9">
        <v>2100</v>
      </c>
      <c r="G81" s="9">
        <v>2150</v>
      </c>
      <c r="H81" s="9">
        <v>2100</v>
      </c>
      <c r="I81" s="9">
        <v>2150</v>
      </c>
      <c r="J81" s="9">
        <f>7*4</f>
        <v>28</v>
      </c>
      <c r="K81" s="13">
        <f t="shared" si="7"/>
        <v>126.42</v>
      </c>
      <c r="L81" s="18" t="s">
        <v>90</v>
      </c>
      <c r="M81" s="12" t="s">
        <v>360</v>
      </c>
      <c r="N81">
        <f t="shared" si="6"/>
        <v>126.42</v>
      </c>
    </row>
    <row r="82" customHeight="1" spans="1:14">
      <c r="A82" s="9">
        <v>77</v>
      </c>
      <c r="B82" s="10" t="s">
        <v>329</v>
      </c>
      <c r="C82" s="11" t="s">
        <v>342</v>
      </c>
      <c r="D82" s="12" t="s">
        <v>54</v>
      </c>
      <c r="E82" s="13" t="s">
        <v>378</v>
      </c>
      <c r="F82" s="9">
        <v>2100</v>
      </c>
      <c r="G82" s="9">
        <v>2150</v>
      </c>
      <c r="H82" s="9">
        <v>2100</v>
      </c>
      <c r="I82" s="9">
        <v>2150</v>
      </c>
      <c r="J82" s="9">
        <f>4*4</f>
        <v>16</v>
      </c>
      <c r="K82" s="13">
        <f t="shared" si="7"/>
        <v>72.24</v>
      </c>
      <c r="L82" s="18" t="s">
        <v>90</v>
      </c>
      <c r="M82" s="2">
        <f>K82</f>
        <v>72.24</v>
      </c>
      <c r="N82">
        <f t="shared" si="6"/>
        <v>72.24</v>
      </c>
    </row>
    <row r="83" customHeight="1" spans="1:14">
      <c r="A83" s="9">
        <v>78</v>
      </c>
      <c r="B83" s="10" t="s">
        <v>123</v>
      </c>
      <c r="C83" s="11" t="s">
        <v>332</v>
      </c>
      <c r="D83" s="12" t="s">
        <v>57</v>
      </c>
      <c r="E83" s="9" t="s">
        <v>379</v>
      </c>
      <c r="F83" s="9">
        <v>1100</v>
      </c>
      <c r="G83" s="9">
        <v>1500</v>
      </c>
      <c r="H83" s="9">
        <v>1100</v>
      </c>
      <c r="I83" s="9">
        <v>1500</v>
      </c>
      <c r="J83" s="9">
        <v>22</v>
      </c>
      <c r="K83" s="13">
        <f t="shared" si="7"/>
        <v>36.3</v>
      </c>
      <c r="L83" s="18" t="s">
        <v>90</v>
      </c>
      <c r="M83" s="12" t="s">
        <v>362</v>
      </c>
      <c r="N83">
        <f t="shared" si="6"/>
        <v>36.3</v>
      </c>
    </row>
    <row r="84" customHeight="1" spans="1:14">
      <c r="A84" s="9">
        <v>79</v>
      </c>
      <c r="B84" s="10" t="s">
        <v>344</v>
      </c>
      <c r="C84" s="11" t="s">
        <v>363</v>
      </c>
      <c r="D84" s="12" t="s">
        <v>52</v>
      </c>
      <c r="E84" s="9">
        <v>2</v>
      </c>
      <c r="F84" s="9">
        <v>900</v>
      </c>
      <c r="G84" s="9">
        <v>1400</v>
      </c>
      <c r="H84" s="9">
        <v>900</v>
      </c>
      <c r="I84" s="9">
        <v>1400</v>
      </c>
      <c r="J84" s="9">
        <v>2</v>
      </c>
      <c r="K84" s="13">
        <f t="shared" si="7"/>
        <v>2.52</v>
      </c>
      <c r="L84" s="18" t="s">
        <v>90</v>
      </c>
      <c r="M84" s="12" t="s">
        <v>347</v>
      </c>
      <c r="N84">
        <f t="shared" si="6"/>
        <v>2.52</v>
      </c>
    </row>
    <row r="85" customHeight="1" spans="1:14">
      <c r="A85" s="9">
        <v>80</v>
      </c>
      <c r="B85" s="10" t="s">
        <v>100</v>
      </c>
      <c r="C85" s="15" t="s">
        <v>352</v>
      </c>
      <c r="D85" s="12" t="s">
        <v>50</v>
      </c>
      <c r="E85" s="9" t="s">
        <v>365</v>
      </c>
      <c r="F85" s="9">
        <v>500</v>
      </c>
      <c r="G85" s="9">
        <v>1000</v>
      </c>
      <c r="H85" s="9">
        <v>500</v>
      </c>
      <c r="I85" s="9">
        <v>1000</v>
      </c>
      <c r="J85" s="9">
        <v>33</v>
      </c>
      <c r="K85" s="13">
        <f t="shared" si="7"/>
        <v>16.5</v>
      </c>
      <c r="L85" s="18" t="s">
        <v>90</v>
      </c>
      <c r="M85" s="2">
        <f>K85</f>
        <v>16.5</v>
      </c>
      <c r="N85">
        <f t="shared" si="6"/>
        <v>16.5</v>
      </c>
    </row>
    <row r="86" customHeight="1" spans="1:14">
      <c r="A86" s="9">
        <v>81</v>
      </c>
      <c r="B86" s="11" t="s">
        <v>125</v>
      </c>
      <c r="C86" s="11" t="s">
        <v>353</v>
      </c>
      <c r="D86" s="12" t="s">
        <v>64</v>
      </c>
      <c r="E86" s="9" t="s">
        <v>380</v>
      </c>
      <c r="F86" s="9">
        <v>1200</v>
      </c>
      <c r="G86" s="9">
        <v>2350</v>
      </c>
      <c r="H86" s="9">
        <v>1200</v>
      </c>
      <c r="I86" s="9">
        <v>2350</v>
      </c>
      <c r="J86" s="9">
        <v>33</v>
      </c>
      <c r="K86" s="13">
        <f t="shared" si="7"/>
        <v>93.06</v>
      </c>
      <c r="L86" s="18" t="s">
        <v>90</v>
      </c>
      <c r="M86" s="12" t="s">
        <v>366</v>
      </c>
      <c r="N86">
        <f t="shared" si="6"/>
        <v>93.06</v>
      </c>
    </row>
    <row r="87" customHeight="1" spans="1:14">
      <c r="A87" s="9">
        <v>82</v>
      </c>
      <c r="B87" s="11" t="s">
        <v>132</v>
      </c>
      <c r="C87" s="11" t="s">
        <v>367</v>
      </c>
      <c r="D87" s="12" t="s">
        <v>70</v>
      </c>
      <c r="E87" s="9" t="s">
        <v>380</v>
      </c>
      <c r="F87" s="9">
        <v>3600</v>
      </c>
      <c r="G87" s="9">
        <v>2350</v>
      </c>
      <c r="H87" s="9">
        <v>3600</v>
      </c>
      <c r="I87" s="9">
        <v>2350</v>
      </c>
      <c r="J87" s="9">
        <v>11</v>
      </c>
      <c r="K87" s="13">
        <f t="shared" si="7"/>
        <v>93.06</v>
      </c>
      <c r="L87" s="18" t="s">
        <v>90</v>
      </c>
      <c r="M87" s="12" t="s">
        <v>356</v>
      </c>
      <c r="N87">
        <f t="shared" si="6"/>
        <v>93.06</v>
      </c>
    </row>
    <row r="88" customHeight="1" spans="1:14">
      <c r="A88" s="9">
        <v>83</v>
      </c>
      <c r="B88" s="11" t="s">
        <v>132</v>
      </c>
      <c r="C88" s="11" t="s">
        <v>368</v>
      </c>
      <c r="D88" s="12" t="s">
        <v>69</v>
      </c>
      <c r="E88" s="9" t="s">
        <v>380</v>
      </c>
      <c r="F88" s="9">
        <v>1500</v>
      </c>
      <c r="G88" s="9">
        <v>2350</v>
      </c>
      <c r="H88" s="9">
        <v>1500</v>
      </c>
      <c r="I88" s="9">
        <v>2350</v>
      </c>
      <c r="J88" s="9">
        <v>11</v>
      </c>
      <c r="K88" s="13">
        <f t="shared" si="7"/>
        <v>38.775</v>
      </c>
      <c r="L88" s="18" t="s">
        <v>90</v>
      </c>
      <c r="M88" s="12" t="s">
        <v>354</v>
      </c>
      <c r="N88">
        <f t="shared" si="6"/>
        <v>38.775</v>
      </c>
    </row>
    <row r="89" customHeight="1" spans="1:14">
      <c r="A89" s="9">
        <v>84</v>
      </c>
      <c r="B89" s="11" t="s">
        <v>132</v>
      </c>
      <c r="C89" s="11" t="s">
        <v>369</v>
      </c>
      <c r="D89" s="12" t="s">
        <v>69</v>
      </c>
      <c r="E89" s="9" t="s">
        <v>365</v>
      </c>
      <c r="F89" s="9">
        <v>1600</v>
      </c>
      <c r="G89" s="9">
        <v>2350</v>
      </c>
      <c r="H89" s="9">
        <v>1600</v>
      </c>
      <c r="I89" s="9">
        <v>2350</v>
      </c>
      <c r="J89" s="9">
        <v>11</v>
      </c>
      <c r="K89" s="13">
        <f t="shared" si="7"/>
        <v>41.36</v>
      </c>
      <c r="L89" s="18" t="s">
        <v>90</v>
      </c>
      <c r="M89" s="12" t="s">
        <v>354</v>
      </c>
      <c r="N89">
        <f t="shared" si="6"/>
        <v>41.36</v>
      </c>
    </row>
    <row r="90" customHeight="1" spans="1:14">
      <c r="A90" s="9">
        <v>85</v>
      </c>
      <c r="B90" s="11" t="s">
        <v>132</v>
      </c>
      <c r="C90" s="11" t="s">
        <v>370</v>
      </c>
      <c r="D90" s="12" t="s">
        <v>69</v>
      </c>
      <c r="E90" s="9" t="s">
        <v>365</v>
      </c>
      <c r="F90" s="9">
        <v>4800</v>
      </c>
      <c r="G90" s="9">
        <v>2350</v>
      </c>
      <c r="H90" s="9">
        <v>4800</v>
      </c>
      <c r="I90" s="9">
        <v>2350</v>
      </c>
      <c r="J90" s="9">
        <v>33</v>
      </c>
      <c r="K90" s="13">
        <f t="shared" si="7"/>
        <v>372.24</v>
      </c>
      <c r="L90" s="18" t="s">
        <v>90</v>
      </c>
      <c r="M90" s="12" t="s">
        <v>354</v>
      </c>
      <c r="N90">
        <f t="shared" si="6"/>
        <v>372.24</v>
      </c>
    </row>
    <row r="91" customHeight="1" spans="1:14">
      <c r="A91" s="9">
        <v>86</v>
      </c>
      <c r="B91" s="11" t="s">
        <v>125</v>
      </c>
      <c r="C91" s="11" t="s">
        <v>371</v>
      </c>
      <c r="D91" s="12" t="s">
        <v>64</v>
      </c>
      <c r="E91" s="9" t="s">
        <v>365</v>
      </c>
      <c r="F91" s="9">
        <v>700</v>
      </c>
      <c r="G91" s="9">
        <v>2350</v>
      </c>
      <c r="H91" s="9">
        <v>700</v>
      </c>
      <c r="I91" s="9">
        <v>2350</v>
      </c>
      <c r="J91" s="9">
        <v>40</v>
      </c>
      <c r="K91" s="13">
        <f t="shared" si="7"/>
        <v>65.8</v>
      </c>
      <c r="L91" s="18" t="s">
        <v>90</v>
      </c>
      <c r="M91" s="12" t="s">
        <v>366</v>
      </c>
      <c r="N91">
        <f t="shared" si="6"/>
        <v>65.8</v>
      </c>
    </row>
    <row r="92" customHeight="1" spans="1:14">
      <c r="A92" s="9">
        <v>87</v>
      </c>
      <c r="B92" s="11" t="s">
        <v>130</v>
      </c>
      <c r="C92" s="11" t="s">
        <v>372</v>
      </c>
      <c r="D92" s="12" t="s">
        <v>67</v>
      </c>
      <c r="E92" s="9" t="s">
        <v>374</v>
      </c>
      <c r="F92" s="9">
        <v>1200</v>
      </c>
      <c r="G92" s="9">
        <v>2400</v>
      </c>
      <c r="H92" s="9">
        <v>1200</v>
      </c>
      <c r="I92" s="9">
        <v>2400</v>
      </c>
      <c r="J92" s="9">
        <v>2</v>
      </c>
      <c r="K92" s="13">
        <f t="shared" si="7"/>
        <v>5.76</v>
      </c>
      <c r="L92" s="18" t="s">
        <v>90</v>
      </c>
      <c r="M92" s="2">
        <f>K92</f>
        <v>5.76</v>
      </c>
      <c r="N92">
        <f t="shared" si="6"/>
        <v>5.76</v>
      </c>
    </row>
    <row r="93" customHeight="1" spans="1:14">
      <c r="A93" s="9">
        <v>88</v>
      </c>
      <c r="B93" s="12" t="s">
        <v>381</v>
      </c>
      <c r="C93" s="11" t="s">
        <v>140</v>
      </c>
      <c r="D93" s="12" t="s">
        <v>382</v>
      </c>
      <c r="E93" s="14">
        <v>1</v>
      </c>
      <c r="F93" s="14">
        <f>6750+5500+31300</f>
        <v>43550</v>
      </c>
      <c r="G93" s="14">
        <v>2900</v>
      </c>
      <c r="H93" s="14">
        <f>6750+5500+31300</f>
        <v>43550</v>
      </c>
      <c r="I93" s="14">
        <v>2900</v>
      </c>
      <c r="J93" s="9">
        <v>1</v>
      </c>
      <c r="K93" s="13">
        <f t="shared" si="7"/>
        <v>126.295</v>
      </c>
      <c r="L93" s="18" t="s">
        <v>90</v>
      </c>
      <c r="M93" s="2">
        <f>K93</f>
        <v>126.295</v>
      </c>
      <c r="N93">
        <f t="shared" si="6"/>
        <v>126.295</v>
      </c>
    </row>
    <row r="94" customHeight="1" spans="1:14">
      <c r="A94" s="9">
        <v>89</v>
      </c>
      <c r="B94" s="12" t="s">
        <v>383</v>
      </c>
      <c r="C94" s="11" t="s">
        <v>140</v>
      </c>
      <c r="D94" s="12" t="s">
        <v>384</v>
      </c>
      <c r="E94" s="14">
        <v>1</v>
      </c>
      <c r="F94" s="14">
        <v>10450</v>
      </c>
      <c r="G94" s="14">
        <v>2900</v>
      </c>
      <c r="H94" s="14">
        <v>10450</v>
      </c>
      <c r="I94" s="14">
        <v>2900</v>
      </c>
      <c r="J94" s="9">
        <v>1</v>
      </c>
      <c r="K94" s="13">
        <f t="shared" si="7"/>
        <v>30.305</v>
      </c>
      <c r="L94" s="18" t="s">
        <v>90</v>
      </c>
      <c r="M94" s="2">
        <f>K94</f>
        <v>30.305</v>
      </c>
      <c r="N94">
        <f t="shared" si="6"/>
        <v>30.305</v>
      </c>
    </row>
    <row r="95" customHeight="1" spans="1:14">
      <c r="A95" s="9">
        <v>90</v>
      </c>
      <c r="B95" s="12" t="s">
        <v>383</v>
      </c>
      <c r="C95" s="11" t="s">
        <v>140</v>
      </c>
      <c r="D95" s="12" t="s">
        <v>384</v>
      </c>
      <c r="E95" s="14">
        <v>1</v>
      </c>
      <c r="F95" s="14">
        <v>9800</v>
      </c>
      <c r="G95" s="14">
        <v>2900</v>
      </c>
      <c r="H95" s="14">
        <v>9800</v>
      </c>
      <c r="I95" s="14">
        <v>2900</v>
      </c>
      <c r="J95" s="9">
        <v>1</v>
      </c>
      <c r="K95" s="13">
        <f t="shared" si="7"/>
        <v>28.42</v>
      </c>
      <c r="L95" s="18" t="s">
        <v>90</v>
      </c>
      <c r="M95" s="2">
        <f>K95</f>
        <v>28.42</v>
      </c>
      <c r="N95">
        <f t="shared" si="6"/>
        <v>28.42</v>
      </c>
    </row>
    <row r="96" customHeight="1" spans="1:14">
      <c r="A96" s="20" t="s">
        <v>91</v>
      </c>
      <c r="B96" s="21"/>
      <c r="C96" s="21"/>
      <c r="D96" s="21"/>
      <c r="E96" s="21"/>
      <c r="F96" s="21"/>
      <c r="G96" s="21"/>
      <c r="H96" s="21"/>
      <c r="I96" s="21"/>
      <c r="J96" s="21"/>
      <c r="K96" s="21"/>
      <c r="L96" s="21"/>
      <c r="M96" s="2">
        <f>K96</f>
        <v>0</v>
      </c>
      <c r="N96">
        <f t="shared" si="6"/>
        <v>0</v>
      </c>
    </row>
    <row r="97" customHeight="1" spans="1:14">
      <c r="A97" s="22">
        <v>91</v>
      </c>
      <c r="B97" s="23" t="s">
        <v>329</v>
      </c>
      <c r="C97" s="24" t="s">
        <v>334</v>
      </c>
      <c r="D97" s="12" t="s">
        <v>53</v>
      </c>
      <c r="E97" s="25" t="s">
        <v>385</v>
      </c>
      <c r="F97" s="22">
        <v>1500</v>
      </c>
      <c r="G97" s="22">
        <v>1500</v>
      </c>
      <c r="H97" s="22">
        <v>1500</v>
      </c>
      <c r="I97" s="22">
        <v>1500</v>
      </c>
      <c r="J97" s="22">
        <v>6</v>
      </c>
      <c r="K97" s="26">
        <f>J97*G97*F97/1000000</f>
        <v>13.5</v>
      </c>
      <c r="L97" s="27" t="s">
        <v>91</v>
      </c>
      <c r="M97" s="12" t="s">
        <v>331</v>
      </c>
      <c r="N97">
        <f t="shared" si="6"/>
        <v>13.5</v>
      </c>
    </row>
    <row r="98" customHeight="1" spans="1:14">
      <c r="A98" s="9"/>
      <c r="B98" s="15"/>
      <c r="C98" s="15"/>
      <c r="D98" s="15"/>
      <c r="E98" s="9"/>
      <c r="F98" s="9"/>
      <c r="G98" s="9"/>
      <c r="H98" s="9"/>
      <c r="I98" s="9"/>
      <c r="J98" s="9"/>
      <c r="K98" s="9"/>
      <c r="L98" s="18"/>
      <c r="N98">
        <f t="shared" si="6"/>
        <v>0</v>
      </c>
    </row>
    <row r="99" customHeight="1" spans="13:14">
      <c r="M99" s="2">
        <f>SUM(M3:M98)</f>
        <v>399.1</v>
      </c>
      <c r="N99" s="2">
        <f>SUM(N3:N98)</f>
        <v>7056.485</v>
      </c>
    </row>
    <row r="109" customHeight="1" spans="2:2">
      <c r="B109" t="s">
        <v>386</v>
      </c>
    </row>
  </sheetData>
  <autoFilter xmlns:etc="http://www.wps.cn/officeDocument/2017/etCustomData" ref="A1:N99" etc:filterBottomFollowUsedRange="0">
    <extLst/>
  </autoFilter>
  <mergeCells count="5">
    <mergeCell ref="A1:L1"/>
    <mergeCell ref="A3:L3"/>
    <mergeCell ref="A37:L37"/>
    <mergeCell ref="A68:L68"/>
    <mergeCell ref="A96:L9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岳鹏</cp:lastModifiedBy>
  <dcterms:created xsi:type="dcterms:W3CDTF">2022-06-01T07:32:00Z</dcterms:created>
  <dcterms:modified xsi:type="dcterms:W3CDTF">2024-07-13T00:54:43Z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2052-12.1.0.17440</vt:lpwstr>
  </property>
</Properties>
</file>