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936" firstSheet="1" activeTab="1"/>
  </bookViews>
  <sheets>
    <sheet name="Sheet2" sheetId="20" state="hidden" r:id="rId1"/>
    <sheet name="01、汇总表" sheetId="9" r:id="rId2"/>
    <sheet name="Sheet1" sheetId="19" state="hidden" r:id="rId3"/>
    <sheet name="02、高层公区精装土建工程综合单价分析表" sheetId="12" r:id="rId4"/>
    <sheet name="03、洋房公区精装土建工程综合单价分析表" sheetId="23" r:id="rId5"/>
    <sheet name="04、架空层公区精装土建工程综合单价分析表" sheetId="28" r:id="rId6"/>
    <sheet name="05、高层安装工程综合单价分析表" sheetId="25" r:id="rId7"/>
    <sheet name="06、洋房安装工程综合单价分析表" sheetId="26" r:id="rId8"/>
    <sheet name="07、架空层安装工程综合单价分析表" sheetId="29" r:id="rId9"/>
    <sheet name="08、门头装饰工程" sheetId="27" r:id="rId10"/>
    <sheet name="门头钢结构工程量计算" sheetId="13" state="hidden" r:id="rId11"/>
  </sheets>
  <definedNames>
    <definedName name="_xlnm._FilterDatabase" localSheetId="3" hidden="1">'02、高层公区精装土建工程综合单价分析表'!$A$5:$X$57</definedName>
    <definedName name="_xlnm._FilterDatabase" localSheetId="4" hidden="1">'03、洋房公区精装土建工程综合单价分析表'!$A$5:$X$52</definedName>
    <definedName name="_xlnm._FilterDatabase" localSheetId="10" hidden="1">门头钢结构工程量计算!$A$2:$G$22</definedName>
    <definedName name="_xlnm.Print_Titles" localSheetId="3">'02、高层公区精装土建工程综合单价分析表'!$1:$5</definedName>
    <definedName name="_xlnm.Print_Area" localSheetId="3">'02、高层公区精装土建工程综合单价分析表'!$A$1:$S$57</definedName>
    <definedName name="_xlnm.Print_Area" localSheetId="1">'01、汇总表'!$A$1:$F$14</definedName>
    <definedName name="_xlnm.Print_Area" localSheetId="2">Sheet1!$A$1:$I$53</definedName>
    <definedName name="_xlnm.Print_Area" localSheetId="0">Sheet2!$A$1:$I$55</definedName>
    <definedName name="_xlnm.Print_Titles" localSheetId="4">'03、洋房公区精装土建工程综合单价分析表'!$1:$5</definedName>
    <definedName name="_xlnm.Print_Area" localSheetId="4">'03、洋房公区精装土建工程综合单价分析表'!$A$1:$S$52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<sst xmlns="http://schemas.openxmlformats.org/spreadsheetml/2006/main" count="842" uniqueCount="215">
  <si>
    <t>价格汇总表（洛阳市洛龙区伊河湾项目公区装修工程）</t>
  </si>
  <si>
    <t>序 号</t>
  </si>
  <si>
    <t>项目名称</t>
  </si>
  <si>
    <t>单位</t>
  </si>
  <si>
    <t>含税9%
金额 (元)</t>
  </si>
  <si>
    <t>含税9%金额
合计(元)</t>
  </si>
  <si>
    <t>备注</t>
  </si>
  <si>
    <t>一</t>
  </si>
  <si>
    <t>装修工程</t>
  </si>
  <si>
    <t>/</t>
  </si>
  <si>
    <t>地面</t>
  </si>
  <si>
    <t>项</t>
  </si>
  <si>
    <t>墙面</t>
  </si>
  <si>
    <t>天棚</t>
  </si>
  <si>
    <t>`</t>
  </si>
  <si>
    <t>其他</t>
  </si>
  <si>
    <t>二</t>
  </si>
  <si>
    <t>安装工程</t>
  </si>
  <si>
    <t>电气</t>
  </si>
  <si>
    <t>三</t>
  </si>
  <si>
    <t>门头装饰工程</t>
  </si>
  <si>
    <t>含税9%总金额(元)</t>
  </si>
  <si>
    <t>价格清单（伊河湾项目高层公区精装装饰工程--土建）（装饰部分）</t>
  </si>
  <si>
    <t>工程名称：伊河湾项目高层公区精装装饰工程--土建</t>
  </si>
  <si>
    <t>序号</t>
  </si>
  <si>
    <t>工程项目名称</t>
  </si>
  <si>
    <t>工程内容</t>
  </si>
  <si>
    <t>工程量
g</t>
  </si>
  <si>
    <t>1#</t>
  </si>
  <si>
    <t>2#</t>
  </si>
  <si>
    <t>3#</t>
  </si>
  <si>
    <t>6#</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</si>
  <si>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</si>
  <si>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</si>
  <si>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</si>
  <si>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</si>
  <si>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</si>
  <si>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</si>
  <si>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</si>
  <si>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</si>
  <si>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</si>
  <si>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</si>
  <si>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</si>
  <si>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</si>
  <si>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</si>
  <si>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</si>
  <si>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负一层</t>
  </si>
  <si>
    <t>块料楼地面</t>
  </si>
  <si>
    <t>1.CT-02  
2.800*800mm瓷砖
3.素水泥粘接层
4.1:3干硬性砂浆 
5.素水泥浆一道(内掺建筑胶)
6.原建筑细石混凝土找平层
7.具体要求及做法：详见设计图纸及建设单位要求</t>
  </si>
  <si>
    <t>㎡</t>
  </si>
  <si>
    <t>块料楼梯面层</t>
  </si>
  <si>
    <t>1.10厚防滑玻化砖(踏步导防滑槽) 
2.10厚专用粘接剂 
3.50厚1:2.5干硬性水泥砂浆找平
4.界面剂一道
5.具体要求及做法：详见设计图纸及建设单位要求</t>
  </si>
  <si>
    <t>首层</t>
  </si>
  <si>
    <t>1.CT-01  
2.750*1500mm瓷砖
3.5mm瓷砖专用粘接剂
4.20mm干硬性水泥砂浆找平层
5.20mm细石混凝土找平层
6.5mm界面剂
7.建筑楼板
8.具体要求及做法：详见设计图纸及建设单位要求</t>
  </si>
  <si>
    <t>石材零星项目</t>
  </si>
  <si>
    <t>1.ST-01  
2.石材过门石
3.5mm瓷砖专用粘接剂
4.20mm干硬性水泥砂浆找平层
5.20mm细石混凝土找平层
6.5mm界面剂
7.建筑楼板
8.含防护、抛光处理
9.具体要求及做法：详见设计图纸及建设单位要求</t>
  </si>
  <si>
    <t>石材楼地面</t>
  </si>
  <si>
    <t>标准层地面</t>
  </si>
  <si>
    <t>块料墙面</t>
  </si>
  <si>
    <t>1.CT-03  
2.400*800mm瓷砖
3.专用背胶
4.5mm专用粘结剂
5.15mm水泥砂浆粉刷层
6.界面剂
7.原建筑墙体
8.含开关插座开孔费
9.墙面瓷砖与乳胶漆交接处做L型收口条
10.具体要求及做法：详见设计图纸及建设单位要求</t>
  </si>
  <si>
    <t>墙面装饰板</t>
  </si>
  <si>
    <t>1.MT-01
2.古铜色不锈钢
3.12mm阻燃板基层
4.具体要求及做法：详见设计图纸及建设单位要求</t>
  </si>
  <si>
    <t>1.MT-01
2.古铜色不锈钢
3.木龙骨制作安装
4.12mm阻燃板基层
5.木龙骨含防火、防腐处理
6.具体要求及做法：详见设计图纸及建设单位要求</t>
  </si>
  <si>
    <t>金属装饰线</t>
  </si>
  <si>
    <t>1.MT-01 防火门古铜色不锈钢收边线条
2.古铜色不锈钢，宽度为5mm*5mm
3.具体要求及做法：详见设计图纸及建设单位要求</t>
  </si>
  <si>
    <t>m</t>
  </si>
  <si>
    <t>抹灰面油漆</t>
  </si>
  <si>
    <t>1.PT-02、PT-03
2.乳胶漆
3.具体要求及做法：详见设计图纸及建设单位要求</t>
  </si>
  <si>
    <t>发光字</t>
  </si>
  <si>
    <t>1.18mm厚亚克力透光字
2.具体要求及做法：详见设计图纸及建设单位要求</t>
  </si>
  <si>
    <t>个</t>
  </si>
  <si>
    <t>石材墙面</t>
  </si>
  <si>
    <t>1.ST-02
2.岩板，厚度≥10mm
3.钢骨架制作安装，50*50*5镀锌角钢，8#槽钢，不锈钢干挂件，8mm镀锌埋板
4.含防锈处理
5.含灯槽制作安装，灯槽规格为65mm*59mm，12mm阻燃板基层
6.具体要求及做法：详见设计图纸及建设单位要求</t>
  </si>
  <si>
    <t>1.ST-03
2.岩板，厚度≥10mm
3.钢骨架制作安装，50*50*5镀锌角钢，8#槽钢，不锈钢干挂件，8mm镀锌埋板
4.含防锈处理
5.含暗门制作安装
6.具体要求及做法：详见设计图纸及建设单位要求</t>
  </si>
  <si>
    <t>金属踢脚线</t>
  </si>
  <si>
    <t>1.MT-01
2.古铜色不锈钢，高度为30mm
3.12mm阻燃板基层
4.钢骨架制作安装
5.含防锈处理
6.具体要求及做法：详见设计图纸及建设单位要求</t>
  </si>
  <si>
    <t>1.MT-01 走廊
2.古铜色不锈钢
3.12mm阻燃板基层
4.具体要求及做法：详见设计图纸及建设单位要求</t>
  </si>
  <si>
    <t>1.MT-01 灯槽
2.古铜色不锈钢，宽度为50mm
3.12mm阻燃板基层
4.具体要求及做法：详见设计图纸及建设单位要求</t>
  </si>
  <si>
    <t>1.MT-01 岩板墙面处
2.古铜色不锈钢，宽度为8mm
3.具体要求及做法：详见设计图纸及建设单位要求</t>
  </si>
  <si>
    <t>1.MT-01 电梯门洞侧
2.古铜色不锈钢
3.12mm阻燃板基层
4.具体要求及做法：详见设计图纸及建设单位要求</t>
  </si>
  <si>
    <t>1.MT-01 电梯
2.古铜色不锈钢
3.木龙骨制作安装
4.12mm阻燃板基层
5.木龙骨含防火、防腐处理
6.具体要求及做法：详见设计图纸及建设单位要求</t>
  </si>
  <si>
    <t>标准层</t>
  </si>
  <si>
    <t>1.CT-03  
2.400*800mm瓷砖
3.专用背胶
4.5mm专用粘结剂
5.15mm水泥砂浆粉刷层
6.界面剂
7.原建筑墙体
8.含开关插座开孔费
9.具体要求及做法：详见设计图纸及建设单位要求</t>
  </si>
  <si>
    <t>吊顶天棚</t>
  </si>
  <si>
    <t>1.净高为3.6m以内
2.50系列轻钢龙骨
3.9.5mm厚双层石膏板
4.乳胶漆饰面
5.含灯孔制作安装费
6.含灯槽制作安装费
7.含脚手架搭设、拆除及搬运等费用
8.具体要求及做法：详见设计图纸及建设单位要求</t>
  </si>
  <si>
    <t>格栅吊顶</t>
  </si>
  <si>
    <t>1.MT-02
2.净高为3.6m以内
3.20mm配套龙骨(黑色)厚度1.0mm
4.20*80mm不锈钢格栅
5.含脚手架搭设、拆除及搬运等费用
6.具体要求及做法：详见设计图纸及建设单位要求</t>
  </si>
  <si>
    <t>抹灰面油漆-楼梯间</t>
  </si>
  <si>
    <t>1.PT-01
2.白色乳胶漆
3.具体要求及做法：详见设计图纸及建设单位要求</t>
  </si>
  <si>
    <t>1.净高为4.6m以内
2.50系列轻钢龙骨
3.9.5mm厚双层石膏板
4.乳胶漆饰面
5.含灯孔制作安装费
6.含灯槽制作安装费
7.含脚手架搭设、拆除及搬运等费用
8.具体要求及做法：详见设计图纸及建设单位要求</t>
  </si>
  <si>
    <t>砖砌体拆除</t>
  </si>
  <si>
    <t>1.原有墙体拆除
2.垃圾外运至就近消纳场
3.含脚手架搭设、拆除及搬运等费用
4.具体要求及做法：详见设计图纸及建设单位要求</t>
  </si>
  <si>
    <t>m3</t>
  </si>
  <si>
    <t>电动感应门</t>
  </si>
  <si>
    <t>1.铝合金中空玻璃自动门
2.12mm钢化玻璃
3.含门、窗框及玻璃制作、运输、安装，大小五金配件、锁具及门套等
4.含电动装置
5.其它说明：满足规范和设计图纸要求</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</si>
  <si>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</si>
  <si>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</si>
  <si>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</si>
  <si>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价格清单（伊河湾项目洋房公区精装装饰工程--土建）（装饰部分）</t>
  </si>
  <si>
    <t>工程名称：伊河湾项目洋房公区精装装饰工程--土建</t>
  </si>
  <si>
    <t>5#</t>
  </si>
  <si>
    <t>7#</t>
  </si>
  <si>
    <t>8#</t>
  </si>
  <si>
    <t>9#</t>
  </si>
  <si>
    <t>1.PT-02
2.乳胶漆
3.具体要求及做法：详见设计图纸及建设单位要求</t>
  </si>
  <si>
    <t>价格清单（伊河湾项目高层公区精装装饰工程2#楼架空层--土建）（装饰部分）</t>
  </si>
  <si>
    <t>工程名称：伊河湾项目架空层公区精装装饰工程--土建</t>
  </si>
  <si>
    <t>2#楼架空层</t>
  </si>
  <si>
    <t>1.CT-02  
2.800*800mm瓷砖
3.10mm厚粘接剂粘结层
4.30mm厚1:2.5干硬性水泥砂浆垫层
5.界面剂
6.具体要求及做法：详见设计图纸及建设单位要求</t>
  </si>
  <si>
    <t>1.CT-02  
2.800*800mm瓷砖
3.30mm厚水泥砂浆粘结层
4.20mm厚1:3水泥砂浆防水保护层
5.防水层(一般1.5mm)
6.20mm厚1:3水泥砂浆找平层
7.具体要求及做法：详见设计图纸及建设单位要求</t>
  </si>
  <si>
    <t>排水沟</t>
  </si>
  <si>
    <t>1.定制不锈钢地漏盖板排水沟
2.100mm长条地沟
3.3mm厚不锈钢积水槽
4.具体要求及做法：详见设计图纸及建设单位要求</t>
  </si>
  <si>
    <t>1.CT-03  
2.400*800mm瓷砖
3.专用背胶
4.5mm专用粘结剂
5.15mm水泥砂浆粉刷层
6.墙面防水层
7.界面剂
8.原建筑墙体
9.具体要求及做法：详见设计图纸及建设单位要求</t>
  </si>
  <si>
    <t>1.MT-01
2.黑钛金不锈钢，高度为60mm
3.12mm阻燃板基层
4.具体要求及做法：详见设计图纸及建设单位要求</t>
  </si>
  <si>
    <t>1.木格栅墙面
2.50mm*20mm间距为20mm木格栅
3.5mm专用粘结剂
4.具体要求及做法：详见设计图纸及建设单位要求</t>
  </si>
  <si>
    <t>成品木门窗套</t>
  </si>
  <si>
    <t>1.成品木饰面门
2.洞口尺寸为900mm*2100mm
3.具体要求及做法：详见设计图纸及建设单位要求</t>
  </si>
  <si>
    <t>樘</t>
  </si>
  <si>
    <t>玻璃隔断</t>
  </si>
  <si>
    <t>1.成品玻璃隔断采购安装
2.高度为2000mm
3.具体要求及做法：详见设计图纸及建设单位要求</t>
  </si>
  <si>
    <t>衣柜</t>
  </si>
  <si>
    <t>1.成品衣柜采购安装
2.高度为2300mm，厚度为400mm
3.具体要求及做法：详见设计图纸及建设单位要求</t>
  </si>
  <si>
    <t>洗漱台</t>
  </si>
  <si>
    <t>1.成品定制洗漱台采购安装
2.具体要求及做法：详见设计图纸及建设单位要求</t>
  </si>
  <si>
    <t>服务台</t>
  </si>
  <si>
    <t>1.石材服务台制作安装
2.规格为700mm宽，1100mm高，局部为500mm高
3.ST-01黑色石材+ST-02石材
4.12厚阻燃板基层
5.20mm*30mm镀锌方钢
6.成品柜子、抽屉，包含拉手、合页、滑道等五金
7.具体要求及做法：详见设计图纸及建设单位要求</t>
  </si>
  <si>
    <t>1.净高为3.6m以内
2.50系列轻钢龙骨
3.9.5mm厚双层石膏板
4.乳胶漆饰面
5.含灯孔制作安装费
6.含脚手架搭设、拆除及搬运等费用
7.具体要求及做法：详见设计图纸及建设单位要求</t>
  </si>
  <si>
    <t>1.AL-02
2.净高为3.6m以内
3.50系列轻钢龙骨
4.50mm*80mm间距为20mm木格栅
5.含脚手架搭设、拆除及搬运等费用
6.具体要求及做法：详见设计图纸及建设单位要求</t>
  </si>
  <si>
    <t>1.净高为3.6m以内
2.穿孔铝板专用龙骨挂件
3.600*600mm铝扣板
4.含脚手架搭设、拆除及搬运等费用
5.具体要求及做法：详见设计图纸及建设单位要求</t>
  </si>
  <si>
    <t>砌块墙</t>
  </si>
  <si>
    <t>1.新建轻体砖砌筑(置顶)
2.厚度：100mm
3.含脚手架搭设、拆除及搬运等费用
4.具体要求及做法：详见设计图纸及建设单位要求</t>
  </si>
  <si>
    <t>1.新建轻体砖砌筑(置顶)
2.厚度：200mm
3.含脚手架搭设、拆除及搬运等费用
4.具体要求及做法：详见设计图纸及建设单位要求</t>
  </si>
  <si>
    <t>价格清单（洛阳市伊河湾项目高层公区精装装饰工程）（安装部分）</t>
  </si>
  <si>
    <t>工程名称：洛阳市伊河湾项目高层公区精装装饰工程--安装工程</t>
  </si>
  <si>
    <t>配管</t>
  </si>
  <si>
    <t>1.名称:配管
2.材质:JDG
3.规格:20
4.配置形式:暗配
5.未详尽处满足图纸设计、相关规范要求</t>
  </si>
  <si>
    <t>配线</t>
  </si>
  <si>
    <t>1.名称:配线
2.规格:WDZ-BYJ-2.5
3.其它说明:满足图纸、规范和设计要求</t>
  </si>
  <si>
    <t>装饰灯</t>
  </si>
  <si>
    <t>1.名称:内嵌深防眩筒灯（大堂）
2.规格:LEDH100*100*195 Wolt 220V,功率7W,色温3500K,显指95Ra
3.安装部位:首层大堂明装
4.未详尽处满足图纸设计、相关规范要求</t>
  </si>
  <si>
    <t>1.名称:内嵌深防眩筒灯
2.型号:BJ-JD9073E
3.规格:LEDφ85*H95mm Wolt 220V,功率15W,色温3500K,显指95Ra
4.安装方式嵌入式
5.未详尽处满足图纸设计、相关规范要求</t>
  </si>
  <si>
    <t>普通灯具</t>
  </si>
  <si>
    <t>1.名称:型材灯条
2.型号:LD1010
3.规格:W10*H10 Wolt 24V,功率9.6w/m,色温4000K,显指95Ra
4.未详尽处满足图纸设计、相关规范要求</t>
  </si>
  <si>
    <t>1.名称:LED暗藏灯带
2.型号:led2835-120z
3.规格:LED Wolt 24V,功率9.6w/m,色温3500K,显指95Ra
4.未详尽处满足图纸设计、相关规范要求</t>
  </si>
  <si>
    <t>1.名称:明装双头斗胆射灯
2.型号:ESJJG1718
3.规格:LED92*175 Wolt 220V,功率15W,色温3500K,显指95Ra
4.安装方式嵌入式
5.未详尽处满足图纸设计、相关规范要求</t>
  </si>
  <si>
    <t>1.名称:LED硬条灯
2.型号:BJ-CXJG20/20
3.规格:LEDL330*W22*H25mm Wolt 48V,功率20w,色温3500K,显指95Ra
4.未详尽处满足图纸设计、相关规范要求</t>
  </si>
  <si>
    <t>小电器</t>
  </si>
  <si>
    <t>1.名称:单联单控开关
2.规格:250V 10A
3.其它说明:满足图纸、规范和设计要求</t>
  </si>
  <si>
    <t>1.名称:双联单控开关
2.规格:250V 10A
3.其它说明:满足图纸、规范和设计要求</t>
  </si>
  <si>
    <t>1.名称:三联单控开关
2.规格:250V 10A
3.其它说明:满足图纸、规范和设计要求</t>
  </si>
  <si>
    <t>1.名称:四联开关
2.规格:250V 10A
3.未详尽处满足图纸设计、相关规范要求</t>
  </si>
  <si>
    <t>1.名称:成套插座
2.规格:250V 10A
3.未详尽处满足图纸设计、相关规范要求</t>
  </si>
  <si>
    <t>接线盒</t>
  </si>
  <si>
    <t>1.名称:接线盒
2.材质:塑料
3.未详尽处满足图纸设计、相关规范要求</t>
  </si>
  <si>
    <t>1.名称:开关盒
2.材质:塑料
3.未详尽处满足图纸设计、相关规范要求</t>
  </si>
  <si>
    <t>合计（元）</t>
  </si>
  <si>
    <t>价格清单（洛阳市伊河湾项目洋房公区精装装饰工程）（安装部分）</t>
  </si>
  <si>
    <t>工程名称：洛阳市伊河湾项目洋房公区精装装饰工程--安装工程</t>
  </si>
  <si>
    <t>1.名称:内嵌深防眩筒灯
2.型号:BJ-JD9073E                                3.规格:LEDφ85*H95mm Wolt 220V,功率15W,色温3500K,显指95Ra
3.安装方式:嵌入式
4.未详尽处满足图纸设计、相关规范要求</t>
  </si>
  <si>
    <t>1.名称:A型消防应急灯-安全出口
2.规格:220V
3.未详尽处满足图纸设计、相关规范要求</t>
  </si>
  <si>
    <t>安防</t>
  </si>
  <si>
    <t>1.名称:配管
2.材质:JDG
3.规格:25
4.配置形式:暗配
5.未详尽处满足图纸设计、相关规范要求</t>
  </si>
  <si>
    <t>1.名称:配线
2.配线形式:穿管
3.型号:UTP5E
4.未详尽处满足图纸设计、相关规范要求</t>
  </si>
  <si>
    <t>1.名称:配线
2.配线形式:穿管
3.型号:RVV2*1.0
4.未详尽处满足图纸设计、相关规范要求</t>
  </si>
  <si>
    <t>监控摄像设备</t>
  </si>
  <si>
    <t>1.名称:红外半球网络摄像机
2.规格:200万像素
3.安装方式:顶装
4.未详尽处满足图纸设计、相关规范要求</t>
  </si>
  <si>
    <t>价格清单（伊河湾项目高层公区精装装饰工程2#楼架空层--安装）（装饰部分）</t>
  </si>
  <si>
    <t>工程名称：伊河湾项目架空层公区精装装饰工程--安装</t>
  </si>
  <si>
    <t>电气工程小计（元）</t>
  </si>
  <si>
    <t>1.名称:平板灯
2.规格:600*600
4.安装方式：吸顶安装
5.未详尽处满足图纸设计、相关规范要求</t>
  </si>
  <si>
    <t>价格清单（伊河湾项目架空层门头装饰工程）（装饰部分）</t>
  </si>
  <si>
    <t>工程名称：伊河湾项目架空层门头装饰工程-装饰工程</t>
  </si>
  <si>
    <t>银灰色铝单板造型</t>
  </si>
  <si>
    <t>1、门头标高4.9m处3mm氟碳漆银灰色铝单板造型
2、50*50*5镀锌方钢，做防腐防锈处理，L50*50*5镀锌角钢预埋件，做防腐防锈处理
3、做法详见PL-03-A/B,PL-04-F
4、具体施工技术要求根据现场工程要求施工，满足规范和设计图纸要求</t>
  </si>
  <si>
    <t>m2</t>
  </si>
  <si>
    <t>香槟金铝单板造型</t>
  </si>
  <si>
    <t>1、门头标高4.15m处3mm氟碳漆银灰色铝单板造型
2、50*50*5镀锌方钢，做防腐防锈处理，L50*50*5镀锌角钢预埋件，做防腐防锈处理
3、做法详见PL-03-A/B,PL-04-F
4、具体施工技术要求根据现场工程要求施工，满足规范和设计图纸要求</t>
  </si>
  <si>
    <t>1、墙面3mm氟碳漆银灰色铝单板造型
2、50*50*5镀锌方钢，做防腐防锈处理，L50*50*5镀锌角钢预埋件，做防腐防锈处理
3、做法详见PL-03-C/D,PL-04-E
4、具体施工技术要求根据现场工程要求施工，满足规范和设计图纸要求</t>
  </si>
  <si>
    <t>1、墙面3mm氟碳漆香槟金铝单板造型
2、50*50*5镀锌方钢，做防腐防锈处理，L50*50*5镀锌角钢预埋件，做防腐防锈处理
3、做法详见PL-03-C/D,PL-04-E
4、具体施工技术要求根据现场工程要求施工，满足规范和设计图纸要求</t>
  </si>
  <si>
    <t>1、墙面3mm氟碳漆香槟金铝单板30*50MM凹凸造型，工程量按投影面积计取
2、50*50*5镀锌方钢，做防腐防锈处理L50*50*5镀锌角钢预埋件，做防腐防锈处理
3、做法详见PL-03-D
4、具体施工技术要求根据现场工程要求施工，满足规范和设计图纸要求</t>
  </si>
  <si>
    <t>发光字体</t>
  </si>
  <si>
    <t>1、透光亚克力字体，高度300mm，字体大小按比例制作</t>
  </si>
  <si>
    <t>套</t>
  </si>
  <si>
    <t>架空层装饰</t>
  </si>
  <si>
    <t>1、门头标高2.9m处3mm氟碳漆银灰色铝单板造型+50mm宽排水槽,
2、50*50*5镀锌方钢，做防腐防锈处理，L50*50*5镀锌角钢预埋件，做防腐防锈处理
3、详见PL-04-A/C
4、具体施工技术要求根据现场工程要求施工，满足规范和设计图纸要求</t>
  </si>
  <si>
    <t>1、门头标高2.4m处3mm氟碳漆银灰色铝单板造型
2、50*50*5镀锌方钢，做防腐防锈处理，L50*50*5镀锌角钢预埋件，做防腐防锈处理
3、详见PL-04-A/C
4、具体施工技术要求根据现场工程要求施工，满足规范和设计图纸要求</t>
  </si>
  <si>
    <t>1、墙面3mm氟碳漆银灰色铝单板造型
2、50*50*5镀锌方钢，做防腐防锈处理，L50*50*5镀锌角钢预埋件，做防腐防锈处理
3、做法详见PL-04-B/D
4、具体施工技术要求根据现场工程要求施工，满足规范和设计图纸要求</t>
  </si>
  <si>
    <t>银灰色铝单板包边</t>
  </si>
  <si>
    <t>1、墙面3mm氟碳漆银灰色铝单板包边
2、做法详见图纸
3、具体施工技术要求根据现场工程要求施工，满足规范和设计图纸要求</t>
  </si>
  <si>
    <t>1、12mm钢化玻璃
2、做法详见图纸
3、具体施工技术要求根据现场工程要求施工，满足规范和设计图纸要求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</si>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</sst>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Red]0.00"/>
  </numFmts>
  <fonts count="42">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sz val="9"/>
      <name val="宋体"/>
      <charset val="134"/>
      <scheme val="minor"/>
    </font>
    <font>
      <sz val="10"/>
      <name val="宋体"/>
      <charset val="134"/>
      <scheme val="minor"/>
    </font>
    <font>
      <b/>
      <sz val="10"/>
      <name val="宋体"/>
      <charset val="134"/>
    </font>
    <font>
      <sz val="12"/>
      <name val="宋体"/>
      <charset val="134"/>
    </font>
    <font>
      <b/>
      <sz val="16"/>
      <name val="宋体"/>
      <charset val="134"/>
    </font>
    <font>
      <sz val="10"/>
      <color theme="1"/>
      <name val="微软雅黑"/>
      <charset val="134"/>
    </font>
    <font>
      <sz val="10"/>
      <name val="微软雅黑"/>
      <charset val="134"/>
    </font>
    <font>
      <b/>
      <sz val="10"/>
      <color theme="1"/>
      <name val="微软雅黑"/>
      <charset val="134"/>
    </font>
    <font>
      <sz val="10"/>
      <color rgb="FFFF0000"/>
      <name val="微软雅黑"/>
      <charset val="134"/>
    </font>
    <font>
      <sz val="10"/>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3" borderId="7" applyNumberFormat="0" applyAlignment="0" applyProtection="0">
      <alignment vertical="center"/>
    </xf>
    <xf numFmtId="0" fontId="28" fillId="4" borderId="8" applyNumberFormat="0" applyAlignment="0" applyProtection="0">
      <alignment vertical="center"/>
    </xf>
    <xf numFmtId="0" fontId="29" fillId="4" borderId="7" applyNumberFormat="0" applyAlignment="0" applyProtection="0">
      <alignment vertical="center"/>
    </xf>
    <xf numFmtId="0" fontId="30" fillId="5"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1" fillId="0" borderId="0">
      <alignment vertical="center"/>
    </xf>
    <xf numFmtId="0" fontId="11" fillId="0" borderId="0">
      <alignment vertical="center"/>
    </xf>
    <xf numFmtId="0" fontId="18" fillId="0" borderId="0">
      <alignment vertical="center"/>
    </xf>
    <xf numFmtId="0" fontId="11" fillId="0" borderId="0">
      <alignment vertical="center"/>
    </xf>
    <xf numFmtId="0" fontId="1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alignment vertical="center"/>
    </xf>
    <xf numFmtId="176" fontId="39" fillId="0" borderId="1">
      <alignment horizontal="right" vertical="center" wrapText="1"/>
    </xf>
    <xf numFmtId="0" fontId="11" fillId="0" borderId="0">
      <alignment vertical="center"/>
    </xf>
    <xf numFmtId="0" fontId="11" fillId="0" borderId="0">
      <alignment vertical="center"/>
    </xf>
    <xf numFmtId="0" fontId="11" fillId="0" borderId="0">
      <alignment vertical="center"/>
    </xf>
    <xf numFmtId="0" fontId="40" fillId="0" borderId="0"/>
    <xf numFmtId="0" fontId="18" fillId="0" borderId="0">
      <alignment vertical="center"/>
    </xf>
    <xf numFmtId="0" fontId="1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8" fillId="0" borderId="0">
      <alignment vertical="center"/>
    </xf>
    <xf numFmtId="176" fontId="39" fillId="0" borderId="1">
      <alignment horizontal="right" vertical="center" wrapText="1"/>
    </xf>
    <xf numFmtId="0" fontId="18" fillId="0" borderId="0">
      <alignment vertical="center"/>
    </xf>
    <xf numFmtId="0" fontId="11" fillId="0" borderId="0"/>
    <xf numFmtId="0" fontId="39" fillId="0" borderId="0" applyProtection="0">
      <alignment vertical="center"/>
    </xf>
    <xf numFmtId="0" fontId="4" fillId="0" borderId="0"/>
    <xf numFmtId="0" fontId="11" fillId="0" borderId="0">
      <alignment vertical="center"/>
    </xf>
    <xf numFmtId="0" fontId="38" fillId="0" borderId="0"/>
    <xf numFmtId="0" fontId="11" fillId="0" borderId="0" applyBorder="0"/>
  </cellStyleXfs>
  <cellXfs count="7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Alignment="1">
      <alignment horizontal="left"/>
    </xf>
    <xf numFmtId="0" fontId="4" fillId="0" borderId="0" xfId="81" applyFont="1" applyFill="1" applyAlignment="1">
      <alignment horizontal="left"/>
    </xf>
    <xf numFmtId="176" fontId="4" fillId="0" borderId="0" xfId="81" applyNumberFormat="1" applyFont="1" applyFill="1" applyAlignment="1">
      <alignment horizontal="center"/>
    </xf>
    <xf numFmtId="176" fontId="4" fillId="0" borderId="0" xfId="81" applyNumberFormat="1" applyFont="1" applyFill="1" applyAlignment="1">
      <alignment horizontal="left"/>
    </xf>
    <xf numFmtId="0" fontId="4" fillId="0" borderId="0" xfId="81" applyFont="1" applyFill="1" applyAlignment="1">
      <alignment horizontal="center" vertical="center" wrapText="1"/>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left" vertical="center" wrapText="1"/>
    </xf>
    <xf numFmtId="176" fontId="6" fillId="0" borderId="1" xfId="81" applyNumberFormat="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0" fontId="7" fillId="0" borderId="1" xfId="8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pplyProtection="1">
      <alignment horizontal="center" vertical="center" wrapText="1"/>
    </xf>
    <xf numFmtId="176" fontId="6" fillId="0" borderId="0" xfId="81" applyNumberFormat="1" applyFont="1" applyFill="1" applyAlignment="1">
      <alignment horizontal="left" vertical="center" wrapText="1"/>
    </xf>
    <xf numFmtId="176" fontId="6" fillId="0" borderId="1" xfId="81" applyNumberFormat="1" applyFont="1" applyFill="1" applyBorder="1" applyAlignment="1">
      <alignment horizontal="left" vertical="center" wrapText="1"/>
    </xf>
    <xf numFmtId="176" fontId="6" fillId="0" borderId="1" xfId="81" applyNumberFormat="1" applyFont="1" applyFill="1" applyBorder="1" applyAlignment="1">
      <alignment horizontal="right" vertical="center" wrapText="1"/>
    </xf>
    <xf numFmtId="177" fontId="6" fillId="0" borderId="1" xfId="81" applyNumberFormat="1" applyFont="1" applyFill="1" applyBorder="1" applyAlignment="1">
      <alignment horizontal="right" vertical="center" wrapText="1"/>
    </xf>
    <xf numFmtId="176" fontId="2" fillId="0" borderId="1" xfId="0" applyNumberFormat="1" applyFont="1" applyFill="1" applyBorder="1" applyAlignment="1" applyProtection="1">
      <alignment horizontal="left" vertical="center" wrapText="1"/>
    </xf>
    <xf numFmtId="0" fontId="8" fillId="0" borderId="0" xfId="81" applyFont="1" applyFill="1" applyAlignment="1">
      <alignment horizontal="center" vertical="center" wrapText="1"/>
    </xf>
    <xf numFmtId="10" fontId="6" fillId="0" borderId="1"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9" fontId="6" fillId="0" borderId="1" xfId="3" applyNumberFormat="1" applyFont="1" applyFill="1" applyBorder="1" applyAlignment="1" applyProtection="1">
      <alignment horizontal="center" vertical="center" wrapText="1"/>
    </xf>
    <xf numFmtId="0" fontId="8" fillId="0" borderId="0" xfId="81" applyFont="1" applyFill="1" applyAlignment="1">
      <alignment horizontal="left"/>
    </xf>
    <xf numFmtId="0" fontId="9" fillId="0" borderId="0" xfId="81" applyFont="1" applyFill="1" applyBorder="1" applyAlignment="1"/>
    <xf numFmtId="0" fontId="8" fillId="0" borderId="0" xfId="81" applyFont="1" applyFill="1" applyBorder="1" applyAlignment="1">
      <alignment horizontal="left" vertical="center"/>
    </xf>
    <xf numFmtId="0" fontId="2" fillId="0" borderId="1" xfId="8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81" applyFont="1" applyFill="1" applyBorder="1" applyAlignment="1">
      <alignment horizontal="left" vertical="center" wrapText="1"/>
    </xf>
    <xf numFmtId="0" fontId="6" fillId="0" borderId="1" xfId="81" applyFont="1" applyFill="1" applyBorder="1" applyAlignment="1">
      <alignment horizontal="center" vertical="center" wrapText="1"/>
    </xf>
    <xf numFmtId="0" fontId="6" fillId="0" borderId="1" xfId="81" applyNumberFormat="1" applyFont="1" applyFill="1" applyBorder="1" applyAlignment="1">
      <alignment horizontal="center" vertical="center" wrapText="1"/>
    </xf>
    <xf numFmtId="0" fontId="2" fillId="0" borderId="1" xfId="62" applyFont="1" applyFill="1" applyBorder="1" applyAlignment="1">
      <alignment horizontal="left" vertical="center" wrapText="1"/>
    </xf>
    <xf numFmtId="0" fontId="8" fillId="0" borderId="1" xfId="81" applyFont="1" applyFill="1" applyBorder="1" applyAlignment="1">
      <alignment horizontal="center" vertical="center"/>
    </xf>
    <xf numFmtId="0" fontId="10" fillId="0" borderId="1" xfId="81" applyFont="1" applyFill="1" applyBorder="1" applyAlignment="1">
      <alignment horizontal="left" vertical="center" wrapText="1"/>
    </xf>
    <xf numFmtId="176" fontId="8" fillId="0" borderId="1" xfId="0" applyNumberFormat="1" applyFont="1" applyFill="1" applyBorder="1" applyAlignment="1">
      <alignment horizontal="center" vertical="center"/>
    </xf>
    <xf numFmtId="176" fontId="8" fillId="0" borderId="1" xfId="81" applyNumberFormat="1" applyFont="1" applyFill="1" applyBorder="1" applyAlignment="1">
      <alignment horizontal="center" vertical="center"/>
    </xf>
    <xf numFmtId="0" fontId="9" fillId="0" borderId="1" xfId="81" applyFont="1" applyFill="1" applyBorder="1" applyAlignment="1">
      <alignment vertical="center" wrapText="1"/>
    </xf>
    <xf numFmtId="0" fontId="8" fillId="0" borderId="1" xfId="81" applyFont="1" applyFill="1" applyBorder="1" applyAlignment="1">
      <alignment horizontal="center" vertical="center" wrapText="1"/>
    </xf>
    <xf numFmtId="0" fontId="8" fillId="0" borderId="0" xfId="81" applyFont="1" applyFill="1" applyAlignment="1">
      <alignment horizontal="center"/>
    </xf>
    <xf numFmtId="176" fontId="8" fillId="0" borderId="0" xfId="81" applyNumberFormat="1" applyFont="1" applyFill="1" applyAlignment="1">
      <alignment horizontal="center"/>
    </xf>
    <xf numFmtId="0" fontId="10" fillId="0" borderId="1" xfId="0" applyFont="1" applyFill="1" applyBorder="1" applyAlignment="1">
      <alignment horizontal="left" vertical="center" wrapText="1"/>
    </xf>
    <xf numFmtId="0" fontId="6" fillId="0" borderId="0" xfId="81" applyFont="1" applyFill="1" applyAlignment="1">
      <alignment horizontal="center" vertical="center" wrapText="1"/>
    </xf>
    <xf numFmtId="0" fontId="6" fillId="0" borderId="1" xfId="81" applyFont="1" applyFill="1" applyBorder="1" applyAlignment="1">
      <alignment horizontal="center" vertical="center"/>
    </xf>
    <xf numFmtId="176" fontId="5" fillId="0" borderId="0" xfId="81" applyNumberFormat="1" applyFont="1" applyFill="1" applyAlignment="1">
      <alignment horizontal="left" vertical="center" wrapText="1"/>
    </xf>
    <xf numFmtId="9" fontId="6" fillId="0" borderId="1" xfId="3" applyFont="1" applyFill="1" applyBorder="1" applyAlignment="1" applyProtection="1">
      <alignment horizontal="center" vertical="center" wrapText="1"/>
    </xf>
    <xf numFmtId="0" fontId="11" fillId="0" borderId="0" xfId="0" applyFont="1" applyFill="1" applyBorder="1" applyAlignment="1">
      <alignment vertical="center"/>
    </xf>
    <xf numFmtId="0" fontId="0" fillId="0" borderId="0" xfId="0" applyFill="1" applyAlignment="1">
      <alignment horizontal="center"/>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 name="常规 2 3" xfId="82"/>
    <cellStyle name="常规 2 2 2" xfId="83"/>
    <cellStyle name="常规_Sheet2" xfId="84"/>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607685" cy="84391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48005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1"/>
  <sheetViews>
    <sheetView view="pageBreakPreview" zoomScaleNormal="100" workbookViewId="0">
      <selection activeCell="Q12" sqref="Q12"/>
    </sheetView>
  </sheetViews>
  <sheetFormatPr defaultColWidth="9" defaultRowHeight="25" customHeight="1"/>
  <cols>
    <col min="1" max="1" width="5.28571428571429" style="20" customWidth="1"/>
    <col min="2" max="2" width="17.4285714285714" style="20" customWidth="1"/>
    <col min="3" max="3" width="38.1428571428571" style="20" customWidth="1"/>
    <col min="4" max="4" width="6.42857142857143" style="20" customWidth="1"/>
    <col min="5" max="5" width="9.16190476190476" style="21" customWidth="1"/>
    <col min="6" max="13" width="9.16190476190476" style="21" hidden="1" customWidth="1" outlineLevel="1"/>
    <col min="14" max="14" width="7.28571428571429" style="22" customWidth="1" collapsed="1"/>
    <col min="15" max="15" width="11.0857142857143" style="22" customWidth="1"/>
    <col min="16" max="16" width="7.37142857142857" style="22" customWidth="1"/>
    <col min="17" max="17" width="5.85714285714286" style="22" customWidth="1"/>
    <col min="18" max="18" width="8.69523809523809" style="22" customWidth="1"/>
    <col min="19" max="19" width="8.57142857142857" style="22" customWidth="1"/>
    <col min="20" max="20" width="8.14285714285714" style="22" customWidth="1"/>
    <col min="21" max="21" width="10.1142857142857" style="22" customWidth="1"/>
    <col min="22" max="22" width="11.1714285714286" style="22" customWidth="1"/>
    <col min="23" max="23" width="8.57142857142857" style="20" customWidth="1"/>
    <col min="24" max="24" width="12.2857142857143" style="23" customWidth="1"/>
    <col min="25" max="26" width="11" style="20"/>
    <col min="27" max="16384" width="9" style="20"/>
  </cols>
  <sheetData>
    <row r="1" s="19" customFormat="1" customHeight="1" spans="1:28">
      <c r="A1" s="24" t="s">
        <v>170</v>
      </c>
      <c r="B1" s="24"/>
      <c r="C1" s="24"/>
      <c r="D1" s="24"/>
      <c r="E1" s="25"/>
      <c r="F1" s="25"/>
      <c r="G1" s="25"/>
      <c r="H1" s="25"/>
      <c r="I1" s="25"/>
      <c r="J1" s="25"/>
      <c r="K1" s="25"/>
      <c r="L1" s="25"/>
      <c r="M1" s="25"/>
      <c r="N1" s="25"/>
      <c r="O1" s="25"/>
      <c r="P1" s="25"/>
      <c r="Q1" s="25"/>
      <c r="R1" s="25"/>
      <c r="S1" s="25"/>
      <c r="T1" s="25"/>
      <c r="U1" s="25"/>
      <c r="V1" s="25"/>
      <c r="W1" s="24"/>
      <c r="X1" s="41"/>
      <c r="Y1" s="45"/>
      <c r="Z1" s="45"/>
      <c r="AA1" s="45"/>
      <c r="AB1" s="45"/>
    </row>
    <row r="2" s="19" customFormat="1" customHeight="1" spans="1:28">
      <c r="A2" s="26" t="s">
        <v>171</v>
      </c>
      <c r="B2" s="26"/>
      <c r="C2" s="26"/>
      <c r="D2" s="26"/>
      <c r="E2" s="27"/>
      <c r="F2" s="27"/>
      <c r="G2" s="27"/>
      <c r="H2" s="27"/>
      <c r="I2" s="27"/>
      <c r="J2" s="27"/>
      <c r="K2" s="27"/>
      <c r="L2" s="27"/>
      <c r="M2" s="27"/>
      <c r="N2" s="36"/>
      <c r="O2" s="36"/>
      <c r="P2" s="36"/>
      <c r="Q2" s="36"/>
      <c r="R2" s="36"/>
      <c r="S2" s="36"/>
      <c r="T2" s="36"/>
      <c r="U2" s="36"/>
      <c r="V2" s="36"/>
      <c r="W2" s="26"/>
      <c r="X2" s="41"/>
      <c r="Y2" s="45"/>
      <c r="Z2" s="45"/>
      <c r="AA2" s="45"/>
      <c r="AB2" s="45"/>
    </row>
    <row r="3" s="19" customFormat="1" customHeight="1" spans="1:28">
      <c r="A3" s="28" t="s">
        <v>24</v>
      </c>
      <c r="B3" s="28" t="s">
        <v>25</v>
      </c>
      <c r="C3" s="28" t="s">
        <v>26</v>
      </c>
      <c r="D3" s="28" t="s">
        <v>3</v>
      </c>
      <c r="E3" s="29" t="s">
        <v>27</v>
      </c>
      <c r="F3" s="30" t="s">
        <v>28</v>
      </c>
      <c r="G3" s="30" t="s">
        <v>29</v>
      </c>
      <c r="H3" s="30" t="s">
        <v>30</v>
      </c>
      <c r="I3" s="30" t="s">
        <v>100</v>
      </c>
      <c r="J3" s="30" t="s">
        <v>31</v>
      </c>
      <c r="K3" s="30" t="s">
        <v>101</v>
      </c>
      <c r="L3" s="30" t="s">
        <v>102</v>
      </c>
      <c r="M3" s="30" t="s">
        <v>103</v>
      </c>
      <c r="N3" s="37" t="s">
        <v>32</v>
      </c>
      <c r="O3" s="37"/>
      <c r="P3" s="37"/>
      <c r="Q3" s="37"/>
      <c r="R3" s="37"/>
      <c r="S3" s="37"/>
      <c r="T3" s="37"/>
      <c r="U3" s="37" t="s">
        <v>33</v>
      </c>
      <c r="V3" s="37" t="s">
        <v>34</v>
      </c>
      <c r="W3" s="28" t="s">
        <v>35</v>
      </c>
      <c r="X3" s="41"/>
      <c r="Y3" s="45"/>
      <c r="Z3" s="45"/>
      <c r="AA3" s="45"/>
      <c r="AB3" s="45"/>
    </row>
    <row r="4" s="19" customFormat="1" customHeight="1" spans="1:28">
      <c r="A4" s="28"/>
      <c r="B4" s="28"/>
      <c r="C4" s="28"/>
      <c r="D4" s="28"/>
      <c r="E4" s="29"/>
      <c r="F4" s="31"/>
      <c r="G4" s="31"/>
      <c r="H4" s="31"/>
      <c r="I4" s="31"/>
      <c r="J4" s="31"/>
      <c r="K4" s="31"/>
      <c r="L4" s="31"/>
      <c r="M4" s="31"/>
      <c r="N4" s="37" t="s">
        <v>36</v>
      </c>
      <c r="O4" s="37" t="s">
        <v>37</v>
      </c>
      <c r="P4" s="37" t="s">
        <v>38</v>
      </c>
      <c r="Q4" s="37" t="s">
        <v>39</v>
      </c>
      <c r="R4" s="37" t="s">
        <v>40</v>
      </c>
      <c r="S4" s="37" t="s">
        <v>41</v>
      </c>
      <c r="T4" s="37" t="s">
        <v>42</v>
      </c>
      <c r="U4" s="37"/>
      <c r="V4" s="37"/>
      <c r="W4" s="28"/>
      <c r="X4" s="41"/>
      <c r="Y4" s="45"/>
      <c r="Z4" s="45"/>
      <c r="AA4" s="45"/>
      <c r="AB4" s="45"/>
    </row>
    <row r="5" s="19" customFormat="1" customHeight="1" spans="1:28">
      <c r="A5" s="28"/>
      <c r="B5" s="28"/>
      <c r="C5" s="28"/>
      <c r="D5" s="28"/>
      <c r="E5" s="29"/>
      <c r="F5" s="29"/>
      <c r="G5" s="29"/>
      <c r="H5" s="29"/>
      <c r="I5" s="29"/>
      <c r="J5" s="29"/>
      <c r="K5" s="29"/>
      <c r="L5" s="29"/>
      <c r="M5" s="29"/>
      <c r="N5" s="37"/>
      <c r="O5" s="37" t="s">
        <v>43</v>
      </c>
      <c r="P5" s="37" t="s">
        <v>44</v>
      </c>
      <c r="Q5" s="37" t="s">
        <v>45</v>
      </c>
      <c r="R5" s="37"/>
      <c r="S5" s="42">
        <v>0.1</v>
      </c>
      <c r="T5" s="42">
        <v>0.09</v>
      </c>
      <c r="U5" s="37"/>
      <c r="V5" s="37"/>
      <c r="W5" s="28"/>
      <c r="X5" s="41"/>
      <c r="Y5" s="45"/>
      <c r="Z5" s="45"/>
      <c r="AA5" s="45"/>
      <c r="AB5" s="45"/>
    </row>
    <row r="6" s="19" customFormat="1" customHeight="1" spans="1:28">
      <c r="A6" s="28"/>
      <c r="B6" s="32" t="s">
        <v>20</v>
      </c>
      <c r="C6" s="28"/>
      <c r="D6" s="28"/>
      <c r="E6" s="29"/>
      <c r="F6" s="29"/>
      <c r="G6" s="29"/>
      <c r="H6" s="29"/>
      <c r="I6" s="29"/>
      <c r="J6" s="29"/>
      <c r="K6" s="29"/>
      <c r="L6" s="29"/>
      <c r="M6" s="29"/>
      <c r="N6" s="38"/>
      <c r="O6" s="38"/>
      <c r="P6" s="38"/>
      <c r="Q6" s="43"/>
      <c r="R6" s="38"/>
      <c r="S6" s="38"/>
      <c r="T6" s="38"/>
      <c r="U6" s="38"/>
      <c r="V6" s="38"/>
      <c r="W6" s="37"/>
      <c r="X6" s="41"/>
      <c r="Y6" s="45"/>
      <c r="Z6" s="45"/>
      <c r="AA6" s="45"/>
      <c r="AB6" s="45"/>
    </row>
    <row r="7" s="19" customFormat="1" ht="74" customHeight="1" spans="1:28">
      <c r="A7" s="28">
        <v>1</v>
      </c>
      <c r="B7" s="28" t="s">
        <v>172</v>
      </c>
      <c r="C7" s="28" t="s">
        <v>173</v>
      </c>
      <c r="D7" s="28" t="s">
        <v>174</v>
      </c>
      <c r="E7" s="29">
        <f t="shared" ref="E7:E12" si="0">SUM(F7:M7)</f>
        <v>352.126300024353</v>
      </c>
      <c r="F7" s="29">
        <v>26.70003167</v>
      </c>
      <c r="G7" s="29">
        <f>26.70003167*2</f>
        <v>53.40006334</v>
      </c>
      <c r="H7" s="29">
        <f>26.70003167*1.2</f>
        <v>32.040038004</v>
      </c>
      <c r="I7" s="29">
        <v>43.9765227505882</v>
      </c>
      <c r="J7" s="29">
        <f>26.70003167*2.4</f>
        <v>64.080076008</v>
      </c>
      <c r="K7" s="29">
        <v>43.9765227505882</v>
      </c>
      <c r="L7" s="29">
        <v>43.9765227505882</v>
      </c>
      <c r="M7" s="29">
        <v>43.9765227505882</v>
      </c>
      <c r="N7" s="39">
        <v>160</v>
      </c>
      <c r="O7" s="38">
        <f t="shared" ref="O7:O12" si="1">P7*(1+Q7)</f>
        <v>262.5</v>
      </c>
      <c r="P7" s="39">
        <v>250</v>
      </c>
      <c r="Q7" s="44">
        <v>0.05</v>
      </c>
      <c r="R7" s="38">
        <v>100</v>
      </c>
      <c r="S7" s="38">
        <f>(N7+O7+R7)*$S$5</f>
        <v>52.25</v>
      </c>
      <c r="T7" s="38">
        <f>(N7+O7+R7+S7)*$T$5</f>
        <v>51.7275</v>
      </c>
      <c r="U7" s="38">
        <f t="shared" ref="U7:U12" si="2">N7+O7+R7+S7+T7</f>
        <v>626.4775</v>
      </c>
      <c r="V7" s="38">
        <f>U7*E7</f>
        <v>220599.204123506</v>
      </c>
      <c r="W7" s="37"/>
      <c r="X7" s="41"/>
      <c r="Y7" s="45"/>
      <c r="Z7" s="45"/>
      <c r="AA7" s="45"/>
      <c r="AB7" s="45"/>
    </row>
    <row r="8" s="19" customFormat="1" ht="74" customHeight="1" spans="1:28">
      <c r="A8" s="28">
        <v>2</v>
      </c>
      <c r="B8" s="28" t="s">
        <v>175</v>
      </c>
      <c r="C8" s="28" t="s">
        <v>176</v>
      </c>
      <c r="D8" s="28" t="s">
        <v>174</v>
      </c>
      <c r="E8" s="29">
        <f t="shared" si="0"/>
        <v>157.3460777376</v>
      </c>
      <c r="F8" s="29">
        <v>12.14090106</v>
      </c>
      <c r="G8" s="29">
        <f>12.14090106*2</f>
        <v>24.28180212</v>
      </c>
      <c r="H8" s="29">
        <f>12.14090106</f>
        <v>12.14090106</v>
      </c>
      <c r="I8" s="29">
        <f>F8*0.82*2</f>
        <v>19.9110777384</v>
      </c>
      <c r="J8" s="29">
        <f>12.14090106*2.4</f>
        <v>29.138162544</v>
      </c>
      <c r="K8" s="29">
        <f t="shared" ref="K8:K11" si="3">H8*0.82*2</f>
        <v>19.9110777384</v>
      </c>
      <c r="L8" s="29">
        <v>19.9110777384</v>
      </c>
      <c r="M8" s="29">
        <v>19.9110777384</v>
      </c>
      <c r="N8" s="39">
        <v>160</v>
      </c>
      <c r="O8" s="38">
        <f t="shared" si="1"/>
        <v>262.5</v>
      </c>
      <c r="P8" s="39">
        <v>250</v>
      </c>
      <c r="Q8" s="44">
        <v>0.05</v>
      </c>
      <c r="R8" s="38">
        <v>100</v>
      </c>
      <c r="S8" s="38">
        <f>(N8+O8+R8)*$S$5</f>
        <v>52.25</v>
      </c>
      <c r="T8" s="38">
        <f>(N8+O8+R8+S8)*$T$5</f>
        <v>51.7275</v>
      </c>
      <c r="U8" s="38">
        <f t="shared" si="2"/>
        <v>626.4775</v>
      </c>
      <c r="V8" s="38">
        <f t="shared" ref="V8:V19" si="4">U8*E8</f>
        <v>98573.7774158573</v>
      </c>
      <c r="W8" s="37"/>
      <c r="X8" s="41"/>
      <c r="Y8" s="45"/>
      <c r="Z8" s="45"/>
      <c r="AA8" s="45"/>
      <c r="AB8" s="45"/>
    </row>
    <row r="9" s="19" customFormat="1" ht="72" customHeight="1" spans="1:28">
      <c r="A9" s="28">
        <v>3</v>
      </c>
      <c r="B9" s="28" t="s">
        <v>172</v>
      </c>
      <c r="C9" s="28" t="s">
        <v>177</v>
      </c>
      <c r="D9" s="28" t="s">
        <v>174</v>
      </c>
      <c r="E9" s="29">
        <f t="shared" si="0"/>
        <v>155.381976</v>
      </c>
      <c r="F9" s="29">
        <v>11.98935</v>
      </c>
      <c r="G9" s="29">
        <f>11.98935*2</f>
        <v>23.9787</v>
      </c>
      <c r="H9" s="29">
        <f>11.98935</f>
        <v>11.98935</v>
      </c>
      <c r="I9" s="29">
        <f>F9*0.82*2</f>
        <v>19.662534</v>
      </c>
      <c r="J9" s="29">
        <f>11.98935*2.4</f>
        <v>28.77444</v>
      </c>
      <c r="K9" s="29">
        <f t="shared" si="3"/>
        <v>19.662534</v>
      </c>
      <c r="L9" s="29">
        <v>19.662534</v>
      </c>
      <c r="M9" s="29">
        <v>19.662534</v>
      </c>
      <c r="N9" s="39">
        <v>150</v>
      </c>
      <c r="O9" s="38">
        <f t="shared" si="1"/>
        <v>262.5</v>
      </c>
      <c r="P9" s="39">
        <v>250</v>
      </c>
      <c r="Q9" s="44">
        <v>0.05</v>
      </c>
      <c r="R9" s="38">
        <v>100</v>
      </c>
      <c r="S9" s="38">
        <f>(N9+O9+R9)*$S$5</f>
        <v>51.25</v>
      </c>
      <c r="T9" s="38">
        <f>(N9+O9+R9+S9)*$T$5</f>
        <v>50.7375</v>
      </c>
      <c r="U9" s="38">
        <f t="shared" si="2"/>
        <v>614.4875</v>
      </c>
      <c r="V9" s="38">
        <f t="shared" si="4"/>
        <v>95480.2819773</v>
      </c>
      <c r="W9" s="37"/>
      <c r="X9" s="41"/>
      <c r="Y9" s="45"/>
      <c r="Z9" s="45"/>
      <c r="AA9" s="45"/>
      <c r="AB9" s="45"/>
    </row>
    <row r="10" s="19" customFormat="1" ht="75" customHeight="1" spans="1:28">
      <c r="A10" s="28">
        <v>4</v>
      </c>
      <c r="B10" s="28" t="s">
        <v>175</v>
      </c>
      <c r="C10" s="28" t="s">
        <v>178</v>
      </c>
      <c r="D10" s="28" t="s">
        <v>174</v>
      </c>
      <c r="E10" s="29">
        <f t="shared" si="0"/>
        <v>181.196664</v>
      </c>
      <c r="F10" s="29">
        <v>11.3817</v>
      </c>
      <c r="G10" s="29">
        <f>11.3817*2</f>
        <v>22.7634</v>
      </c>
      <c r="H10" s="29">
        <f>11.3817*1.5</f>
        <v>17.07255</v>
      </c>
      <c r="I10" s="29">
        <f>F10*0.82*2</f>
        <v>18.665988</v>
      </c>
      <c r="J10" s="29">
        <f>11.3817*2.4</f>
        <v>27.31608</v>
      </c>
      <c r="K10" s="29">
        <f t="shared" si="3"/>
        <v>27.998982</v>
      </c>
      <c r="L10" s="29">
        <v>27.998982</v>
      </c>
      <c r="M10" s="29">
        <v>27.998982</v>
      </c>
      <c r="N10" s="39">
        <v>150</v>
      </c>
      <c r="O10" s="38">
        <f t="shared" si="1"/>
        <v>262.5</v>
      </c>
      <c r="P10" s="39">
        <v>250</v>
      </c>
      <c r="Q10" s="44">
        <v>0.05</v>
      </c>
      <c r="R10" s="38">
        <v>100</v>
      </c>
      <c r="S10" s="38">
        <f>(N10+O10+R10)*$S$5</f>
        <v>51.25</v>
      </c>
      <c r="T10" s="38">
        <f>(N10+O10+R10+S10)*$T$5</f>
        <v>50.7375</v>
      </c>
      <c r="U10" s="38">
        <f t="shared" si="2"/>
        <v>614.4875</v>
      </c>
      <c r="V10" s="38">
        <f t="shared" si="4"/>
        <v>111343.0850697</v>
      </c>
      <c r="W10" s="37"/>
      <c r="X10" s="41"/>
      <c r="Y10" s="45"/>
      <c r="Z10" s="45"/>
      <c r="AA10" s="45"/>
      <c r="AB10" s="45"/>
    </row>
    <row r="11" s="19" customFormat="1" ht="91" customHeight="1" spans="1:28">
      <c r="A11" s="28">
        <v>5</v>
      </c>
      <c r="B11" s="28" t="s">
        <v>175</v>
      </c>
      <c r="C11" s="28" t="s">
        <v>179</v>
      </c>
      <c r="D11" s="28" t="s">
        <v>174</v>
      </c>
      <c r="E11" s="29">
        <f t="shared" si="0"/>
        <v>268.7564</v>
      </c>
      <c r="F11" s="29">
        <v>17.0625</v>
      </c>
      <c r="G11" s="29">
        <f>17.0625*2</f>
        <v>34.125</v>
      </c>
      <c r="H11" s="29">
        <f>4.15*3.1+4.15*2.95</f>
        <v>25.1075</v>
      </c>
      <c r="I11" s="29">
        <f>F11*0.82*2</f>
        <v>27.9825</v>
      </c>
      <c r="J11" s="29">
        <f>17.0625*2.4</f>
        <v>40.95</v>
      </c>
      <c r="K11" s="29">
        <f t="shared" si="3"/>
        <v>41.1763</v>
      </c>
      <c r="L11" s="29">
        <v>41.1763</v>
      </c>
      <c r="M11" s="29">
        <v>41.1763</v>
      </c>
      <c r="N11" s="39">
        <v>150</v>
      </c>
      <c r="O11" s="38">
        <f t="shared" si="1"/>
        <v>262.5</v>
      </c>
      <c r="P11" s="39">
        <v>250</v>
      </c>
      <c r="Q11" s="44">
        <v>0.05</v>
      </c>
      <c r="R11" s="38">
        <v>100</v>
      </c>
      <c r="S11" s="38">
        <f>(N11+O11+R11)*$S$5</f>
        <v>51.25</v>
      </c>
      <c r="T11" s="38">
        <f>(N11+O11+R11+S11)*$T$5</f>
        <v>50.7375</v>
      </c>
      <c r="U11" s="38">
        <f t="shared" si="2"/>
        <v>614.4875</v>
      </c>
      <c r="V11" s="38">
        <f t="shared" si="4"/>
        <v>165147.448345</v>
      </c>
      <c r="W11" s="37"/>
      <c r="X11" s="41"/>
      <c r="Y11" s="45"/>
      <c r="Z11" s="45"/>
      <c r="AA11" s="45"/>
      <c r="AB11" s="45"/>
    </row>
    <row r="12" s="19" customFormat="1" ht="89" customHeight="1" spans="1:28">
      <c r="A12" s="28">
        <v>6</v>
      </c>
      <c r="B12" s="28" t="s">
        <v>180</v>
      </c>
      <c r="C12" s="28" t="s">
        <v>181</v>
      </c>
      <c r="D12" s="28" t="s">
        <v>182</v>
      </c>
      <c r="E12" s="29">
        <f t="shared" si="0"/>
        <v>16</v>
      </c>
      <c r="F12" s="29">
        <v>1</v>
      </c>
      <c r="G12" s="29">
        <v>2</v>
      </c>
      <c r="H12" s="29">
        <v>2</v>
      </c>
      <c r="I12" s="29">
        <v>2</v>
      </c>
      <c r="J12" s="29">
        <v>3</v>
      </c>
      <c r="K12" s="29">
        <v>2</v>
      </c>
      <c r="L12" s="29">
        <v>2</v>
      </c>
      <c r="M12" s="29">
        <v>2</v>
      </c>
      <c r="N12" s="39">
        <v>350</v>
      </c>
      <c r="O12" s="38">
        <f t="shared" si="1"/>
        <v>1000</v>
      </c>
      <c r="P12" s="39">
        <v>1000</v>
      </c>
      <c r="Q12" s="44">
        <v>0</v>
      </c>
      <c r="R12" s="38">
        <v>245</v>
      </c>
      <c r="S12" s="38">
        <f>(N12+O12+R12)*$S$5</f>
        <v>159.5</v>
      </c>
      <c r="T12" s="38">
        <f>(N12+O12+R12+S12)*$T$5</f>
        <v>157.905</v>
      </c>
      <c r="U12" s="38">
        <f t="shared" si="2"/>
        <v>1912.405</v>
      </c>
      <c r="V12" s="38">
        <f t="shared" si="4"/>
        <v>30598.48</v>
      </c>
      <c r="W12" s="37"/>
      <c r="X12" s="41"/>
      <c r="Y12" s="45"/>
      <c r="Z12" s="45"/>
      <c r="AA12" s="45"/>
      <c r="AB12" s="45"/>
    </row>
    <row r="13" s="19" customFormat="1" ht="89" customHeight="1" spans="1:28">
      <c r="A13" s="28"/>
      <c r="B13" s="32" t="s">
        <v>183</v>
      </c>
      <c r="C13" s="28"/>
      <c r="D13" s="28"/>
      <c r="E13" s="29"/>
      <c r="F13" s="29"/>
      <c r="G13" s="29"/>
      <c r="H13" s="29"/>
      <c r="I13" s="29"/>
      <c r="J13" s="29"/>
      <c r="K13" s="29"/>
      <c r="L13" s="29"/>
      <c r="M13" s="29"/>
      <c r="N13" s="39"/>
      <c r="O13" s="38"/>
      <c r="P13" s="39"/>
      <c r="Q13" s="44"/>
      <c r="R13" s="38"/>
      <c r="S13" s="38"/>
      <c r="T13" s="38"/>
      <c r="U13" s="38"/>
      <c r="V13" s="38"/>
      <c r="W13" s="37"/>
      <c r="X13" s="41"/>
      <c r="Y13" s="45"/>
      <c r="Z13" s="45"/>
      <c r="AA13" s="45"/>
      <c r="AB13" s="45"/>
    </row>
    <row r="14" s="19" customFormat="1" ht="89" customHeight="1" spans="1:28">
      <c r="A14" s="28"/>
      <c r="B14" s="28" t="s">
        <v>172</v>
      </c>
      <c r="C14" s="28" t="s">
        <v>184</v>
      </c>
      <c r="D14" s="28" t="s">
        <v>174</v>
      </c>
      <c r="E14" s="29">
        <f>(1.47+0.05+0.03+0.05+0.03+0.4+0.03+0.671+0.03)*9.6+(0.05+0.05+0.03+1.55+0.03+0.03+0.04+0.03+0.669+0.03)*7.8</f>
        <v>46.0758</v>
      </c>
      <c r="F14" s="29"/>
      <c r="G14" s="29">
        <f>(1.47+0.05+0.03+0.05+0.03+0.4+0.03+0.671+0.03)*9.6+(0.05+0.05+0.03+1.55+0.03+0.03+0.04+0.03+0.669+0.03)*7.8</f>
        <v>46.0758</v>
      </c>
      <c r="H14" s="29"/>
      <c r="I14" s="29"/>
      <c r="J14" s="29"/>
      <c r="K14" s="29"/>
      <c r="L14" s="29"/>
      <c r="M14" s="29"/>
      <c r="N14" s="39">
        <v>160</v>
      </c>
      <c r="O14" s="38">
        <f t="shared" ref="O14:O19" si="5">P14*(1+Q14)</f>
        <v>262.5</v>
      </c>
      <c r="P14" s="39">
        <v>250</v>
      </c>
      <c r="Q14" s="44">
        <v>0.05</v>
      </c>
      <c r="R14" s="38">
        <v>100</v>
      </c>
      <c r="S14" s="38">
        <f>(N14+O14+R14)*$S$5</f>
        <v>52.25</v>
      </c>
      <c r="T14" s="38">
        <f>(N14+O14+R14+S14)*$T$5</f>
        <v>51.7275</v>
      </c>
      <c r="U14" s="38">
        <f t="shared" ref="U14:U19" si="6">N14+O14+R14+S14+T14</f>
        <v>626.4775</v>
      </c>
      <c r="V14" s="38">
        <f t="shared" si="4"/>
        <v>28865.4519945</v>
      </c>
      <c r="W14" s="37"/>
      <c r="X14" s="41"/>
      <c r="Y14" s="45"/>
      <c r="Z14" s="45"/>
      <c r="AA14" s="45"/>
      <c r="AB14" s="45"/>
    </row>
    <row r="15" s="19" customFormat="1" ht="89" customHeight="1" spans="1:28">
      <c r="A15" s="28"/>
      <c r="B15" s="28" t="s">
        <v>175</v>
      </c>
      <c r="C15" s="28" t="s">
        <v>185</v>
      </c>
      <c r="D15" s="28" t="s">
        <v>174</v>
      </c>
      <c r="E15" s="29">
        <f>(0.053+0.03+0.03+0.05+0.03+0.95+0.025)*7.3+(0.068+0.03+0.03+0.05+0.87+0.024)*(8.48)</f>
        <v>17.61696</v>
      </c>
      <c r="F15" s="29"/>
      <c r="G15" s="29">
        <f>(0.053+0.03+0.03+0.05+0.03+0.95+0.025)*7.3+(0.068+0.03+0.03+0.05+0.87+0.024)*(8.48)</f>
        <v>17.61696</v>
      </c>
      <c r="H15" s="29"/>
      <c r="I15" s="29"/>
      <c r="J15" s="29"/>
      <c r="K15" s="29"/>
      <c r="L15" s="29"/>
      <c r="M15" s="29"/>
      <c r="N15" s="39">
        <v>150</v>
      </c>
      <c r="O15" s="38">
        <f t="shared" si="5"/>
        <v>262.5</v>
      </c>
      <c r="P15" s="39">
        <v>250</v>
      </c>
      <c r="Q15" s="44">
        <v>0.05</v>
      </c>
      <c r="R15" s="38">
        <v>100</v>
      </c>
      <c r="S15" s="38">
        <f>(N15+O15+R15)*$S$5</f>
        <v>51.25</v>
      </c>
      <c r="T15" s="38">
        <f>(N15+O15+R15+S15)*$T$5</f>
        <v>50.7375</v>
      </c>
      <c r="U15" s="38">
        <f t="shared" si="6"/>
        <v>614.4875</v>
      </c>
      <c r="V15" s="38">
        <f t="shared" si="4"/>
        <v>10825.401708</v>
      </c>
      <c r="W15" s="37"/>
      <c r="X15" s="41"/>
      <c r="Y15" s="45"/>
      <c r="Z15" s="45"/>
      <c r="AA15" s="45"/>
      <c r="AB15" s="45"/>
    </row>
    <row r="16" s="19" customFormat="1" ht="89" customHeight="1" spans="1:28">
      <c r="A16" s="28"/>
      <c r="B16" s="28" t="s">
        <v>172</v>
      </c>
      <c r="C16" s="28" t="s">
        <v>186</v>
      </c>
      <c r="D16" s="28" t="s">
        <v>174</v>
      </c>
      <c r="E16" s="29">
        <f>(1.62+0.03+0.04+0.03+0.671+0.03)*2.9+(1.6+0.03+0.04+0.03+0.671+0.03)*2.9</f>
        <v>13.9838</v>
      </c>
      <c r="F16" s="29"/>
      <c r="G16" s="29">
        <f>(1.62+0.03+0.04+0.03+0.671+0.03)*2.9+(1.6+0.03+0.04+0.03+0.671+0.03)*2.9</f>
        <v>13.9838</v>
      </c>
      <c r="H16" s="29"/>
      <c r="I16" s="29"/>
      <c r="J16" s="29"/>
      <c r="K16" s="29"/>
      <c r="L16" s="29"/>
      <c r="M16" s="29"/>
      <c r="N16" s="39">
        <v>150</v>
      </c>
      <c r="O16" s="38">
        <f t="shared" si="5"/>
        <v>262.5</v>
      </c>
      <c r="P16" s="39">
        <v>250</v>
      </c>
      <c r="Q16" s="44">
        <v>0.05</v>
      </c>
      <c r="R16" s="38">
        <v>100</v>
      </c>
      <c r="S16" s="38">
        <f>(N16+O16+R16)*$S$5</f>
        <v>51.25</v>
      </c>
      <c r="T16" s="38">
        <f>(N16+O16+R16+S16)*$T$5</f>
        <v>50.7375</v>
      </c>
      <c r="U16" s="38">
        <f t="shared" si="6"/>
        <v>614.4875</v>
      </c>
      <c r="V16" s="38">
        <f t="shared" si="4"/>
        <v>8592.8703025</v>
      </c>
      <c r="W16" s="37"/>
      <c r="X16" s="41"/>
      <c r="Y16" s="45"/>
      <c r="Z16" s="45"/>
      <c r="AA16" s="45"/>
      <c r="AB16" s="45"/>
    </row>
    <row r="17" s="19" customFormat="1" ht="89" customHeight="1" spans="1:28">
      <c r="A17" s="28"/>
      <c r="B17" s="28" t="s">
        <v>175</v>
      </c>
      <c r="C17" s="28" t="s">
        <v>178</v>
      </c>
      <c r="D17" s="28" t="s">
        <v>174</v>
      </c>
      <c r="E17" s="29">
        <f>(0.053+0.03+0.03+0.03+0.05+0.87+0.03)*2.4+(0.053+0.03+0.03+0.03+0.05+0.95+0.03)*2.4</f>
        <v>5.4384</v>
      </c>
      <c r="F17" s="29"/>
      <c r="G17" s="29">
        <f>(0.053+0.03+0.03+0.03+0.05+0.87+0.03)*2.4+(0.053+0.03+0.03+0.03+0.05+0.95+0.03)*2.4</f>
        <v>5.4384</v>
      </c>
      <c r="H17" s="29"/>
      <c r="I17" s="29"/>
      <c r="J17" s="29"/>
      <c r="K17" s="29"/>
      <c r="L17" s="29"/>
      <c r="M17" s="29"/>
      <c r="N17" s="39">
        <v>150</v>
      </c>
      <c r="O17" s="38">
        <f t="shared" si="5"/>
        <v>262.5</v>
      </c>
      <c r="P17" s="39">
        <v>250</v>
      </c>
      <c r="Q17" s="44">
        <v>0.05</v>
      </c>
      <c r="R17" s="38">
        <v>100</v>
      </c>
      <c r="S17" s="38">
        <f>(N17+O17+R17)*$S$5</f>
        <v>51.25</v>
      </c>
      <c r="T17" s="38">
        <f>(N17+O17+R17+S17)*$T$5</f>
        <v>50.7375</v>
      </c>
      <c r="U17" s="38">
        <f t="shared" si="6"/>
        <v>614.4875</v>
      </c>
      <c r="V17" s="38">
        <f t="shared" si="4"/>
        <v>3341.82882</v>
      </c>
      <c r="W17" s="37"/>
      <c r="X17" s="41"/>
      <c r="Y17" s="45"/>
      <c r="Z17" s="45"/>
      <c r="AA17" s="45"/>
      <c r="AB17" s="45"/>
    </row>
    <row r="18" s="19" customFormat="1" ht="89" customHeight="1" spans="1:28">
      <c r="A18" s="28"/>
      <c r="B18" s="28" t="s">
        <v>187</v>
      </c>
      <c r="C18" s="28" t="s">
        <v>188</v>
      </c>
      <c r="D18" s="28" t="s">
        <v>174</v>
      </c>
      <c r="E18" s="29">
        <f>0.25*(2.8+2.6+1.5+5)</f>
        <v>2.975</v>
      </c>
      <c r="F18" s="29"/>
      <c r="G18" s="29">
        <f>0.25*(2.8+2.6+1.5+5)</f>
        <v>2.975</v>
      </c>
      <c r="H18" s="29"/>
      <c r="I18" s="29"/>
      <c r="J18" s="29"/>
      <c r="K18" s="29"/>
      <c r="L18" s="29"/>
      <c r="M18" s="29"/>
      <c r="N18" s="39">
        <v>150</v>
      </c>
      <c r="O18" s="38">
        <f t="shared" si="5"/>
        <v>236.25</v>
      </c>
      <c r="P18" s="39">
        <v>225</v>
      </c>
      <c r="Q18" s="44">
        <v>0.05</v>
      </c>
      <c r="R18" s="38">
        <v>25</v>
      </c>
      <c r="S18" s="38">
        <f>(N18+O18+R18)*$S$5</f>
        <v>41.125</v>
      </c>
      <c r="T18" s="38">
        <f>(N18+O18+R18+S18)*$T$5</f>
        <v>40.71375</v>
      </c>
      <c r="U18" s="38">
        <f t="shared" si="6"/>
        <v>493.08875</v>
      </c>
      <c r="V18" s="38">
        <f t="shared" si="4"/>
        <v>1466.93903125</v>
      </c>
      <c r="W18" s="37"/>
      <c r="X18" s="41"/>
      <c r="Y18" s="45"/>
      <c r="Z18" s="45"/>
      <c r="AA18" s="45"/>
      <c r="AB18" s="45"/>
    </row>
    <row r="19" s="19" customFormat="1" ht="89" customHeight="1" spans="1:28">
      <c r="A19" s="28"/>
      <c r="B19" s="28" t="s">
        <v>118</v>
      </c>
      <c r="C19" s="28" t="s">
        <v>189</v>
      </c>
      <c r="D19" s="28" t="s">
        <v>174</v>
      </c>
      <c r="E19" s="29">
        <f>2.8*2.4+2.6*2.4+1.5*2.4+5*2.4</f>
        <v>28.56</v>
      </c>
      <c r="F19" s="29"/>
      <c r="G19" s="29">
        <f>2.8*2.4+2.6*2.4+1.5*2.4+5*2.4</f>
        <v>28.56</v>
      </c>
      <c r="H19" s="29"/>
      <c r="I19" s="29"/>
      <c r="J19" s="29"/>
      <c r="K19" s="29"/>
      <c r="L19" s="29"/>
      <c r="M19" s="29"/>
      <c r="N19" s="39">
        <v>45</v>
      </c>
      <c r="O19" s="38">
        <f t="shared" si="5"/>
        <v>147</v>
      </c>
      <c r="P19" s="39">
        <v>140</v>
      </c>
      <c r="Q19" s="44">
        <v>0.05</v>
      </c>
      <c r="R19" s="38">
        <v>20</v>
      </c>
      <c r="S19" s="38">
        <f>(N19+O19+R19)*$S$5</f>
        <v>21.2</v>
      </c>
      <c r="T19" s="38">
        <f>(N19+O19+R19+S19)*$T$5</f>
        <v>20.988</v>
      </c>
      <c r="U19" s="38">
        <f t="shared" si="6"/>
        <v>254.188</v>
      </c>
      <c r="V19" s="38">
        <f t="shared" si="4"/>
        <v>7259.60928</v>
      </c>
      <c r="W19" s="37"/>
      <c r="X19" s="41"/>
      <c r="Y19" s="45"/>
      <c r="Z19" s="45"/>
      <c r="AA19" s="45"/>
      <c r="AB19" s="45"/>
    </row>
    <row r="20" s="19" customFormat="1" ht="50" customHeight="1" spans="1:28">
      <c r="A20" s="28"/>
      <c r="B20" s="28"/>
      <c r="C20" s="28" t="s">
        <v>95</v>
      </c>
      <c r="D20" s="28"/>
      <c r="E20" s="29"/>
      <c r="F20" s="29"/>
      <c r="G20" s="29"/>
      <c r="H20" s="29"/>
      <c r="I20" s="29"/>
      <c r="J20" s="29"/>
      <c r="K20" s="29"/>
      <c r="L20" s="29"/>
      <c r="M20" s="29"/>
      <c r="N20" s="38"/>
      <c r="O20" s="38"/>
      <c r="P20" s="38"/>
      <c r="Q20" s="43"/>
      <c r="R20" s="38"/>
      <c r="S20" s="38"/>
      <c r="T20" s="38"/>
      <c r="U20" s="38"/>
      <c r="V20" s="38">
        <f>SUM(V7:V19)</f>
        <v>782094.378067614</v>
      </c>
      <c r="W20" s="37"/>
      <c r="X20" s="41"/>
      <c r="Y20" s="45"/>
      <c r="Z20" s="45"/>
      <c r="AA20" s="45"/>
      <c r="AB20" s="45"/>
    </row>
    <row r="21" s="20" customFormat="1" customHeight="1" spans="1:28">
      <c r="A21" s="33" t="s">
        <v>96</v>
      </c>
      <c r="B21" s="34" t="s">
        <v>97</v>
      </c>
      <c r="C21" s="34"/>
      <c r="D21" s="34"/>
      <c r="E21" s="35"/>
      <c r="F21" s="35"/>
      <c r="G21" s="35"/>
      <c r="H21" s="35"/>
      <c r="I21" s="35"/>
      <c r="J21" s="35"/>
      <c r="K21" s="35"/>
      <c r="L21" s="35"/>
      <c r="M21" s="35"/>
      <c r="N21" s="40"/>
      <c r="O21" s="40"/>
      <c r="P21" s="40"/>
      <c r="Q21" s="40"/>
      <c r="R21" s="40"/>
      <c r="S21" s="40"/>
      <c r="T21" s="40"/>
      <c r="U21" s="40"/>
      <c r="V21" s="40"/>
      <c r="W21" s="34"/>
      <c r="X21" s="41"/>
      <c r="Y21" s="45"/>
      <c r="Z21" s="45"/>
      <c r="AA21" s="45"/>
      <c r="AB21" s="45"/>
    </row>
  </sheetData>
  <mergeCells count="24">
    <mergeCell ref="A1:W1"/>
    <mergeCell ref="A2:N2"/>
    <mergeCell ref="O2:U2"/>
    <mergeCell ref="V2:W2"/>
    <mergeCell ref="N3:T3"/>
    <mergeCell ref="B21:W21"/>
    <mergeCell ref="A3:A5"/>
    <mergeCell ref="B3:B5"/>
    <mergeCell ref="C3:C5"/>
    <mergeCell ref="D3:D5"/>
    <mergeCell ref="E3:E5"/>
    <mergeCell ref="F3:F4"/>
    <mergeCell ref="G3:G4"/>
    <mergeCell ref="H3:H4"/>
    <mergeCell ref="I3:I4"/>
    <mergeCell ref="J3:J4"/>
    <mergeCell ref="K3:K4"/>
    <mergeCell ref="L3:L4"/>
    <mergeCell ref="M3:M4"/>
    <mergeCell ref="N4:N5"/>
    <mergeCell ref="R4:R5"/>
    <mergeCell ref="U3:U5"/>
    <mergeCell ref="V3:V5"/>
    <mergeCell ref="W3:W5"/>
  </mergeCells>
  <pageMargins left="0.75" right="0.75" top="1" bottom="1" header="0.5" footer="0.5"/>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190</v>
      </c>
      <c r="B1" s="6"/>
      <c r="C1" s="5"/>
      <c r="D1" s="5"/>
      <c r="E1" s="5"/>
      <c r="F1" s="5"/>
      <c r="G1" s="5"/>
      <c r="I1" s="18" t="s">
        <v>191</v>
      </c>
      <c r="J1" s="6"/>
      <c r="K1" s="5"/>
      <c r="L1" s="5"/>
      <c r="M1" s="5"/>
      <c r="N1" s="5"/>
      <c r="O1" s="5"/>
      <c r="Q1" s="18" t="s">
        <v>192</v>
      </c>
      <c r="R1" s="6"/>
      <c r="S1" s="5"/>
      <c r="T1" s="5"/>
      <c r="U1" s="5"/>
      <c r="V1" s="5"/>
      <c r="W1" s="5"/>
      <c r="Y1" s="18" t="s">
        <v>193</v>
      </c>
      <c r="Z1" s="6"/>
      <c r="AA1" s="5"/>
      <c r="AB1" s="5"/>
      <c r="AC1" s="5"/>
      <c r="AD1" s="5"/>
      <c r="AE1" s="5"/>
    </row>
    <row r="2" s="1" customFormat="1" ht="38.1" customHeight="1" spans="1:31">
      <c r="A2" s="7" t="s">
        <v>24</v>
      </c>
      <c r="B2" s="8" t="s">
        <v>2</v>
      </c>
      <c r="C2" s="7" t="s">
        <v>3</v>
      </c>
      <c r="D2" s="7" t="s">
        <v>194</v>
      </c>
      <c r="E2" s="7" t="s">
        <v>195</v>
      </c>
      <c r="F2" s="7" t="s">
        <v>95</v>
      </c>
      <c r="G2" s="7" t="s">
        <v>6</v>
      </c>
      <c r="I2" s="7" t="s">
        <v>24</v>
      </c>
      <c r="J2" s="8" t="s">
        <v>2</v>
      </c>
      <c r="K2" s="7" t="s">
        <v>3</v>
      </c>
      <c r="L2" s="7" t="s">
        <v>194</v>
      </c>
      <c r="M2" s="7" t="s">
        <v>195</v>
      </c>
      <c r="N2" s="7" t="s">
        <v>95</v>
      </c>
      <c r="O2" s="7" t="s">
        <v>6</v>
      </c>
      <c r="Q2" s="7" t="s">
        <v>24</v>
      </c>
      <c r="R2" s="8" t="s">
        <v>2</v>
      </c>
      <c r="S2" s="7" t="s">
        <v>3</v>
      </c>
      <c r="T2" s="7" t="s">
        <v>194</v>
      </c>
      <c r="U2" s="7" t="s">
        <v>195</v>
      </c>
      <c r="V2" s="7" t="s">
        <v>95</v>
      </c>
      <c r="W2" s="7" t="s">
        <v>6</v>
      </c>
      <c r="Y2" s="7" t="s">
        <v>24</v>
      </c>
      <c r="Z2" s="8" t="s">
        <v>2</v>
      </c>
      <c r="AA2" s="7" t="s">
        <v>3</v>
      </c>
      <c r="AB2" s="7" t="s">
        <v>194</v>
      </c>
      <c r="AC2" s="7" t="s">
        <v>195</v>
      </c>
      <c r="AD2" s="7" t="s">
        <v>95</v>
      </c>
      <c r="AE2" s="7" t="s">
        <v>6</v>
      </c>
    </row>
    <row r="3" s="2" customFormat="1" ht="38.1" customHeight="1" spans="1:31">
      <c r="A3" s="7"/>
      <c r="B3" s="9" t="s">
        <v>196</v>
      </c>
      <c r="C3" s="10"/>
      <c r="D3" s="10"/>
      <c r="E3" s="10"/>
      <c r="F3" s="10"/>
      <c r="G3" s="10"/>
      <c r="I3" s="7"/>
      <c r="J3" s="9" t="s">
        <v>196</v>
      </c>
      <c r="K3" s="10"/>
      <c r="L3" s="10"/>
      <c r="M3" s="10"/>
      <c r="N3" s="10"/>
      <c r="O3" s="10"/>
      <c r="Q3" s="7"/>
      <c r="R3" s="9" t="s">
        <v>196</v>
      </c>
      <c r="S3" s="10"/>
      <c r="T3" s="10"/>
      <c r="U3" s="10"/>
      <c r="V3" s="10"/>
      <c r="W3" s="10"/>
      <c r="Y3" s="7"/>
      <c r="Z3" s="9" t="s">
        <v>196</v>
      </c>
      <c r="AA3" s="10"/>
      <c r="AB3" s="10"/>
      <c r="AC3" s="10"/>
      <c r="AD3" s="10"/>
      <c r="AE3" s="10"/>
    </row>
    <row r="4" ht="48.95" customHeight="1" spans="1:31">
      <c r="A4" s="11">
        <v>1</v>
      </c>
      <c r="B4" s="12" t="s">
        <v>197</v>
      </c>
      <c r="C4" s="13" t="s">
        <v>198</v>
      </c>
      <c r="D4" s="14">
        <v>2</v>
      </c>
      <c r="E4" s="14"/>
      <c r="F4" s="14"/>
      <c r="G4" s="14"/>
      <c r="I4" s="11">
        <v>1</v>
      </c>
      <c r="J4" s="12" t="s">
        <v>197</v>
      </c>
      <c r="K4" s="13" t="s">
        <v>198</v>
      </c>
      <c r="L4" s="14">
        <v>2</v>
      </c>
      <c r="M4" s="14"/>
      <c r="N4" s="14"/>
      <c r="O4" s="14"/>
      <c r="Q4" s="11">
        <v>1</v>
      </c>
      <c r="R4" s="12" t="s">
        <v>197</v>
      </c>
      <c r="S4" s="13" t="s">
        <v>198</v>
      </c>
      <c r="T4" s="14">
        <v>2</v>
      </c>
      <c r="U4" s="14"/>
      <c r="V4" s="14"/>
      <c r="W4" s="14"/>
      <c r="Y4" s="11">
        <v>1</v>
      </c>
      <c r="Z4" s="12" t="s">
        <v>197</v>
      </c>
      <c r="AA4" s="13" t="s">
        <v>198</v>
      </c>
      <c r="AB4" s="14">
        <v>2</v>
      </c>
      <c r="AC4" s="14"/>
      <c r="AD4" s="14"/>
      <c r="AE4" s="14"/>
    </row>
    <row r="5" ht="48.95" customHeight="1" spans="1:31">
      <c r="A5" s="11">
        <v>3</v>
      </c>
      <c r="B5" s="15" t="s">
        <v>199</v>
      </c>
      <c r="C5" s="14" t="s">
        <v>65</v>
      </c>
      <c r="D5" s="14">
        <f>5.17*2</f>
        <v>10.34</v>
      </c>
      <c r="E5" s="14">
        <v>30.62</v>
      </c>
      <c r="F5" s="14">
        <f>E5*D5</f>
        <v>316.6108</v>
      </c>
      <c r="G5" s="14"/>
      <c r="I5" s="11">
        <v>3</v>
      </c>
      <c r="J5" s="15" t="s">
        <v>199</v>
      </c>
      <c r="K5" s="14" t="s">
        <v>65</v>
      </c>
      <c r="L5" s="14">
        <f>5.17*2</f>
        <v>10.34</v>
      </c>
      <c r="M5" s="14">
        <v>30.62</v>
      </c>
      <c r="N5" s="14">
        <f>M5*L5</f>
        <v>316.6108</v>
      </c>
      <c r="O5" s="14"/>
      <c r="Q5" s="11">
        <v>3</v>
      </c>
      <c r="R5" s="15" t="s">
        <v>199</v>
      </c>
      <c r="S5" s="14" t="s">
        <v>65</v>
      </c>
      <c r="T5" s="14">
        <f>5.17*2</f>
        <v>10.34</v>
      </c>
      <c r="U5" s="14">
        <v>30.62</v>
      </c>
      <c r="V5" s="14">
        <f>U5*T5</f>
        <v>316.6108</v>
      </c>
      <c r="W5" s="14"/>
      <c r="Y5" s="11">
        <v>3</v>
      </c>
      <c r="Z5" s="15" t="s">
        <v>199</v>
      </c>
      <c r="AA5" s="14" t="s">
        <v>65</v>
      </c>
      <c r="AB5" s="14">
        <f>5.17*2</f>
        <v>10.34</v>
      </c>
      <c r="AC5" s="14">
        <v>30.62</v>
      </c>
      <c r="AD5" s="14">
        <f>AC5*AB5</f>
        <v>316.6108</v>
      </c>
      <c r="AE5" s="14"/>
    </row>
    <row r="6" ht="48.95" customHeight="1" spans="1:31">
      <c r="A6" s="11">
        <v>4</v>
      </c>
      <c r="B6" s="15" t="s">
        <v>200</v>
      </c>
      <c r="C6" s="14" t="s">
        <v>65</v>
      </c>
      <c r="D6" s="14">
        <f>5.17*8</f>
        <v>41.36</v>
      </c>
      <c r="E6" s="14">
        <v>8</v>
      </c>
      <c r="F6" s="14">
        <f>E6*D6</f>
        <v>330.88</v>
      </c>
      <c r="G6" s="14"/>
      <c r="I6" s="11">
        <v>4</v>
      </c>
      <c r="J6" s="15" t="s">
        <v>200</v>
      </c>
      <c r="K6" s="14" t="s">
        <v>65</v>
      </c>
      <c r="L6" s="14">
        <f>5.17*8</f>
        <v>41.36</v>
      </c>
      <c r="M6" s="14">
        <v>8</v>
      </c>
      <c r="N6" s="14">
        <f>M6*L6</f>
        <v>330.88</v>
      </c>
      <c r="O6" s="14"/>
      <c r="Q6" s="11">
        <v>4</v>
      </c>
      <c r="R6" s="15" t="s">
        <v>200</v>
      </c>
      <c r="S6" s="14" t="s">
        <v>65</v>
      </c>
      <c r="T6" s="14">
        <f>5.17*8</f>
        <v>41.36</v>
      </c>
      <c r="U6" s="14">
        <v>8</v>
      </c>
      <c r="V6" s="14">
        <f>U6*T6</f>
        <v>330.88</v>
      </c>
      <c r="W6" s="14"/>
      <c r="Y6" s="11">
        <v>4</v>
      </c>
      <c r="Z6" s="15" t="s">
        <v>200</v>
      </c>
      <c r="AA6" s="14" t="s">
        <v>65</v>
      </c>
      <c r="AB6" s="14">
        <f>5.17*8</f>
        <v>41.36</v>
      </c>
      <c r="AC6" s="14">
        <v>8</v>
      </c>
      <c r="AD6" s="14">
        <f>AC6*AB6</f>
        <v>330.88</v>
      </c>
      <c r="AE6" s="14"/>
    </row>
    <row r="7" ht="48.95" customHeight="1" spans="1:31">
      <c r="A7" s="11">
        <v>5</v>
      </c>
      <c r="B7" s="15" t="s">
        <v>201</v>
      </c>
      <c r="C7" s="14" t="s">
        <v>65</v>
      </c>
      <c r="D7" s="14">
        <f>(0.575+0.495+0.858+0.11+0.19+0.787+0.148+0.148+0.475+0.675+0.495+0.855)*6</f>
        <v>34.866</v>
      </c>
      <c r="E7" s="14">
        <v>3.06</v>
      </c>
      <c r="F7" s="14">
        <f t="shared" ref="F7:F21" si="0">E7*D7</f>
        <v>106.68996</v>
      </c>
      <c r="G7" s="14"/>
      <c r="I7" s="11">
        <v>5</v>
      </c>
      <c r="J7" s="15" t="s">
        <v>201</v>
      </c>
      <c r="K7" s="14" t="s">
        <v>65</v>
      </c>
      <c r="L7" s="14">
        <f>(0.575+0.495+0.858+0.11+0.19+0.787+0.148+0.148+0.475+0.675+0.495+0.855)*6</f>
        <v>34.866</v>
      </c>
      <c r="M7" s="14">
        <v>3.06</v>
      </c>
      <c r="N7" s="14">
        <f t="shared" ref="N7:N16" si="1">M7*L7</f>
        <v>106.68996</v>
      </c>
      <c r="O7" s="14"/>
      <c r="Q7" s="11">
        <v>5</v>
      </c>
      <c r="R7" s="15" t="s">
        <v>201</v>
      </c>
      <c r="S7" s="14" t="s">
        <v>65</v>
      </c>
      <c r="T7" s="14">
        <f>(0.575+0.495+0.858+0.11+0.19+0.787+0.148+0.148+0.475+0.675+0.495+0.855)*6</f>
        <v>34.866</v>
      </c>
      <c r="U7" s="14">
        <v>3.06</v>
      </c>
      <c r="V7" s="14">
        <f t="shared" ref="V7:V16" si="2">U7*T7</f>
        <v>106.68996</v>
      </c>
      <c r="W7" s="14"/>
      <c r="Y7" s="11">
        <v>5</v>
      </c>
      <c r="Z7" s="15" t="s">
        <v>201</v>
      </c>
      <c r="AA7" s="14" t="s">
        <v>65</v>
      </c>
      <c r="AB7" s="14">
        <f>(0.575+0.495+0.858+0.11+0.19+0.787+0.148+0.148+0.475+0.675+0.495+0.855)*6</f>
        <v>34.866</v>
      </c>
      <c r="AC7" s="14">
        <v>3.06</v>
      </c>
      <c r="AD7" s="14">
        <f t="shared" ref="AD7:AD16" si="3">AC7*AB7</f>
        <v>106.68996</v>
      </c>
      <c r="AE7" s="14"/>
    </row>
    <row r="8" ht="48.95" customHeight="1" spans="1:31">
      <c r="A8" s="11">
        <v>6</v>
      </c>
      <c r="B8" s="15" t="s">
        <v>202</v>
      </c>
      <c r="C8" s="14" t="s">
        <v>65</v>
      </c>
      <c r="D8" s="14">
        <f>(0.185*2+0.085*2+0.11*2+0.135+0.11*2+0.185*2+0.085*2+0.135)*6</f>
        <v>10.74</v>
      </c>
      <c r="E8" s="14">
        <v>10</v>
      </c>
      <c r="F8" s="14">
        <f t="shared" si="0"/>
        <v>107.4</v>
      </c>
      <c r="G8" s="14"/>
      <c r="I8" s="11">
        <v>6</v>
      </c>
      <c r="J8" s="15" t="s">
        <v>202</v>
      </c>
      <c r="K8" s="14" t="s">
        <v>65</v>
      </c>
      <c r="L8" s="14">
        <f>(0.185*2+0.085*2+0.11*2+0.135+0.11*2+0.185*2+0.085*2+0.135)*6</f>
        <v>10.74</v>
      </c>
      <c r="M8" s="14">
        <v>10</v>
      </c>
      <c r="N8" s="14">
        <f t="shared" si="1"/>
        <v>107.4</v>
      </c>
      <c r="O8" s="14"/>
      <c r="Q8" s="11">
        <v>6</v>
      </c>
      <c r="R8" s="15" t="s">
        <v>202</v>
      </c>
      <c r="S8" s="14" t="s">
        <v>65</v>
      </c>
      <c r="T8" s="14">
        <f>(0.185*2+0.085*2+0.11*2+0.135+0.11*2+0.185*2+0.085*2+0.135)*6</f>
        <v>10.74</v>
      </c>
      <c r="U8" s="14">
        <v>10</v>
      </c>
      <c r="V8" s="14">
        <f t="shared" si="2"/>
        <v>107.4</v>
      </c>
      <c r="W8" s="14"/>
      <c r="Y8" s="11">
        <v>6</v>
      </c>
      <c r="Z8" s="15" t="s">
        <v>202</v>
      </c>
      <c r="AA8" s="14" t="s">
        <v>65</v>
      </c>
      <c r="AB8" s="14">
        <f>(0.185*2+0.085*2+0.11*2+0.135+0.11*2+0.185*2+0.085*2+0.135)*6</f>
        <v>10.74</v>
      </c>
      <c r="AC8" s="14">
        <v>10</v>
      </c>
      <c r="AD8" s="14">
        <f t="shared" si="3"/>
        <v>107.4</v>
      </c>
      <c r="AE8" s="14"/>
    </row>
    <row r="9" ht="78" customHeight="1" spans="1:31">
      <c r="A9" s="11">
        <v>7</v>
      </c>
      <c r="B9" s="12" t="s">
        <v>203</v>
      </c>
      <c r="C9" s="13" t="s">
        <v>198</v>
      </c>
      <c r="D9" s="14">
        <f>6*6</f>
        <v>36</v>
      </c>
      <c r="E9" s="14"/>
      <c r="F9" s="14">
        <f t="shared" si="0"/>
        <v>0</v>
      </c>
      <c r="G9" s="14"/>
      <c r="I9" s="11">
        <v>7</v>
      </c>
      <c r="J9" s="12" t="s">
        <v>203</v>
      </c>
      <c r="K9" s="13" t="s">
        <v>198</v>
      </c>
      <c r="L9" s="14">
        <f>6*6</f>
        <v>36</v>
      </c>
      <c r="M9" s="14"/>
      <c r="N9" s="14">
        <f t="shared" si="1"/>
        <v>0</v>
      </c>
      <c r="O9" s="14"/>
      <c r="Q9" s="11">
        <v>7</v>
      </c>
      <c r="R9" s="12" t="s">
        <v>203</v>
      </c>
      <c r="S9" s="13" t="s">
        <v>198</v>
      </c>
      <c r="T9" s="14">
        <f>6*6</f>
        <v>36</v>
      </c>
      <c r="U9" s="14"/>
      <c r="V9" s="14">
        <f t="shared" si="2"/>
        <v>0</v>
      </c>
      <c r="W9" s="14"/>
      <c r="Y9" s="11">
        <v>7</v>
      </c>
      <c r="Z9" s="12" t="s">
        <v>203</v>
      </c>
      <c r="AA9" s="13" t="s">
        <v>198</v>
      </c>
      <c r="AB9" s="14">
        <f>6*6</f>
        <v>36</v>
      </c>
      <c r="AC9" s="14"/>
      <c r="AD9" s="14">
        <f t="shared" si="3"/>
        <v>0</v>
      </c>
      <c r="AE9" s="14"/>
    </row>
    <row r="10" ht="78" customHeight="1" spans="1:31">
      <c r="A10" s="11"/>
      <c r="B10" s="12" t="s">
        <v>204</v>
      </c>
      <c r="C10" s="13"/>
      <c r="D10" s="14">
        <f>0.21*7</f>
        <v>1.47</v>
      </c>
      <c r="E10" s="14">
        <v>3.06</v>
      </c>
      <c r="F10" s="14">
        <f t="shared" si="0"/>
        <v>4.4982</v>
      </c>
      <c r="G10" s="14"/>
      <c r="I10" s="11"/>
      <c r="J10" s="12" t="s">
        <v>204</v>
      </c>
      <c r="K10" s="13"/>
      <c r="L10" s="14">
        <f>0.21*7</f>
        <v>1.47</v>
      </c>
      <c r="M10" s="14">
        <v>3.06</v>
      </c>
      <c r="N10" s="14">
        <f t="shared" si="1"/>
        <v>4.4982</v>
      </c>
      <c r="O10" s="14"/>
      <c r="Q10" s="11"/>
      <c r="R10" s="12" t="s">
        <v>204</v>
      </c>
      <c r="S10" s="13"/>
      <c r="T10" s="14">
        <f>0.21*7</f>
        <v>1.47</v>
      </c>
      <c r="U10" s="14">
        <v>3.06</v>
      </c>
      <c r="V10" s="14">
        <f t="shared" si="2"/>
        <v>4.4982</v>
      </c>
      <c r="W10" s="14"/>
      <c r="Y10" s="11"/>
      <c r="Z10" s="12" t="s">
        <v>204</v>
      </c>
      <c r="AA10" s="13"/>
      <c r="AB10" s="14">
        <f>0.21*7</f>
        <v>1.47</v>
      </c>
      <c r="AC10" s="14">
        <v>3.06</v>
      </c>
      <c r="AD10" s="14">
        <f t="shared" si="3"/>
        <v>4.4982</v>
      </c>
      <c r="AE10" s="14"/>
    </row>
    <row r="11" ht="42" customHeight="1" spans="1:31">
      <c r="A11" s="11"/>
      <c r="B11" s="16" t="s">
        <v>205</v>
      </c>
      <c r="C11" s="13"/>
      <c r="D11" s="14"/>
      <c r="E11" s="14"/>
      <c r="F11" s="14">
        <f t="shared" si="0"/>
        <v>0</v>
      </c>
      <c r="G11" s="14"/>
      <c r="I11" s="11"/>
      <c r="J11" s="16" t="s">
        <v>205</v>
      </c>
      <c r="K11" s="13"/>
      <c r="L11" s="14"/>
      <c r="M11" s="14"/>
      <c r="N11" s="14">
        <f t="shared" si="1"/>
        <v>0</v>
      </c>
      <c r="O11" s="14"/>
      <c r="Q11" s="11"/>
      <c r="R11" s="16" t="s">
        <v>205</v>
      </c>
      <c r="S11" s="13"/>
      <c r="T11" s="14"/>
      <c r="U11" s="14"/>
      <c r="V11" s="14">
        <f t="shared" si="2"/>
        <v>0</v>
      </c>
      <c r="W11" s="14"/>
      <c r="Y11" s="11"/>
      <c r="Z11" s="16" t="s">
        <v>205</v>
      </c>
      <c r="AA11" s="13"/>
      <c r="AB11" s="14"/>
      <c r="AC11" s="14"/>
      <c r="AD11" s="14">
        <f t="shared" si="3"/>
        <v>0</v>
      </c>
      <c r="AE11" s="14"/>
    </row>
    <row r="12" ht="48.95" customHeight="1" spans="1:31">
      <c r="A12" s="11">
        <v>1</v>
      </c>
      <c r="B12" s="15" t="s">
        <v>201</v>
      </c>
      <c r="C12" s="14" t="s">
        <v>65</v>
      </c>
      <c r="D12" s="14">
        <f>(0.547+0.156+0.686+1.112+1.137)*2+1.13*4+(0.547+0.156+0.686)*3*2+(1.55+1.7+1.055)*3</f>
        <v>33.045</v>
      </c>
      <c r="E12" s="14"/>
      <c r="F12" s="14">
        <f t="shared" si="0"/>
        <v>0</v>
      </c>
      <c r="G12" s="14"/>
      <c r="I12" s="11">
        <v>1</v>
      </c>
      <c r="J12" s="15" t="s">
        <v>201</v>
      </c>
      <c r="K12" s="14" t="s">
        <v>65</v>
      </c>
      <c r="L12" s="14">
        <f>(0.547+0.156+0.686+1.112+1.137)*2+1.13*4+(0.547+0.156+0.686)*3*2+(1.55+1.7+1.055)*3</f>
        <v>33.045</v>
      </c>
      <c r="M12" s="14">
        <f>M10</f>
        <v>3.06</v>
      </c>
      <c r="N12" s="14">
        <f t="shared" si="1"/>
        <v>101.1177</v>
      </c>
      <c r="O12" s="14"/>
      <c r="Q12" s="11">
        <v>1</v>
      </c>
      <c r="R12" s="15" t="s">
        <v>201</v>
      </c>
      <c r="S12" s="14" t="s">
        <v>65</v>
      </c>
      <c r="T12" s="14">
        <f>(0.547+0.156+0.686+1.112+1.137)*2+1.13*4+(0.547+0.156+0.686)*3*2+(1.55+1.7+1.055)*3</f>
        <v>33.045</v>
      </c>
      <c r="U12" s="14">
        <f>U10</f>
        <v>3.06</v>
      </c>
      <c r="V12" s="14">
        <f t="shared" si="2"/>
        <v>101.1177</v>
      </c>
      <c r="W12" s="14"/>
      <c r="Y12" s="11">
        <v>1</v>
      </c>
      <c r="Z12" s="15" t="s">
        <v>201</v>
      </c>
      <c r="AA12" s="14" t="s">
        <v>65</v>
      </c>
      <c r="AB12" s="14">
        <f>(0.547+0.156+0.686+1.112)*2+(0.547+0.156+0.686)*3*2+(1.55+1.055)*3</f>
        <v>21.151</v>
      </c>
      <c r="AC12" s="14">
        <f>AC10</f>
        <v>3.06</v>
      </c>
      <c r="AD12" s="14">
        <f t="shared" si="3"/>
        <v>64.72206</v>
      </c>
      <c r="AE12" s="14"/>
    </row>
    <row r="13" ht="48.95" customHeight="1" spans="1:31">
      <c r="A13" s="11"/>
      <c r="B13" s="12" t="s">
        <v>206</v>
      </c>
      <c r="C13" s="13" t="s">
        <v>198</v>
      </c>
      <c r="D13" s="14">
        <f>3*2</f>
        <v>6</v>
      </c>
      <c r="E13" s="14"/>
      <c r="F13" s="14">
        <f t="shared" si="0"/>
        <v>0</v>
      </c>
      <c r="G13" s="14"/>
      <c r="I13" s="11"/>
      <c r="J13" s="12" t="s">
        <v>206</v>
      </c>
      <c r="K13" s="13" t="s">
        <v>198</v>
      </c>
      <c r="L13" s="14">
        <f>3*2</f>
        <v>6</v>
      </c>
      <c r="M13" s="14"/>
      <c r="N13" s="14">
        <f t="shared" si="1"/>
        <v>0</v>
      </c>
      <c r="O13" s="14"/>
      <c r="Q13" s="11"/>
      <c r="R13" s="12" t="s">
        <v>206</v>
      </c>
      <c r="S13" s="13" t="s">
        <v>198</v>
      </c>
      <c r="T13" s="14">
        <f>3*2</f>
        <v>6</v>
      </c>
      <c r="U13" s="14"/>
      <c r="V13" s="14">
        <f t="shared" si="2"/>
        <v>0</v>
      </c>
      <c r="W13" s="14"/>
      <c r="Y13" s="11"/>
      <c r="Z13" s="12" t="s">
        <v>206</v>
      </c>
      <c r="AA13" s="13" t="s">
        <v>198</v>
      </c>
      <c r="AB13" s="14">
        <f>3*2</f>
        <v>6</v>
      </c>
      <c r="AC13" s="14"/>
      <c r="AD13" s="14">
        <f t="shared" si="3"/>
        <v>0</v>
      </c>
      <c r="AE13" s="14"/>
    </row>
    <row r="14" ht="48.95" customHeight="1" spans="1:31">
      <c r="A14" s="11"/>
      <c r="B14" s="16" t="s">
        <v>207</v>
      </c>
      <c r="C14" s="14"/>
      <c r="D14" s="14"/>
      <c r="E14" s="14"/>
      <c r="F14" s="14">
        <f t="shared" si="0"/>
        <v>0</v>
      </c>
      <c r="G14" s="14"/>
      <c r="I14" s="11"/>
      <c r="J14" s="16" t="s">
        <v>207</v>
      </c>
      <c r="K14" s="14"/>
      <c r="L14" s="14"/>
      <c r="M14" s="14"/>
      <c r="N14" s="14">
        <f t="shared" si="1"/>
        <v>0</v>
      </c>
      <c r="O14" s="14"/>
      <c r="Q14" s="11"/>
      <c r="R14" s="16" t="s">
        <v>207</v>
      </c>
      <c r="S14" s="14"/>
      <c r="T14" s="14"/>
      <c r="U14" s="14"/>
      <c r="V14" s="14">
        <f t="shared" si="2"/>
        <v>0</v>
      </c>
      <c r="W14" s="14"/>
      <c r="Y14" s="11"/>
      <c r="Z14" s="16" t="s">
        <v>207</v>
      </c>
      <c r="AA14" s="14"/>
      <c r="AB14" s="14"/>
      <c r="AC14" s="14"/>
      <c r="AD14" s="14">
        <f t="shared" si="3"/>
        <v>0</v>
      </c>
      <c r="AE14" s="14"/>
    </row>
    <row r="15" ht="48.95" customHeight="1" spans="1:31">
      <c r="A15" s="11"/>
      <c r="B15" s="15" t="s">
        <v>201</v>
      </c>
      <c r="C15" s="14" t="s">
        <v>65</v>
      </c>
      <c r="D15" s="14">
        <f>(0.543+0.156+0.686+1.112+1.133*2+0.296*3)*3+3.98*3+(1.55+1.7+1.055)*3</f>
        <v>41.808</v>
      </c>
      <c r="E15" s="14">
        <v>3.06</v>
      </c>
      <c r="F15" s="14">
        <f t="shared" si="0"/>
        <v>127.93248</v>
      </c>
      <c r="G15" s="14"/>
      <c r="I15" s="11"/>
      <c r="J15" s="15" t="s">
        <v>201</v>
      </c>
      <c r="K15" s="14" t="s">
        <v>65</v>
      </c>
      <c r="L15" s="14">
        <f>(0.543+0.156+0.686+1.112+1.133*2+0.296*3)*3+3.98*3+(1.55+1.7+1.055)*3</f>
        <v>41.808</v>
      </c>
      <c r="M15" s="14">
        <v>3.06</v>
      </c>
      <c r="N15" s="14">
        <f t="shared" si="1"/>
        <v>127.93248</v>
      </c>
      <c r="O15" s="14"/>
      <c r="Q15" s="11"/>
      <c r="R15" s="15" t="s">
        <v>201</v>
      </c>
      <c r="S15" s="14" t="s">
        <v>65</v>
      </c>
      <c r="T15" s="14">
        <f>(0.543+0.156+0.686+1.112+1.133*2+0.296*3)*3+3.98*3+(1.55+1.7+1.055)*3</f>
        <v>41.808</v>
      </c>
      <c r="U15" s="14">
        <v>3.06</v>
      </c>
      <c r="V15" s="14">
        <f t="shared" si="2"/>
        <v>127.93248</v>
      </c>
      <c r="W15" s="14"/>
      <c r="Y15" s="11"/>
      <c r="Z15" s="15" t="s">
        <v>201</v>
      </c>
      <c r="AA15" s="14" t="s">
        <v>65</v>
      </c>
      <c r="AB15" s="14">
        <f>(0.543+0.156+0.686+1.112+1.133*2+0.296*3)*3+3.98*3+(1.55+1.7+1.055)*3</f>
        <v>41.808</v>
      </c>
      <c r="AC15" s="14">
        <v>3.06</v>
      </c>
      <c r="AD15" s="14">
        <f t="shared" si="3"/>
        <v>127.93248</v>
      </c>
      <c r="AE15" s="14"/>
    </row>
    <row r="16" ht="48.95" customHeight="1" spans="1:31">
      <c r="A16" s="11"/>
      <c r="B16" s="12" t="s">
        <v>208</v>
      </c>
      <c r="C16" s="13" t="s">
        <v>198</v>
      </c>
      <c r="D16" s="14">
        <f>5*3</f>
        <v>15</v>
      </c>
      <c r="E16" s="14"/>
      <c r="F16" s="14">
        <f t="shared" si="0"/>
        <v>0</v>
      </c>
      <c r="G16" s="14"/>
      <c r="I16" s="11"/>
      <c r="J16" s="12" t="s">
        <v>208</v>
      </c>
      <c r="K16" s="13" t="s">
        <v>198</v>
      </c>
      <c r="L16" s="14">
        <f>5*3</f>
        <v>15</v>
      </c>
      <c r="M16" s="14"/>
      <c r="N16" s="14">
        <f t="shared" si="1"/>
        <v>0</v>
      </c>
      <c r="O16" s="14"/>
      <c r="Q16" s="11"/>
      <c r="R16" s="12" t="s">
        <v>208</v>
      </c>
      <c r="S16" s="13" t="s">
        <v>198</v>
      </c>
      <c r="T16" s="14">
        <f>5*3</f>
        <v>15</v>
      </c>
      <c r="U16" s="14"/>
      <c r="V16" s="14">
        <f t="shared" si="2"/>
        <v>0</v>
      </c>
      <c r="W16" s="14"/>
      <c r="Y16" s="11"/>
      <c r="Z16" s="12" t="s">
        <v>208</v>
      </c>
      <c r="AA16" s="13" t="s">
        <v>198</v>
      </c>
      <c r="AB16" s="14">
        <f>5*3</f>
        <v>15</v>
      </c>
      <c r="AC16" s="14"/>
      <c r="AD16" s="14">
        <f t="shared" si="3"/>
        <v>0</v>
      </c>
      <c r="AE16" s="14"/>
    </row>
    <row r="17" ht="48.95" customHeight="1" spans="1:31">
      <c r="A17" s="11"/>
      <c r="B17" s="17" t="s">
        <v>209</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210</v>
      </c>
      <c r="C18" s="14" t="s">
        <v>65</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211</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212</v>
      </c>
      <c r="C20" s="13" t="s">
        <v>198</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213</v>
      </c>
      <c r="C21" s="14" t="s">
        <v>65</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95</v>
      </c>
      <c r="C22" s="14" t="s">
        <v>214</v>
      </c>
      <c r="D22" s="14"/>
      <c r="E22" s="14"/>
      <c r="F22" s="14">
        <f>SUM(F3:F21)</f>
        <v>1343.13132</v>
      </c>
      <c r="G22" s="14"/>
      <c r="I22" s="11"/>
      <c r="J22" s="17" t="s">
        <v>95</v>
      </c>
      <c r="K22" s="14" t="s">
        <v>214</v>
      </c>
      <c r="L22" s="14"/>
      <c r="M22" s="14"/>
      <c r="N22" s="14">
        <f>SUM(N3:N21)</f>
        <v>1095.12914</v>
      </c>
      <c r="O22" s="14"/>
      <c r="Q22" s="11"/>
      <c r="R22" s="17" t="s">
        <v>95</v>
      </c>
      <c r="S22" s="14" t="s">
        <v>214</v>
      </c>
      <c r="T22" s="14"/>
      <c r="U22" s="14"/>
      <c r="V22" s="14">
        <f>SUM(V3:V21)</f>
        <v>1095.12914</v>
      </c>
      <c r="W22" s="14"/>
      <c r="Y22" s="11"/>
      <c r="Z22" s="17" t="s">
        <v>95</v>
      </c>
      <c r="AA22" s="14" t="s">
        <v>214</v>
      </c>
      <c r="AB22" s="14"/>
      <c r="AC22" s="14"/>
      <c r="AD22" s="14">
        <f>SUM(AD3:AD21)</f>
        <v>1058.7335</v>
      </c>
      <c r="AE22" s="14"/>
    </row>
    <row r="26" ht="11.1" customHeight="1"/>
    <row r="27" hidden="1"/>
  </sheetData>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tabSelected="1" view="pageBreakPreview" zoomScaleNormal="100" workbookViewId="0">
      <selection activeCell="I17" sqref="I17"/>
    </sheetView>
  </sheetViews>
  <sheetFormatPr defaultColWidth="8.85714285714286" defaultRowHeight="12.75" outlineLevelCol="5"/>
  <cols>
    <col min="1" max="1" width="8.85714285714286" style="4"/>
    <col min="2" max="2" width="24.4285714285714" style="68" customWidth="1"/>
    <col min="3" max="3" width="8.14285714285714" style="68" customWidth="1"/>
    <col min="4" max="4" width="17.4285714285714" style="4" customWidth="1"/>
    <col min="5" max="5" width="17.1428571428571" style="4" customWidth="1"/>
    <col min="6" max="6" width="10.2857142857143" style="4" customWidth="1"/>
    <col min="7" max="7" width="8.85714285714286" style="4"/>
    <col min="8" max="10" width="14.5714285714286" style="4"/>
    <col min="11" max="11" width="9.57142857142857" style="4"/>
    <col min="12" max="13" width="14.5714285714286" style="4"/>
    <col min="14" max="15" width="8.85714285714286" style="4"/>
    <col min="16" max="18" width="14.5714285714286" style="4"/>
    <col min="19" max="16384" width="8.85714285714286" style="4"/>
  </cols>
  <sheetData>
    <row r="1" s="67" customFormat="1" ht="48" customHeight="1" spans="1:6">
      <c r="A1" s="69" t="s">
        <v>0</v>
      </c>
      <c r="B1" s="69"/>
      <c r="C1" s="69"/>
      <c r="D1" s="69"/>
      <c r="E1" s="69"/>
      <c r="F1" s="69"/>
    </row>
    <row r="2" s="67" customFormat="1" ht="35" customHeight="1" spans="1:6">
      <c r="A2" s="70" t="s">
        <v>1</v>
      </c>
      <c r="B2" s="70" t="s">
        <v>2</v>
      </c>
      <c r="C2" s="70" t="s">
        <v>3</v>
      </c>
      <c r="D2" s="71" t="s">
        <v>4</v>
      </c>
      <c r="E2" s="71" t="s">
        <v>5</v>
      </c>
      <c r="F2" s="72" t="s">
        <v>6</v>
      </c>
    </row>
    <row r="3" s="67" customFormat="1" ht="30" customHeight="1" spans="1:6">
      <c r="A3" s="73" t="s">
        <v>7</v>
      </c>
      <c r="B3" s="73" t="s">
        <v>8</v>
      </c>
      <c r="C3" s="70"/>
      <c r="D3" s="71" t="s">
        <v>9</v>
      </c>
      <c r="E3" s="71">
        <f>SUM(E4:E7)</f>
        <v>5628265.548532</v>
      </c>
      <c r="F3" s="74"/>
    </row>
    <row r="4" s="67" customFormat="1" ht="30" customHeight="1" spans="1:6">
      <c r="A4" s="75">
        <v>1.1</v>
      </c>
      <c r="B4" s="75" t="s">
        <v>10</v>
      </c>
      <c r="C4" s="75" t="s">
        <v>11</v>
      </c>
      <c r="D4" s="76">
        <f>'02、高层公区精装土建工程综合单价分析表'!Q7+'03、洋房公区精装土建工程综合单价分析表'!Q7+'04、架空层公区精装土建工程综合单价分析表'!Q6</f>
        <v>908203.82026</v>
      </c>
      <c r="E4" s="76">
        <f>D4</f>
        <v>908203.82026</v>
      </c>
      <c r="F4" s="9"/>
    </row>
    <row r="5" s="67" customFormat="1" ht="30" customHeight="1" spans="1:6">
      <c r="A5" s="75">
        <v>1.2</v>
      </c>
      <c r="B5" s="75" t="s">
        <v>12</v>
      </c>
      <c r="C5" s="75" t="s">
        <v>11</v>
      </c>
      <c r="D5" s="76">
        <f>'02、高层公区精装土建工程综合单价分析表'!Q18+'03、洋房公区精装土建工程综合单价分析表'!Q15+'04、架空层公区精装土建工程综合单价分析表'!Q11</f>
        <v>3558833.2779285</v>
      </c>
      <c r="E5" s="76">
        <f>D5</f>
        <v>3558833.2779285</v>
      </c>
      <c r="F5" s="9"/>
    </row>
    <row r="6" s="67" customFormat="1" ht="30" customHeight="1" spans="1:6">
      <c r="A6" s="75">
        <v>1.3</v>
      </c>
      <c r="B6" s="75" t="s">
        <v>13</v>
      </c>
      <c r="C6" s="75" t="s">
        <v>11</v>
      </c>
      <c r="D6" s="76">
        <f>'02、高层公区精装土建工程综合单价分析表'!Q42+'03、洋房公区精装土建工程综合单价分析表'!Q39+'04、架空层公区精装土建工程综合单价分析表'!Q22</f>
        <v>986922.6527215</v>
      </c>
      <c r="E6" s="76">
        <f>D6</f>
        <v>986922.6527215</v>
      </c>
      <c r="F6" s="9" t="s">
        <v>14</v>
      </c>
    </row>
    <row r="7" s="67" customFormat="1" ht="30" customHeight="1" spans="1:6">
      <c r="A7" s="75">
        <v>1.4</v>
      </c>
      <c r="B7" s="75" t="s">
        <v>15</v>
      </c>
      <c r="C7" s="75" t="s">
        <v>11</v>
      </c>
      <c r="D7" s="76">
        <f>'02、高层公区精装土建工程综合单价分析表'!Q53+'03、洋房公区精装土建工程综合单价分析表'!Q48+'04、架空层公区精装土建工程综合单价分析表'!Q27</f>
        <v>174305.797622</v>
      </c>
      <c r="E7" s="76">
        <f>D7</f>
        <v>174305.797622</v>
      </c>
      <c r="F7" s="9"/>
    </row>
    <row r="8" s="67" customFormat="1" ht="30" customHeight="1" spans="1:6">
      <c r="A8" s="49" t="s">
        <v>16</v>
      </c>
      <c r="B8" s="49" t="s">
        <v>17</v>
      </c>
      <c r="C8" s="75" t="s">
        <v>11</v>
      </c>
      <c r="D8" s="76" t="s">
        <v>9</v>
      </c>
      <c r="E8" s="71">
        <f>SUM(E9)</f>
        <v>552648.56514923</v>
      </c>
      <c r="F8" s="77"/>
    </row>
    <row r="9" s="67" customFormat="1" ht="30" customHeight="1" spans="1:6">
      <c r="A9" s="75">
        <v>2.2</v>
      </c>
      <c r="B9" s="75" t="s">
        <v>18</v>
      </c>
      <c r="C9" s="75" t="s">
        <v>11</v>
      </c>
      <c r="D9" s="76">
        <f>'05、高层安装工程综合单价分析表'!R22+'06、洋房安装工程综合单价分析表'!R26+'07、架空层安装工程综合单价分析表'!R17</f>
        <v>552648.56514923</v>
      </c>
      <c r="E9" s="76">
        <f>D9</f>
        <v>552648.56514923</v>
      </c>
      <c r="F9" s="77"/>
    </row>
    <row r="10" s="67" customFormat="1" ht="30" customHeight="1" spans="1:6">
      <c r="A10" s="49" t="s">
        <v>19</v>
      </c>
      <c r="B10" s="49" t="s">
        <v>20</v>
      </c>
      <c r="C10" s="75" t="s">
        <v>11</v>
      </c>
      <c r="D10" s="76">
        <f>'08、门头装饰工程'!V20</f>
        <v>782094.378067614</v>
      </c>
      <c r="E10" s="76">
        <f>D10</f>
        <v>782094.378067614</v>
      </c>
      <c r="F10" s="77"/>
    </row>
    <row r="11" s="67" customFormat="1" ht="30" customHeight="1" spans="1:6">
      <c r="A11" s="49" t="s">
        <v>21</v>
      </c>
      <c r="B11" s="49"/>
      <c r="C11" s="49"/>
      <c r="D11" s="49"/>
      <c r="E11" s="78">
        <f>E10+E8+E3</f>
        <v>6963008.49174884</v>
      </c>
      <c r="F11" s="78"/>
    </row>
  </sheetData>
  <mergeCells count="2">
    <mergeCell ref="A1:F1"/>
    <mergeCell ref="A11:B11"/>
  </mergeCells>
  <pageMargins left="0.751388888888889" right="0.751388888888889" top="1" bottom="1" header="0.5" footer="0.5"/>
  <pageSetup paperSize="9"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4285714285714" defaultRowHeight="12.75"/>
  <sheetData/>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7"/>
  <sheetViews>
    <sheetView view="pageBreakPreview" zoomScaleNormal="100" workbookViewId="0">
      <pane ySplit="5" topLeftCell="A50" activePane="bottomLeft" state="frozen"/>
      <selection/>
      <selection pane="bottomLeft" activeCell="J3" sqref="J3:R56"/>
    </sheetView>
  </sheetViews>
  <sheetFormatPr defaultColWidth="9" defaultRowHeight="11.25"/>
  <cols>
    <col min="1" max="1" width="5.28571428571429" style="20" customWidth="1"/>
    <col min="2" max="2" width="12.8571428571429" style="20" customWidth="1"/>
    <col min="3" max="3" width="31.1333333333333" style="20" customWidth="1"/>
    <col min="4" max="4" width="6.42857142857143" style="20" customWidth="1"/>
    <col min="5" max="5" width="9.16190476190476" style="22" customWidth="1"/>
    <col min="6" max="9" width="9.16190476190476" style="22" hidden="1" customWidth="1" outlineLevel="1"/>
    <col min="10" max="10" width="7.28571428571429" style="20" customWidth="1" collapsed="1"/>
    <col min="11" max="11" width="11.0857142857143" style="20" customWidth="1"/>
    <col min="12" max="12" width="7.37142857142857" style="20" customWidth="1"/>
    <col min="13" max="13" width="5.85714285714286" style="20" customWidth="1"/>
    <col min="14" max="14" width="8.69523809523809" style="20" customWidth="1"/>
    <col min="15" max="15" width="8.57142857142857" style="20" customWidth="1"/>
    <col min="16" max="16" width="8.14285714285714" style="20" customWidth="1"/>
    <col min="17" max="17" width="10.1142857142857" style="20" customWidth="1"/>
    <col min="18" max="18" width="11.1714285714286" style="20" customWidth="1"/>
    <col min="19" max="19" width="8.57142857142857" style="20" customWidth="1"/>
    <col min="20" max="20" width="12.2857142857143" style="23" customWidth="1"/>
    <col min="21" max="22" width="11" style="20"/>
    <col min="23" max="16384" width="9" style="20"/>
  </cols>
  <sheetData>
    <row r="1" s="19" customFormat="1" ht="25.5" spans="1:24">
      <c r="A1" s="24" t="s">
        <v>22</v>
      </c>
      <c r="B1" s="24"/>
      <c r="C1" s="24"/>
      <c r="D1" s="24"/>
      <c r="E1" s="25"/>
      <c r="F1" s="25"/>
      <c r="G1" s="25"/>
      <c r="H1" s="25"/>
      <c r="I1" s="25"/>
      <c r="J1" s="24"/>
      <c r="K1" s="24"/>
      <c r="L1" s="24"/>
      <c r="M1" s="24"/>
      <c r="N1" s="24"/>
      <c r="O1" s="24"/>
      <c r="P1" s="24"/>
      <c r="Q1" s="24"/>
      <c r="R1" s="24"/>
      <c r="S1" s="24"/>
      <c r="T1" s="41"/>
      <c r="U1" s="45"/>
      <c r="V1" s="45"/>
      <c r="W1" s="45"/>
      <c r="X1" s="45"/>
    </row>
    <row r="2" s="19" customFormat="1" spans="1:24">
      <c r="A2" s="26" t="s">
        <v>23</v>
      </c>
      <c r="B2" s="26"/>
      <c r="C2" s="26"/>
      <c r="D2" s="26"/>
      <c r="E2" s="36"/>
      <c r="F2" s="36"/>
      <c r="G2" s="36"/>
      <c r="H2" s="36"/>
      <c r="I2" s="36"/>
      <c r="J2" s="26"/>
      <c r="K2" s="26"/>
      <c r="L2" s="26"/>
      <c r="M2" s="26"/>
      <c r="N2" s="26"/>
      <c r="O2" s="26"/>
      <c r="P2" s="26"/>
      <c r="Q2" s="26"/>
      <c r="R2" s="26"/>
      <c r="S2" s="26"/>
      <c r="T2" s="41"/>
      <c r="U2" s="45"/>
      <c r="V2" s="45"/>
      <c r="W2" s="45"/>
      <c r="X2" s="45"/>
    </row>
    <row r="3" s="19" customFormat="1" spans="1:24">
      <c r="A3" s="28" t="s">
        <v>24</v>
      </c>
      <c r="B3" s="28" t="s">
        <v>25</v>
      </c>
      <c r="C3" s="28" t="s">
        <v>26</v>
      </c>
      <c r="D3" s="28" t="s">
        <v>3</v>
      </c>
      <c r="E3" s="37" t="s">
        <v>27</v>
      </c>
      <c r="F3" s="30" t="s">
        <v>28</v>
      </c>
      <c r="G3" s="30" t="s">
        <v>29</v>
      </c>
      <c r="H3" s="30" t="s">
        <v>30</v>
      </c>
      <c r="I3" s="30" t="s">
        <v>31</v>
      </c>
      <c r="J3" s="28" t="s">
        <v>32</v>
      </c>
      <c r="K3" s="28"/>
      <c r="L3" s="28"/>
      <c r="M3" s="28"/>
      <c r="N3" s="28"/>
      <c r="O3" s="28"/>
      <c r="P3" s="28"/>
      <c r="Q3" s="28" t="s">
        <v>33</v>
      </c>
      <c r="R3" s="28" t="s">
        <v>34</v>
      </c>
      <c r="S3" s="28" t="s">
        <v>35</v>
      </c>
      <c r="T3" s="41"/>
      <c r="U3" s="45"/>
      <c r="V3" s="45"/>
      <c r="W3" s="45"/>
      <c r="X3" s="45"/>
    </row>
    <row r="4" s="19" customFormat="1" ht="45" spans="1:24">
      <c r="A4" s="28"/>
      <c r="B4" s="28"/>
      <c r="C4" s="28"/>
      <c r="D4" s="28"/>
      <c r="E4" s="37"/>
      <c r="F4" s="31"/>
      <c r="G4" s="31"/>
      <c r="H4" s="31"/>
      <c r="I4" s="31"/>
      <c r="J4" s="28" t="s">
        <v>36</v>
      </c>
      <c r="K4" s="28" t="s">
        <v>37</v>
      </c>
      <c r="L4" s="28" t="s">
        <v>38</v>
      </c>
      <c r="M4" s="28" t="s">
        <v>39</v>
      </c>
      <c r="N4" s="28" t="s">
        <v>40</v>
      </c>
      <c r="O4" s="28" t="s">
        <v>41</v>
      </c>
      <c r="P4" s="28" t="s">
        <v>42</v>
      </c>
      <c r="Q4" s="28"/>
      <c r="R4" s="28"/>
      <c r="S4" s="28"/>
      <c r="T4" s="41"/>
      <c r="U4" s="45"/>
      <c r="V4" s="45"/>
      <c r="W4" s="45"/>
      <c r="X4" s="45"/>
    </row>
    <row r="5" s="19" customFormat="1" ht="10" customHeight="1" spans="1:24">
      <c r="A5" s="28"/>
      <c r="B5" s="28"/>
      <c r="C5" s="28"/>
      <c r="D5" s="28"/>
      <c r="E5" s="37"/>
      <c r="F5" s="37"/>
      <c r="G5" s="37"/>
      <c r="H5" s="37"/>
      <c r="I5" s="37"/>
      <c r="J5" s="28"/>
      <c r="K5" s="28" t="s">
        <v>43</v>
      </c>
      <c r="L5" s="28" t="s">
        <v>44</v>
      </c>
      <c r="M5" s="28" t="s">
        <v>45</v>
      </c>
      <c r="N5" s="28"/>
      <c r="O5" s="44">
        <v>0.1</v>
      </c>
      <c r="P5" s="44">
        <v>0.09</v>
      </c>
      <c r="Q5" s="28"/>
      <c r="R5" s="28"/>
      <c r="S5" s="28"/>
      <c r="T5" s="41"/>
      <c r="U5" s="45"/>
      <c r="V5" s="45"/>
      <c r="W5" s="45"/>
      <c r="X5" s="45"/>
    </row>
    <row r="6" s="19" customFormat="1" spans="1:24">
      <c r="A6" s="28">
        <v>1</v>
      </c>
      <c r="B6" s="32" t="s">
        <v>10</v>
      </c>
      <c r="C6" s="28"/>
      <c r="D6" s="28"/>
      <c r="E6" s="37"/>
      <c r="F6" s="37"/>
      <c r="G6" s="37"/>
      <c r="H6" s="37"/>
      <c r="I6" s="37"/>
      <c r="J6" s="39"/>
      <c r="K6" s="38"/>
      <c r="L6" s="39"/>
      <c r="M6" s="66"/>
      <c r="N6" s="38"/>
      <c r="O6" s="38"/>
      <c r="P6" s="38"/>
      <c r="Q6" s="38"/>
      <c r="R6" s="38"/>
      <c r="S6" s="37"/>
      <c r="T6" s="41"/>
      <c r="U6" s="45"/>
      <c r="V6" s="45"/>
      <c r="W6" s="45"/>
      <c r="X6" s="45"/>
    </row>
    <row r="7" s="19" customFormat="1" outlineLevel="1" spans="1:24">
      <c r="A7" s="28">
        <f>MAX($A$6:A6)+1</f>
        <v>2</v>
      </c>
      <c r="B7" s="32" t="s">
        <v>46</v>
      </c>
      <c r="C7" s="28"/>
      <c r="D7" s="28"/>
      <c r="E7" s="37"/>
      <c r="F7" s="37"/>
      <c r="G7" s="37"/>
      <c r="H7" s="37"/>
      <c r="I7" s="37"/>
      <c r="J7" s="39"/>
      <c r="K7" s="38"/>
      <c r="L7" s="39"/>
      <c r="M7" s="66"/>
      <c r="N7" s="38"/>
      <c r="O7" s="38"/>
      <c r="P7" s="38"/>
      <c r="Q7" s="38">
        <f>SUM(R8:R17)</f>
        <v>633631.8131</v>
      </c>
      <c r="R7" s="38"/>
      <c r="S7" s="37"/>
      <c r="T7" s="41"/>
      <c r="U7" s="45"/>
      <c r="V7" s="45"/>
      <c r="W7" s="45"/>
      <c r="X7" s="45"/>
    </row>
    <row r="8" s="19" customFormat="1" ht="94" customHeight="1" outlineLevel="1" spans="1:24">
      <c r="A8" s="28">
        <f>MAX($A$6:A7)+1</f>
        <v>3</v>
      </c>
      <c r="B8" s="28" t="s">
        <v>47</v>
      </c>
      <c r="C8" s="28" t="s">
        <v>48</v>
      </c>
      <c r="D8" s="28" t="s">
        <v>49</v>
      </c>
      <c r="E8" s="38">
        <f>SUM(F8:I8)</f>
        <v>163.43</v>
      </c>
      <c r="F8" s="38">
        <f>8.16+30.6</f>
        <v>38.76</v>
      </c>
      <c r="G8" s="38">
        <v>61.69</v>
      </c>
      <c r="H8" s="38">
        <v>12.07</v>
      </c>
      <c r="I8" s="38">
        <v>50.91</v>
      </c>
      <c r="J8" s="39">
        <v>50</v>
      </c>
      <c r="K8" s="38">
        <v>45</v>
      </c>
      <c r="L8" s="39">
        <v>40</v>
      </c>
      <c r="M8" s="44">
        <v>0.1</v>
      </c>
      <c r="N8" s="38">
        <v>20</v>
      </c>
      <c r="O8" s="38">
        <f>(J8+K8+N8)*$O$5</f>
        <v>11.5</v>
      </c>
      <c r="P8" s="38">
        <f>(J8+K8+N8+O8)*$P$5</f>
        <v>11.385</v>
      </c>
      <c r="Q8" s="38">
        <f>J8+K8+N8+O8+P8</f>
        <v>137.885</v>
      </c>
      <c r="R8" s="38">
        <f>E8*Q8</f>
        <v>22534.54555</v>
      </c>
      <c r="S8" s="37"/>
      <c r="T8" s="41"/>
      <c r="U8" s="45"/>
      <c r="V8" s="45"/>
      <c r="W8" s="45"/>
      <c r="X8" s="45"/>
    </row>
    <row r="9" s="19" customFormat="1" ht="94" customHeight="1" outlineLevel="1" spans="1:24">
      <c r="A9" s="28">
        <f>MAX($A$6:A8)+1</f>
        <v>4</v>
      </c>
      <c r="B9" s="28" t="s">
        <v>50</v>
      </c>
      <c r="C9" s="28" t="s">
        <v>51</v>
      </c>
      <c r="D9" s="28" t="s">
        <v>49</v>
      </c>
      <c r="E9" s="38">
        <f>SUM(F9:I9)</f>
        <v>118.73</v>
      </c>
      <c r="F9" s="38">
        <v>0</v>
      </c>
      <c r="G9" s="38">
        <f>18.06+17.91</f>
        <v>35.97</v>
      </c>
      <c r="H9" s="38">
        <f>11.63+11.63+18.19</f>
        <v>41.45</v>
      </c>
      <c r="I9" s="38">
        <f>11.62*2+18.07</f>
        <v>41.31</v>
      </c>
      <c r="J9" s="39">
        <v>55</v>
      </c>
      <c r="K9" s="38">
        <f>(1+M9)*L9</f>
        <v>88</v>
      </c>
      <c r="L9" s="39">
        <v>80</v>
      </c>
      <c r="M9" s="44">
        <v>0.1</v>
      </c>
      <c r="N9" s="38">
        <v>20</v>
      </c>
      <c r="O9" s="38">
        <f>(J9+K9+N9)*$O$5</f>
        <v>16.3</v>
      </c>
      <c r="P9" s="38">
        <f>(J9+K9+N9+O9)*$P$5</f>
        <v>16.137</v>
      </c>
      <c r="Q9" s="38">
        <f>J9+K9+N9+O9+P9</f>
        <v>195.437</v>
      </c>
      <c r="R9" s="38">
        <f>E9*Q9</f>
        <v>23204.23501</v>
      </c>
      <c r="S9" s="37"/>
      <c r="T9" s="41"/>
      <c r="U9" s="45"/>
      <c r="V9" s="45"/>
      <c r="W9" s="45"/>
      <c r="X9" s="45"/>
    </row>
    <row r="10" s="19" customFormat="1" outlineLevel="1" spans="1:24">
      <c r="A10" s="28">
        <f>MAX($A$6:A9)+1</f>
        <v>5</v>
      </c>
      <c r="B10" s="32" t="s">
        <v>52</v>
      </c>
      <c r="C10" s="28"/>
      <c r="D10" s="28"/>
      <c r="E10" s="38"/>
      <c r="F10" s="38"/>
      <c r="G10" s="38"/>
      <c r="H10" s="38"/>
      <c r="I10" s="38"/>
      <c r="J10" s="38"/>
      <c r="K10" s="38"/>
      <c r="L10" s="38"/>
      <c r="M10" s="42"/>
      <c r="N10" s="38"/>
      <c r="O10" s="38"/>
      <c r="R10" s="38"/>
      <c r="S10" s="38"/>
      <c r="T10" s="41"/>
      <c r="U10" s="45"/>
      <c r="V10" s="45"/>
      <c r="W10" s="45"/>
      <c r="X10" s="45"/>
    </row>
    <row r="11" s="19" customFormat="1" ht="107" customHeight="1" outlineLevel="1" spans="1:24">
      <c r="A11" s="28">
        <f>MAX($A$6:A10)+1</f>
        <v>6</v>
      </c>
      <c r="B11" s="28" t="s">
        <v>47</v>
      </c>
      <c r="C11" s="28" t="s">
        <v>53</v>
      </c>
      <c r="D11" s="28" t="s">
        <v>49</v>
      </c>
      <c r="E11" s="38">
        <f>SUM(F11:I11)</f>
        <v>238.04</v>
      </c>
      <c r="F11" s="38">
        <v>39.63</v>
      </c>
      <c r="G11" s="38">
        <v>75.41</v>
      </c>
      <c r="H11" s="38">
        <v>41.56</v>
      </c>
      <c r="I11" s="38">
        <v>81.44</v>
      </c>
      <c r="J11" s="39">
        <v>50</v>
      </c>
      <c r="K11" s="38">
        <f>(1+M11)*L11</f>
        <v>66</v>
      </c>
      <c r="L11" s="39">
        <v>60</v>
      </c>
      <c r="M11" s="44">
        <v>0.1</v>
      </c>
      <c r="N11" s="38">
        <v>20</v>
      </c>
      <c r="O11" s="38">
        <f>(J11+K11+N11)*$O$5</f>
        <v>13.6</v>
      </c>
      <c r="P11" s="38">
        <f>(J11+K11+N11+O11)*$P$5</f>
        <v>13.464</v>
      </c>
      <c r="Q11" s="38">
        <f>J11+K11+N11+O11+P11</f>
        <v>163.064</v>
      </c>
      <c r="R11" s="38">
        <f>E11*Q11</f>
        <v>38815.75456</v>
      </c>
      <c r="S11" s="37"/>
      <c r="T11" s="41"/>
      <c r="U11" s="45"/>
      <c r="V11" s="45"/>
      <c r="W11" s="45"/>
      <c r="X11" s="45"/>
    </row>
    <row r="12" s="19" customFormat="1" ht="123" customHeight="1" outlineLevel="1" spans="1:24">
      <c r="A12" s="28">
        <f>MAX($A$6:A11)+1</f>
        <v>7</v>
      </c>
      <c r="B12" s="28" t="s">
        <v>54</v>
      </c>
      <c r="C12" s="28" t="s">
        <v>55</v>
      </c>
      <c r="D12" s="28" t="s">
        <v>49</v>
      </c>
      <c r="E12" s="38">
        <f>SUM(F12:I12)</f>
        <v>12.97</v>
      </c>
      <c r="F12" s="38">
        <v>1.94</v>
      </c>
      <c r="G12" s="38">
        <v>4.07</v>
      </c>
      <c r="H12" s="38">
        <v>3</v>
      </c>
      <c r="I12" s="38">
        <v>3.96</v>
      </c>
      <c r="J12" s="39">
        <v>95</v>
      </c>
      <c r="K12" s="38">
        <f>(1+M12)*L12</f>
        <v>44</v>
      </c>
      <c r="L12" s="39">
        <v>40</v>
      </c>
      <c r="M12" s="44">
        <v>0.1</v>
      </c>
      <c r="N12" s="38">
        <v>25</v>
      </c>
      <c r="O12" s="38">
        <f>(J12+K12+N12)*$O$5</f>
        <v>16.4</v>
      </c>
      <c r="P12" s="38">
        <f>(J12+K12+N12+O12)*$P$5</f>
        <v>16.236</v>
      </c>
      <c r="Q12" s="38">
        <f>J12+K12+N12+O12+P12</f>
        <v>196.636</v>
      </c>
      <c r="R12" s="38">
        <f>E12*Q12</f>
        <v>2550.36892</v>
      </c>
      <c r="S12" s="37"/>
      <c r="T12" s="41"/>
      <c r="U12" s="45"/>
      <c r="V12" s="45"/>
      <c r="W12" s="45"/>
      <c r="X12" s="45"/>
    </row>
    <row r="13" s="19" customFormat="1" ht="123" customHeight="1" outlineLevel="1" spans="1:24">
      <c r="A13" s="28">
        <f>MAX($A$6:A12)+1</f>
        <v>8</v>
      </c>
      <c r="B13" s="28" t="s">
        <v>56</v>
      </c>
      <c r="C13" s="28" t="s">
        <v>55</v>
      </c>
      <c r="D13" s="28" t="s">
        <v>49</v>
      </c>
      <c r="E13" s="38">
        <f>SUM(F13:I13)</f>
        <v>1.38</v>
      </c>
      <c r="F13" s="38">
        <v>0</v>
      </c>
      <c r="G13" s="38">
        <v>0.72</v>
      </c>
      <c r="H13" s="38">
        <v>0</v>
      </c>
      <c r="I13" s="38">
        <v>0.66</v>
      </c>
      <c r="J13" s="39">
        <v>95</v>
      </c>
      <c r="K13" s="38">
        <f>(1+M13)*L13</f>
        <v>44</v>
      </c>
      <c r="L13" s="39">
        <v>40</v>
      </c>
      <c r="M13" s="44">
        <v>0.1</v>
      </c>
      <c r="N13" s="38">
        <v>20</v>
      </c>
      <c r="O13" s="38">
        <f>(J13+K13+N13)*$O$5</f>
        <v>15.9</v>
      </c>
      <c r="P13" s="38">
        <f>(J13+K13+N13+O13)*$P$5</f>
        <v>15.741</v>
      </c>
      <c r="Q13" s="38">
        <f>J13+K13+N13+O13+P13</f>
        <v>190.641</v>
      </c>
      <c r="R13" s="38">
        <f>E13*Q13</f>
        <v>263.08458</v>
      </c>
      <c r="S13" s="37"/>
      <c r="T13" s="41"/>
      <c r="U13" s="45"/>
      <c r="V13" s="45"/>
      <c r="W13" s="45"/>
      <c r="X13" s="45"/>
    </row>
    <row r="14" s="19" customFormat="1" ht="123" customHeight="1" outlineLevel="1" spans="1:24">
      <c r="A14" s="28">
        <f>MAX($A$6:A13)+1</f>
        <v>9</v>
      </c>
      <c r="B14" s="28" t="s">
        <v>50</v>
      </c>
      <c r="C14" s="28" t="s">
        <v>51</v>
      </c>
      <c r="D14" s="28" t="s">
        <v>49</v>
      </c>
      <c r="E14" s="38">
        <f>SUM(F14:I14)</f>
        <v>152.43</v>
      </c>
      <c r="F14" s="38">
        <f>18.53+15.17</f>
        <v>33.7</v>
      </c>
      <c r="G14" s="38">
        <f>18.06+17.91</f>
        <v>35.97</v>
      </c>
      <c r="H14" s="38">
        <f>11.63+11.63+18.19</f>
        <v>41.45</v>
      </c>
      <c r="I14" s="38">
        <f>11.62*2+18.07</f>
        <v>41.31</v>
      </c>
      <c r="J14" s="39">
        <v>55</v>
      </c>
      <c r="K14" s="38">
        <f>(1+M14)*L14</f>
        <v>88</v>
      </c>
      <c r="L14" s="39">
        <v>80</v>
      </c>
      <c r="M14" s="44">
        <v>0.1</v>
      </c>
      <c r="N14" s="38">
        <v>20</v>
      </c>
      <c r="O14" s="38">
        <f>(J14+K14+N14)*$O$5</f>
        <v>16.3</v>
      </c>
      <c r="P14" s="38">
        <f>(J14+K14+N14+O14)*$P$5</f>
        <v>16.137</v>
      </c>
      <c r="Q14" s="38">
        <f>J14+K14+N14+O14+P14</f>
        <v>195.437</v>
      </c>
      <c r="R14" s="38">
        <f>E14*Q14</f>
        <v>29790.46191</v>
      </c>
      <c r="S14" s="37"/>
      <c r="T14" s="41"/>
      <c r="U14" s="45"/>
      <c r="V14" s="45"/>
      <c r="W14" s="45"/>
      <c r="X14" s="45"/>
    </row>
    <row r="15" s="19" customFormat="1" outlineLevel="1" spans="1:24">
      <c r="A15" s="28">
        <f>MAX($A$6:A14)+1</f>
        <v>10</v>
      </c>
      <c r="B15" s="32" t="s">
        <v>57</v>
      </c>
      <c r="C15" s="28"/>
      <c r="D15" s="28"/>
      <c r="E15" s="38"/>
      <c r="F15" s="38"/>
      <c r="G15" s="38"/>
      <c r="H15" s="38"/>
      <c r="I15" s="38"/>
      <c r="J15" s="38"/>
      <c r="K15" s="38"/>
      <c r="L15" s="38"/>
      <c r="M15" s="42">
        <v>0</v>
      </c>
      <c r="N15" s="38"/>
      <c r="O15" s="38"/>
      <c r="P15" s="38"/>
      <c r="Q15" s="38"/>
      <c r="R15" s="38"/>
      <c r="S15" s="37"/>
      <c r="T15" s="41"/>
      <c r="U15" s="45"/>
      <c r="V15" s="45"/>
      <c r="W15" s="45"/>
      <c r="X15" s="45"/>
    </row>
    <row r="16" s="19" customFormat="1" ht="102" customHeight="1" outlineLevel="2" spans="1:24">
      <c r="A16" s="28">
        <f>MAX($A$6:A15)+1</f>
        <v>11</v>
      </c>
      <c r="B16" s="28" t="s">
        <v>47</v>
      </c>
      <c r="C16" s="28" t="s">
        <v>48</v>
      </c>
      <c r="D16" s="28" t="s">
        <v>49</v>
      </c>
      <c r="E16" s="38">
        <f>SUM(F16:I16)</f>
        <v>3267.48</v>
      </c>
      <c r="F16" s="38">
        <v>446.75</v>
      </c>
      <c r="G16" s="38">
        <v>941.75</v>
      </c>
      <c r="H16" s="38">
        <f>494.34+393.14</f>
        <v>887.48</v>
      </c>
      <c r="I16" s="38">
        <f>446.75+544.75</f>
        <v>991.5</v>
      </c>
      <c r="J16" s="39">
        <v>50</v>
      </c>
      <c r="K16" s="38">
        <v>45</v>
      </c>
      <c r="L16" s="39">
        <v>40</v>
      </c>
      <c r="M16" s="44">
        <v>0.1</v>
      </c>
      <c r="N16" s="38">
        <v>20</v>
      </c>
      <c r="O16" s="38">
        <f>(J16+K16+N16)*$O$5</f>
        <v>11.5</v>
      </c>
      <c r="P16" s="38">
        <f>(J16+K16+N16+O16)*$P$5</f>
        <v>11.385</v>
      </c>
      <c r="Q16" s="38">
        <f t="shared" ref="Q15:Q49" si="0">J16+K16+N16+O16+P16</f>
        <v>137.885</v>
      </c>
      <c r="R16" s="38">
        <f t="shared" ref="R15:R52" si="1">E16*Q16</f>
        <v>450536.4798</v>
      </c>
      <c r="S16" s="37"/>
      <c r="T16" s="41"/>
      <c r="U16" s="45"/>
      <c r="V16" s="45"/>
      <c r="W16" s="45"/>
      <c r="X16" s="45"/>
    </row>
    <row r="17" s="19" customFormat="1" ht="121" customHeight="1" outlineLevel="2" spans="1:24">
      <c r="A17" s="28">
        <f>MAX($A$6:A16)+1</f>
        <v>12</v>
      </c>
      <c r="B17" s="28" t="s">
        <v>54</v>
      </c>
      <c r="C17" s="28" t="s">
        <v>55</v>
      </c>
      <c r="D17" s="28" t="s">
        <v>49</v>
      </c>
      <c r="E17" s="38">
        <f>SUM(F17:I17)</f>
        <v>303.83</v>
      </c>
      <c r="F17" s="38">
        <v>58.19</v>
      </c>
      <c r="G17" s="38">
        <v>0</v>
      </c>
      <c r="H17" s="38">
        <f>56.77+51.21</f>
        <v>107.98</v>
      </c>
      <c r="I17" s="38">
        <f>58.19+79.47</f>
        <v>137.66</v>
      </c>
      <c r="J17" s="39">
        <v>95</v>
      </c>
      <c r="K17" s="38">
        <f>(1+M17)*L17</f>
        <v>66</v>
      </c>
      <c r="L17" s="39">
        <v>60</v>
      </c>
      <c r="M17" s="44">
        <v>0.1</v>
      </c>
      <c r="N17" s="38">
        <v>20</v>
      </c>
      <c r="O17" s="38">
        <f>(J17+K17+N17)*$O$5</f>
        <v>18.1</v>
      </c>
      <c r="P17" s="38">
        <f>(J17+K17+N17+O17)*$P$5</f>
        <v>17.919</v>
      </c>
      <c r="Q17" s="38">
        <f t="shared" si="0"/>
        <v>217.019</v>
      </c>
      <c r="R17" s="38">
        <f t="shared" si="1"/>
        <v>65936.88277</v>
      </c>
      <c r="S17" s="37"/>
      <c r="T17" s="41"/>
      <c r="U17" s="45"/>
      <c r="V17" s="45"/>
      <c r="W17" s="45"/>
      <c r="X17" s="45"/>
    </row>
    <row r="18" s="19" customFormat="1" ht="31" customHeight="1" spans="1:24">
      <c r="A18" s="28">
        <f>MAX($A$6:A17)+1</f>
        <v>13</v>
      </c>
      <c r="B18" s="32" t="s">
        <v>12</v>
      </c>
      <c r="C18" s="28"/>
      <c r="D18" s="28"/>
      <c r="E18" s="37"/>
      <c r="F18" s="37"/>
      <c r="G18" s="37"/>
      <c r="H18" s="37"/>
      <c r="I18" s="37"/>
      <c r="J18" s="38"/>
      <c r="K18" s="38"/>
      <c r="L18" s="38"/>
      <c r="M18" s="42"/>
      <c r="N18" s="38"/>
      <c r="O18" s="38"/>
      <c r="P18" s="38"/>
      <c r="Q18" s="38">
        <f>SUM(R20:R41)</f>
        <v>2797318.5408135</v>
      </c>
      <c r="R18" s="38"/>
      <c r="S18" s="37"/>
      <c r="T18" s="41"/>
      <c r="U18" s="45"/>
      <c r="V18" s="45"/>
      <c r="W18" s="45"/>
      <c r="X18" s="45"/>
    </row>
    <row r="19" s="19" customFormat="1" outlineLevel="1" spans="1:24">
      <c r="A19" s="28">
        <f>MAX($A$6:A18)+1</f>
        <v>14</v>
      </c>
      <c r="B19" s="32" t="s">
        <v>46</v>
      </c>
      <c r="C19" s="28"/>
      <c r="D19" s="28"/>
      <c r="E19" s="37"/>
      <c r="F19" s="37"/>
      <c r="G19" s="37"/>
      <c r="H19" s="37"/>
      <c r="I19" s="37"/>
      <c r="J19" s="38"/>
      <c r="K19" s="38"/>
      <c r="L19" s="38"/>
      <c r="M19" s="42"/>
      <c r="N19" s="38"/>
      <c r="O19" s="38"/>
      <c r="P19" s="38"/>
      <c r="Q19" s="38"/>
      <c r="R19" s="38"/>
      <c r="S19" s="37"/>
      <c r="T19" s="41"/>
      <c r="U19" s="45"/>
      <c r="V19" s="45"/>
      <c r="W19" s="45"/>
      <c r="X19" s="45"/>
    </row>
    <row r="20" s="19" customFormat="1" ht="135" customHeight="1" outlineLevel="1" spans="1:24">
      <c r="A20" s="28">
        <f>MAX($A$6:A19)+1</f>
        <v>15</v>
      </c>
      <c r="B20" s="28" t="s">
        <v>58</v>
      </c>
      <c r="C20" s="28" t="s">
        <v>59</v>
      </c>
      <c r="D20" s="28" t="s">
        <v>49</v>
      </c>
      <c r="E20" s="37">
        <f t="shared" ref="E20:E25" si="2">SUM(F20:I20)</f>
        <v>607.79</v>
      </c>
      <c r="F20" s="37">
        <f>32.1+119.28</f>
        <v>151.38</v>
      </c>
      <c r="G20" s="37">
        <v>233.84</v>
      </c>
      <c r="H20" s="37">
        <v>34.95</v>
      </c>
      <c r="I20" s="37">
        <v>187.62</v>
      </c>
      <c r="J20" s="39">
        <v>55</v>
      </c>
      <c r="K20" s="38">
        <f t="shared" ref="K20:K25" si="3">(1+M20)*L20</f>
        <v>44</v>
      </c>
      <c r="L20" s="39">
        <v>40</v>
      </c>
      <c r="M20" s="44">
        <v>0.1</v>
      </c>
      <c r="N20" s="38">
        <v>15</v>
      </c>
      <c r="O20" s="38">
        <f>(J20+K20+N20)*$O$5</f>
        <v>11.4</v>
      </c>
      <c r="P20" s="38">
        <f>(J20+K20+N20+O20)*$P$5</f>
        <v>11.286</v>
      </c>
      <c r="Q20" s="38">
        <f t="shared" si="0"/>
        <v>136.686</v>
      </c>
      <c r="R20" s="38">
        <f t="shared" si="1"/>
        <v>83076.38394</v>
      </c>
      <c r="S20" s="37"/>
      <c r="T20" s="41"/>
      <c r="U20" s="45"/>
      <c r="V20" s="45"/>
      <c r="W20" s="45"/>
      <c r="X20" s="45"/>
    </row>
    <row r="21" s="19" customFormat="1" ht="56.25" outlineLevel="1" spans="1:24">
      <c r="A21" s="28">
        <f>MAX($A$6:A20)+1</f>
        <v>16</v>
      </c>
      <c r="B21" s="28" t="s">
        <v>60</v>
      </c>
      <c r="C21" s="28" t="s">
        <v>61</v>
      </c>
      <c r="D21" s="28" t="s">
        <v>49</v>
      </c>
      <c r="E21" s="37">
        <f t="shared" si="2"/>
        <v>22.02</v>
      </c>
      <c r="F21" s="37">
        <f>2.64*2</f>
        <v>5.28</v>
      </c>
      <c r="G21" s="37">
        <v>8.23</v>
      </c>
      <c r="H21" s="37">
        <v>2.95</v>
      </c>
      <c r="I21" s="37">
        <v>5.56</v>
      </c>
      <c r="J21" s="39">
        <v>100</v>
      </c>
      <c r="K21" s="38">
        <f t="shared" si="3"/>
        <v>315</v>
      </c>
      <c r="L21" s="39">
        <v>300</v>
      </c>
      <c r="M21" s="44">
        <v>0.05</v>
      </c>
      <c r="N21" s="38">
        <v>15</v>
      </c>
      <c r="O21" s="38">
        <f>(J21+K21+N21)*$O$5</f>
        <v>43</v>
      </c>
      <c r="P21" s="38">
        <f>(J21+K21+N21+O21)*$P$5</f>
        <v>42.57</v>
      </c>
      <c r="Q21" s="38">
        <f t="shared" si="0"/>
        <v>515.57</v>
      </c>
      <c r="R21" s="38">
        <f t="shared" si="1"/>
        <v>11352.8514</v>
      </c>
      <c r="S21" s="37"/>
      <c r="T21" s="41"/>
      <c r="U21" s="45"/>
      <c r="V21" s="45"/>
      <c r="W21" s="45"/>
      <c r="X21" s="45"/>
    </row>
    <row r="22" s="19" customFormat="1" ht="78.75" outlineLevel="1" spans="1:24">
      <c r="A22" s="28">
        <f>MAX($A$6:A21)+1</f>
        <v>17</v>
      </c>
      <c r="B22" s="28" t="s">
        <v>60</v>
      </c>
      <c r="C22" s="28" t="s">
        <v>62</v>
      </c>
      <c r="D22" s="28" t="s">
        <v>49</v>
      </c>
      <c r="E22" s="37">
        <f t="shared" si="2"/>
        <v>16.83</v>
      </c>
      <c r="F22" s="37">
        <f>1.53*2</f>
        <v>3.06</v>
      </c>
      <c r="G22" s="37">
        <v>6.12</v>
      </c>
      <c r="H22" s="37">
        <v>3.06</v>
      </c>
      <c r="I22" s="37">
        <v>4.59</v>
      </c>
      <c r="J22" s="39">
        <v>100</v>
      </c>
      <c r="K22" s="38">
        <f t="shared" si="3"/>
        <v>315</v>
      </c>
      <c r="L22" s="39">
        <v>300</v>
      </c>
      <c r="M22" s="44">
        <v>0.05</v>
      </c>
      <c r="N22" s="38">
        <v>20</v>
      </c>
      <c r="O22" s="38">
        <f>(J22+K22+N22)*$O$5</f>
        <v>43.5</v>
      </c>
      <c r="P22" s="38">
        <f>(J22+K22+N22+O22)*$P$5</f>
        <v>43.065</v>
      </c>
      <c r="Q22" s="38">
        <f t="shared" si="0"/>
        <v>521.565</v>
      </c>
      <c r="R22" s="38">
        <f t="shared" si="1"/>
        <v>8777.93895</v>
      </c>
      <c r="S22" s="37"/>
      <c r="T22" s="41"/>
      <c r="U22" s="45"/>
      <c r="V22" s="45"/>
      <c r="W22" s="45"/>
      <c r="X22" s="45"/>
    </row>
    <row r="23" s="19" customFormat="1" ht="45" outlineLevel="1" spans="1:24">
      <c r="A23" s="28">
        <f>MAX($A$6:A22)+1</f>
        <v>18</v>
      </c>
      <c r="B23" s="28" t="s">
        <v>63</v>
      </c>
      <c r="C23" s="28" t="s">
        <v>64</v>
      </c>
      <c r="D23" s="28" t="s">
        <v>65</v>
      </c>
      <c r="E23" s="37">
        <f t="shared" si="2"/>
        <v>183.7</v>
      </c>
      <c r="F23" s="37">
        <f>5.4+26.8</f>
        <v>32.2</v>
      </c>
      <c r="G23" s="37">
        <v>75.4</v>
      </c>
      <c r="H23" s="37">
        <v>21.7</v>
      </c>
      <c r="I23" s="37">
        <v>54.4</v>
      </c>
      <c r="J23" s="39">
        <v>20</v>
      </c>
      <c r="K23" s="38">
        <f t="shared" si="3"/>
        <v>36.75</v>
      </c>
      <c r="L23" s="39">
        <v>35</v>
      </c>
      <c r="M23" s="44">
        <v>0.05</v>
      </c>
      <c r="N23" s="38">
        <v>10</v>
      </c>
      <c r="O23" s="38">
        <f>(J23+K23+N23)*$O$5</f>
        <v>6.675</v>
      </c>
      <c r="P23" s="38">
        <f>(J23+K23+N23+O23)*$P$5</f>
        <v>6.60825</v>
      </c>
      <c r="Q23" s="38">
        <f t="shared" si="0"/>
        <v>80.03325</v>
      </c>
      <c r="R23" s="38">
        <f t="shared" si="1"/>
        <v>14702.108025</v>
      </c>
      <c r="S23" s="37"/>
      <c r="T23" s="41"/>
      <c r="U23" s="45"/>
      <c r="V23" s="45"/>
      <c r="W23" s="45"/>
      <c r="X23" s="45"/>
    </row>
    <row r="24" s="19" customFormat="1" ht="45" outlineLevel="1" spans="1:24">
      <c r="A24" s="28">
        <f>MAX($A$6:A23)+1</f>
        <v>19</v>
      </c>
      <c r="B24" s="28" t="s">
        <v>66</v>
      </c>
      <c r="C24" s="28" t="s">
        <v>67</v>
      </c>
      <c r="D24" s="28" t="s">
        <v>49</v>
      </c>
      <c r="E24" s="37">
        <f t="shared" si="2"/>
        <v>904.43</v>
      </c>
      <c r="F24" s="37">
        <f>37.88</f>
        <v>37.88</v>
      </c>
      <c r="G24" s="37">
        <f>109.2+19.5*2*5.25-1.15*2.1*2</f>
        <v>309.12</v>
      </c>
      <c r="H24" s="37">
        <f>18.62+14.3*2*5.25+19.6*5.25-1.15*2.1*3</f>
        <v>264.425</v>
      </c>
      <c r="I24" s="37">
        <f>47.2+14.3*5.25*2+19.6*5.25-1.15*2.1*3</f>
        <v>293.005</v>
      </c>
      <c r="J24" s="39">
        <v>15</v>
      </c>
      <c r="K24" s="38">
        <v>21</v>
      </c>
      <c r="L24" s="39">
        <v>20</v>
      </c>
      <c r="M24" s="44">
        <v>0.05</v>
      </c>
      <c r="N24" s="38">
        <v>8</v>
      </c>
      <c r="O24" s="38">
        <f>(J24+K24+N24)*$O$5</f>
        <v>4.4</v>
      </c>
      <c r="P24" s="38">
        <f>(J24+K24+N24+O24)*$P$5</f>
        <v>4.356</v>
      </c>
      <c r="Q24" s="38">
        <f t="shared" si="0"/>
        <v>52.756</v>
      </c>
      <c r="R24" s="38">
        <f t="shared" si="1"/>
        <v>47714.10908</v>
      </c>
      <c r="S24" s="37"/>
      <c r="T24" s="41"/>
      <c r="U24" s="45"/>
      <c r="V24" s="45"/>
      <c r="W24" s="45"/>
      <c r="X24" s="45"/>
    </row>
    <row r="25" s="19" customFormat="1" ht="33.75" outlineLevel="1" spans="1:24">
      <c r="A25" s="28">
        <f>MAX($A$6:A24)+1</f>
        <v>20</v>
      </c>
      <c r="B25" s="28" t="s">
        <v>68</v>
      </c>
      <c r="C25" s="28" t="s">
        <v>69</v>
      </c>
      <c r="D25" s="28" t="s">
        <v>70</v>
      </c>
      <c r="E25" s="37">
        <f t="shared" si="2"/>
        <v>150</v>
      </c>
      <c r="F25" s="37">
        <v>15</v>
      </c>
      <c r="G25" s="37">
        <v>88</v>
      </c>
      <c r="H25" s="37">
        <v>4</v>
      </c>
      <c r="I25" s="37">
        <v>43</v>
      </c>
      <c r="J25" s="39">
        <v>200</v>
      </c>
      <c r="K25" s="38">
        <f>(1+M25)*L25</f>
        <v>125</v>
      </c>
      <c r="L25" s="39">
        <v>125</v>
      </c>
      <c r="M25" s="44">
        <v>0</v>
      </c>
      <c r="N25" s="38">
        <v>19.5</v>
      </c>
      <c r="O25" s="38">
        <f>(J25+K25+N25)*$O$5</f>
        <v>34.45</v>
      </c>
      <c r="P25" s="38">
        <f>(J25+K25+N25+O25)*$P$5</f>
        <v>34.1055</v>
      </c>
      <c r="Q25" s="38">
        <f t="shared" si="0"/>
        <v>413.0555</v>
      </c>
      <c r="R25" s="38">
        <f t="shared" si="1"/>
        <v>61958.325</v>
      </c>
      <c r="S25" s="37"/>
      <c r="T25" s="41"/>
      <c r="U25" s="45"/>
      <c r="V25" s="45"/>
      <c r="W25" s="45"/>
      <c r="X25" s="45"/>
    </row>
    <row r="26" s="19" customFormat="1" outlineLevel="1" spans="1:24">
      <c r="A26" s="28">
        <f>MAX($A$6:A25)+1</f>
        <v>21</v>
      </c>
      <c r="B26" s="32" t="s">
        <v>52</v>
      </c>
      <c r="C26" s="28"/>
      <c r="D26" s="28"/>
      <c r="E26" s="37"/>
      <c r="F26" s="37"/>
      <c r="G26" s="37"/>
      <c r="H26" s="37"/>
      <c r="I26" s="37"/>
      <c r="J26" s="38"/>
      <c r="K26" s="38"/>
      <c r="L26" s="38"/>
      <c r="M26" s="42"/>
      <c r="N26" s="38"/>
      <c r="O26" s="38"/>
      <c r="P26" s="38"/>
      <c r="Q26" s="38"/>
      <c r="R26" s="38"/>
      <c r="S26" s="37"/>
      <c r="T26" s="41"/>
      <c r="U26" s="45"/>
      <c r="V26" s="45"/>
      <c r="W26" s="45"/>
      <c r="X26" s="45"/>
    </row>
    <row r="27" s="19" customFormat="1" ht="115" customHeight="1" outlineLevel="1" spans="1:24">
      <c r="A27" s="28">
        <f>MAX($A$6:A26)+1</f>
        <v>22</v>
      </c>
      <c r="B27" s="28" t="s">
        <v>71</v>
      </c>
      <c r="C27" s="28" t="s">
        <v>72</v>
      </c>
      <c r="D27" s="28" t="s">
        <v>49</v>
      </c>
      <c r="E27" s="37">
        <f t="shared" ref="E27:E36" si="4">SUM(F27:I27)</f>
        <v>49.82</v>
      </c>
      <c r="F27" s="37">
        <v>10.2</v>
      </c>
      <c r="G27" s="37">
        <v>19.63</v>
      </c>
      <c r="H27" s="37">
        <v>5.4</v>
      </c>
      <c r="I27" s="37">
        <v>14.59</v>
      </c>
      <c r="J27" s="39">
        <v>100</v>
      </c>
      <c r="K27" s="38">
        <f t="shared" ref="K27:K36" si="5">(1+M27)*L27</f>
        <v>275</v>
      </c>
      <c r="L27" s="39">
        <v>250</v>
      </c>
      <c r="M27" s="44">
        <v>0.1</v>
      </c>
      <c r="N27" s="38">
        <v>50</v>
      </c>
      <c r="O27" s="38">
        <f>(J27+K27+N27)*$O$5</f>
        <v>42.5</v>
      </c>
      <c r="P27" s="38">
        <f>(J27+K27+N27+O27)*$P$5</f>
        <v>42.075</v>
      </c>
      <c r="Q27" s="38">
        <f t="shared" si="0"/>
        <v>509.575</v>
      </c>
      <c r="R27" s="38">
        <f t="shared" si="1"/>
        <v>25387.0265</v>
      </c>
      <c r="S27" s="37"/>
      <c r="T27" s="41"/>
      <c r="U27" s="45"/>
      <c r="V27" s="45"/>
      <c r="W27" s="45"/>
      <c r="X27" s="45"/>
    </row>
    <row r="28" s="19" customFormat="1" ht="100" customHeight="1" outlineLevel="1" spans="1:24">
      <c r="A28" s="28">
        <f>MAX($A$6:A27)+1</f>
        <v>23</v>
      </c>
      <c r="B28" s="28" t="s">
        <v>71</v>
      </c>
      <c r="C28" s="28" t="s">
        <v>73</v>
      </c>
      <c r="D28" s="28" t="s">
        <v>49</v>
      </c>
      <c r="E28" s="37">
        <f t="shared" si="4"/>
        <v>572.15</v>
      </c>
      <c r="F28" s="37">
        <v>94.89</v>
      </c>
      <c r="G28" s="37">
        <v>179.7</v>
      </c>
      <c r="H28" s="37">
        <v>97.76</v>
      </c>
      <c r="I28" s="37">
        <v>199.8</v>
      </c>
      <c r="J28" s="39">
        <v>100</v>
      </c>
      <c r="K28" s="38">
        <f t="shared" si="5"/>
        <v>275</v>
      </c>
      <c r="L28" s="39">
        <v>250</v>
      </c>
      <c r="M28" s="44">
        <v>0.1</v>
      </c>
      <c r="N28" s="38">
        <v>50</v>
      </c>
      <c r="O28" s="38">
        <f>(J28+K28+N28)*$O$5</f>
        <v>42.5</v>
      </c>
      <c r="P28" s="38">
        <f>(J28+K28+N28+O28)*$P$5</f>
        <v>42.075</v>
      </c>
      <c r="Q28" s="38">
        <f t="shared" si="0"/>
        <v>509.575</v>
      </c>
      <c r="R28" s="38">
        <f t="shared" si="1"/>
        <v>291553.33625</v>
      </c>
      <c r="S28" s="37"/>
      <c r="T28" s="41"/>
      <c r="U28" s="45"/>
      <c r="V28" s="45"/>
      <c r="W28" s="45"/>
      <c r="X28" s="45"/>
    </row>
    <row r="29" s="19" customFormat="1" ht="78.75" outlineLevel="1" spans="1:24">
      <c r="A29" s="28">
        <f>MAX($A$6:A28)+1</f>
        <v>24</v>
      </c>
      <c r="B29" s="28" t="s">
        <v>74</v>
      </c>
      <c r="C29" s="28" t="s">
        <v>75</v>
      </c>
      <c r="D29" s="28" t="s">
        <v>65</v>
      </c>
      <c r="E29" s="37">
        <f t="shared" si="4"/>
        <v>199.59</v>
      </c>
      <c r="F29" s="37">
        <v>33.21</v>
      </c>
      <c r="G29" s="37">
        <v>60.12</v>
      </c>
      <c r="H29" s="37">
        <v>35.54</v>
      </c>
      <c r="I29" s="37">
        <v>70.72</v>
      </c>
      <c r="J29" s="39">
        <v>20</v>
      </c>
      <c r="K29" s="38">
        <f t="shared" si="5"/>
        <v>36.75</v>
      </c>
      <c r="L29" s="39">
        <v>35</v>
      </c>
      <c r="M29" s="44">
        <v>0.05</v>
      </c>
      <c r="N29" s="38">
        <v>10</v>
      </c>
      <c r="O29" s="38">
        <f>(J29+K29+N29)*$O$5</f>
        <v>6.675</v>
      </c>
      <c r="P29" s="38">
        <f>(J29+K29+N29+O29)*$P$5</f>
        <v>6.60825</v>
      </c>
      <c r="Q29" s="38">
        <f t="shared" si="0"/>
        <v>80.03325</v>
      </c>
      <c r="R29" s="38">
        <f t="shared" si="1"/>
        <v>15973.8363675</v>
      </c>
      <c r="S29" s="37"/>
      <c r="T29" s="41"/>
      <c r="U29" s="45"/>
      <c r="V29" s="45"/>
      <c r="W29" s="45"/>
      <c r="X29" s="45"/>
    </row>
    <row r="30" s="19" customFormat="1" ht="56.25" outlineLevel="1" spans="1:24">
      <c r="A30" s="28">
        <f>MAX($A$6:A29)+1</f>
        <v>25</v>
      </c>
      <c r="B30" s="28" t="s">
        <v>60</v>
      </c>
      <c r="C30" s="28" t="s">
        <v>76</v>
      </c>
      <c r="D30" s="28" t="s">
        <v>49</v>
      </c>
      <c r="E30" s="37">
        <f t="shared" si="4"/>
        <v>2.44</v>
      </c>
      <c r="F30" s="37">
        <v>0</v>
      </c>
      <c r="G30" s="37">
        <v>0</v>
      </c>
      <c r="H30" s="37">
        <v>2.44</v>
      </c>
      <c r="I30" s="37">
        <v>0</v>
      </c>
      <c r="J30" s="39">
        <v>100</v>
      </c>
      <c r="K30" s="38">
        <f t="shared" si="5"/>
        <v>315</v>
      </c>
      <c r="L30" s="39">
        <v>300</v>
      </c>
      <c r="M30" s="44">
        <v>0.05</v>
      </c>
      <c r="N30" s="38">
        <v>15</v>
      </c>
      <c r="O30" s="38">
        <f>(J30+K30+N30)*$O$5</f>
        <v>43</v>
      </c>
      <c r="P30" s="38">
        <f>(J30+K30+N30+O30)*$P$5</f>
        <v>42.57</v>
      </c>
      <c r="Q30" s="38">
        <f t="shared" si="0"/>
        <v>515.57</v>
      </c>
      <c r="R30" s="38">
        <f t="shared" si="1"/>
        <v>1257.9908</v>
      </c>
      <c r="S30" s="37"/>
      <c r="T30" s="41"/>
      <c r="U30" s="45"/>
      <c r="V30" s="45"/>
      <c r="W30" s="45"/>
      <c r="X30" s="45"/>
    </row>
    <row r="31" s="19" customFormat="1" ht="56.25" outlineLevel="1" spans="1:24">
      <c r="A31" s="28">
        <f>MAX($A$6:A30)+1</f>
        <v>26</v>
      </c>
      <c r="B31" s="28" t="s">
        <v>63</v>
      </c>
      <c r="C31" s="28" t="s">
        <v>77</v>
      </c>
      <c r="D31" s="28" t="s">
        <v>65</v>
      </c>
      <c r="E31" s="37">
        <f t="shared" si="4"/>
        <v>70.26</v>
      </c>
      <c r="F31" s="37">
        <v>13</v>
      </c>
      <c r="G31" s="37">
        <v>26</v>
      </c>
      <c r="H31" s="37">
        <v>9.4</v>
      </c>
      <c r="I31" s="37">
        <v>21.86</v>
      </c>
      <c r="J31" s="39">
        <v>20</v>
      </c>
      <c r="K31" s="38">
        <f t="shared" si="5"/>
        <v>47.25</v>
      </c>
      <c r="L31" s="39">
        <v>45</v>
      </c>
      <c r="M31" s="44">
        <v>0.05</v>
      </c>
      <c r="N31" s="38">
        <v>10</v>
      </c>
      <c r="O31" s="38">
        <f>(J31+K31+N31)*$O$5</f>
        <v>7.725</v>
      </c>
      <c r="P31" s="38">
        <f>(J31+K31+N31+O31)*$P$5</f>
        <v>7.64775</v>
      </c>
      <c r="Q31" s="38">
        <f t="shared" si="0"/>
        <v>92.62275</v>
      </c>
      <c r="R31" s="38">
        <f t="shared" si="1"/>
        <v>6507.674415</v>
      </c>
      <c r="S31" s="37"/>
      <c r="T31" s="41"/>
      <c r="U31" s="45"/>
      <c r="V31" s="45"/>
      <c r="W31" s="45"/>
      <c r="X31" s="45"/>
    </row>
    <row r="32" s="19" customFormat="1" ht="45" outlineLevel="1" spans="1:24">
      <c r="A32" s="28">
        <f>MAX($A$6:A31)+1</f>
        <v>27</v>
      </c>
      <c r="B32" s="28" t="s">
        <v>63</v>
      </c>
      <c r="C32" s="28" t="s">
        <v>78</v>
      </c>
      <c r="D32" s="28" t="s">
        <v>65</v>
      </c>
      <c r="E32" s="37">
        <f t="shared" si="4"/>
        <v>147</v>
      </c>
      <c r="F32" s="37">
        <v>26.28</v>
      </c>
      <c r="G32" s="37">
        <v>42.56</v>
      </c>
      <c r="H32" s="37">
        <v>26.28</v>
      </c>
      <c r="I32" s="37">
        <v>51.88</v>
      </c>
      <c r="J32" s="39">
        <v>20</v>
      </c>
      <c r="K32" s="38">
        <f t="shared" si="5"/>
        <v>26.25</v>
      </c>
      <c r="L32" s="39">
        <v>25</v>
      </c>
      <c r="M32" s="44">
        <v>0.05</v>
      </c>
      <c r="N32" s="38">
        <v>10</v>
      </c>
      <c r="O32" s="38">
        <f>(J32+K32+N32)*$O$5</f>
        <v>5.625</v>
      </c>
      <c r="P32" s="38">
        <f>(J32+K32+N32+O32)*$P$5</f>
        <v>5.56875</v>
      </c>
      <c r="Q32" s="38">
        <f t="shared" si="0"/>
        <v>67.44375</v>
      </c>
      <c r="R32" s="38">
        <f t="shared" si="1"/>
        <v>9914.23125</v>
      </c>
      <c r="S32" s="37"/>
      <c r="T32" s="41"/>
      <c r="U32" s="45"/>
      <c r="V32" s="45"/>
      <c r="W32" s="45"/>
      <c r="X32" s="45"/>
    </row>
    <row r="33" s="19" customFormat="1" ht="56.25" outlineLevel="1" spans="1:24">
      <c r="A33" s="28">
        <f>MAX($A$6:A32)+1</f>
        <v>28</v>
      </c>
      <c r="B33" s="28" t="s">
        <v>60</v>
      </c>
      <c r="C33" s="28" t="s">
        <v>79</v>
      </c>
      <c r="D33" s="28" t="s">
        <v>49</v>
      </c>
      <c r="E33" s="37">
        <f t="shared" si="4"/>
        <v>24.7</v>
      </c>
      <c r="F33" s="37">
        <v>4.12</v>
      </c>
      <c r="G33" s="37">
        <v>8.23</v>
      </c>
      <c r="H33" s="37">
        <v>4.12</v>
      </c>
      <c r="I33" s="37">
        <v>8.23</v>
      </c>
      <c r="J33" s="39">
        <v>100</v>
      </c>
      <c r="K33" s="38">
        <f t="shared" si="5"/>
        <v>315</v>
      </c>
      <c r="L33" s="39">
        <v>300</v>
      </c>
      <c r="M33" s="44">
        <v>0.05</v>
      </c>
      <c r="N33" s="38">
        <v>15</v>
      </c>
      <c r="O33" s="38">
        <f>(J33+K33+N33)*$O$5</f>
        <v>43</v>
      </c>
      <c r="P33" s="38">
        <f>(J33+K33+N33+O33)*$P$5</f>
        <v>42.57</v>
      </c>
      <c r="Q33" s="38">
        <f t="shared" si="0"/>
        <v>515.57</v>
      </c>
      <c r="R33" s="38">
        <f t="shared" si="1"/>
        <v>12734.579</v>
      </c>
      <c r="S33" s="37"/>
      <c r="T33" s="41"/>
      <c r="U33" s="45"/>
      <c r="V33" s="45"/>
      <c r="W33" s="45"/>
      <c r="X33" s="45"/>
    </row>
    <row r="34" s="19" customFormat="1" ht="78.75" outlineLevel="1" spans="1:24">
      <c r="A34" s="28">
        <f>MAX($A$6:A33)+1</f>
        <v>29</v>
      </c>
      <c r="B34" s="28" t="s">
        <v>60</v>
      </c>
      <c r="C34" s="28" t="s">
        <v>80</v>
      </c>
      <c r="D34" s="28" t="s">
        <v>49</v>
      </c>
      <c r="E34" s="37">
        <f t="shared" si="4"/>
        <v>9.31</v>
      </c>
      <c r="F34" s="37">
        <v>1.38</v>
      </c>
      <c r="G34" s="37">
        <v>2.67</v>
      </c>
      <c r="H34" s="37">
        <v>1.82</v>
      </c>
      <c r="I34" s="37">
        <v>3.44</v>
      </c>
      <c r="J34" s="39">
        <v>100</v>
      </c>
      <c r="K34" s="38">
        <f t="shared" si="5"/>
        <v>315</v>
      </c>
      <c r="L34" s="39">
        <v>300</v>
      </c>
      <c r="M34" s="44">
        <v>0.05</v>
      </c>
      <c r="N34" s="38">
        <v>20</v>
      </c>
      <c r="O34" s="38">
        <f>(J34+K34+N34)*$O$5</f>
        <v>43.5</v>
      </c>
      <c r="P34" s="38">
        <f>(J34+K34+N34+O34)*$P$5</f>
        <v>43.065</v>
      </c>
      <c r="Q34" s="38">
        <f t="shared" si="0"/>
        <v>521.565</v>
      </c>
      <c r="R34" s="38">
        <f t="shared" si="1"/>
        <v>4855.77015</v>
      </c>
      <c r="S34" s="37"/>
      <c r="T34" s="41"/>
      <c r="U34" s="45"/>
      <c r="V34" s="45"/>
      <c r="W34" s="45"/>
      <c r="X34" s="45"/>
    </row>
    <row r="35" s="19" customFormat="1" ht="45" outlineLevel="1" spans="1:24">
      <c r="A35" s="28">
        <f>MAX($A$6:A34)+1</f>
        <v>30</v>
      </c>
      <c r="B35" s="28" t="s">
        <v>63</v>
      </c>
      <c r="C35" s="28" t="s">
        <v>64</v>
      </c>
      <c r="D35" s="28" t="s">
        <v>65</v>
      </c>
      <c r="E35" s="37">
        <f t="shared" si="4"/>
        <v>159.82</v>
      </c>
      <c r="F35" s="37">
        <v>21.42</v>
      </c>
      <c r="G35" s="37">
        <v>64.42</v>
      </c>
      <c r="H35" s="37">
        <v>31.6</v>
      </c>
      <c r="I35" s="37">
        <v>42.38</v>
      </c>
      <c r="J35" s="39">
        <v>20</v>
      </c>
      <c r="K35" s="38">
        <f t="shared" si="5"/>
        <v>36.75</v>
      </c>
      <c r="L35" s="39">
        <v>35</v>
      </c>
      <c r="M35" s="44">
        <v>0.05</v>
      </c>
      <c r="N35" s="38">
        <v>10</v>
      </c>
      <c r="O35" s="38">
        <f>(J35+K35+N35)*$O$5</f>
        <v>6.675</v>
      </c>
      <c r="P35" s="38">
        <f>(J35+K35+N35+O35)*$P$5</f>
        <v>6.60825</v>
      </c>
      <c r="Q35" s="38">
        <f t="shared" si="0"/>
        <v>80.03325</v>
      </c>
      <c r="R35" s="38">
        <f t="shared" si="1"/>
        <v>12790.914015</v>
      </c>
      <c r="S35" s="37"/>
      <c r="T35" s="41"/>
      <c r="U35" s="45"/>
      <c r="V35" s="45"/>
      <c r="W35" s="45"/>
      <c r="X35" s="45"/>
    </row>
    <row r="36" s="19" customFormat="1" ht="45" outlineLevel="1" spans="1:24">
      <c r="A36" s="28">
        <f>MAX($A$6:A35)+1</f>
        <v>31</v>
      </c>
      <c r="B36" s="28" t="s">
        <v>66</v>
      </c>
      <c r="C36" s="28" t="s">
        <v>67</v>
      </c>
      <c r="D36" s="28" t="s">
        <v>49</v>
      </c>
      <c r="E36" s="37">
        <f t="shared" si="4"/>
        <v>422.776</v>
      </c>
      <c r="F36" s="37">
        <f>19.7*2.9+(17.28-1.54)*2.9-1.2*2.1*2-1.3*2.1*2</f>
        <v>92.276</v>
      </c>
      <c r="G36" s="37">
        <f>19.5*2*2.9-2*2.1*1.2-1.2*2.1*2-1.3*2.1*4</f>
        <v>92.1</v>
      </c>
      <c r="H36" s="37">
        <f>14.3*2*2.9+19.6*2.9-1.2*2.1*3-1.3*2.1*2-1.2*2.1*3</f>
        <v>119.2</v>
      </c>
      <c r="I36" s="37">
        <f>14.3*2.9*2+19.6*2.9-1.2*2.1*4-1.3*2.1*2-1.2*2.1*2</f>
        <v>119.2</v>
      </c>
      <c r="J36" s="39">
        <v>15</v>
      </c>
      <c r="K36" s="38">
        <f t="shared" si="5"/>
        <v>21</v>
      </c>
      <c r="L36" s="39">
        <v>20</v>
      </c>
      <c r="M36" s="44">
        <v>0.05</v>
      </c>
      <c r="N36" s="38">
        <v>8</v>
      </c>
      <c r="O36" s="38">
        <f>(J36+K36+N36)*$O$5</f>
        <v>4.4</v>
      </c>
      <c r="P36" s="38">
        <f>(J36+K36+N36+O36)*$P$5</f>
        <v>4.356</v>
      </c>
      <c r="Q36" s="38">
        <f t="shared" si="0"/>
        <v>52.756</v>
      </c>
      <c r="R36" s="38">
        <f t="shared" si="1"/>
        <v>22303.970656</v>
      </c>
      <c r="S36" s="37"/>
      <c r="T36" s="41"/>
      <c r="U36" s="45"/>
      <c r="V36" s="45"/>
      <c r="W36" s="45"/>
      <c r="X36" s="45"/>
    </row>
    <row r="37" s="19" customFormat="1" outlineLevel="1" spans="1:24">
      <c r="A37" s="28">
        <f>MAX($A$6:A36)+1</f>
        <v>32</v>
      </c>
      <c r="B37" s="32" t="s">
        <v>81</v>
      </c>
      <c r="C37" s="28"/>
      <c r="D37" s="28"/>
      <c r="E37" s="38"/>
      <c r="F37" s="38"/>
      <c r="G37" s="38"/>
      <c r="H37" s="38"/>
      <c r="I37" s="38"/>
      <c r="J37" s="38"/>
      <c r="K37" s="38"/>
      <c r="L37" s="38"/>
      <c r="M37" s="42"/>
      <c r="N37" s="38"/>
      <c r="O37" s="38"/>
      <c r="P37" s="38"/>
      <c r="Q37" s="38"/>
      <c r="R37" s="38"/>
      <c r="S37" s="37"/>
      <c r="T37" s="41"/>
      <c r="U37" s="45"/>
      <c r="V37" s="45"/>
      <c r="W37" s="45"/>
      <c r="X37" s="45"/>
    </row>
    <row r="38" s="19" customFormat="1" ht="112.5" outlineLevel="1" spans="1:24">
      <c r="A38" s="28">
        <f>MAX($A$6:A37)+1</f>
        <v>33</v>
      </c>
      <c r="B38" s="28" t="s">
        <v>58</v>
      </c>
      <c r="C38" s="28" t="s">
        <v>82</v>
      </c>
      <c r="D38" s="28" t="s">
        <v>49</v>
      </c>
      <c r="E38" s="38">
        <f>SUM(F38:I38)</f>
        <v>7516.03</v>
      </c>
      <c r="F38" s="38">
        <v>1077.2</v>
      </c>
      <c r="G38" s="38">
        <v>2282.9</v>
      </c>
      <c r="H38" s="38">
        <f>997.39+947.94</f>
        <v>1945.33</v>
      </c>
      <c r="I38" s="38">
        <f>1077.2+1133.4</f>
        <v>2210.6</v>
      </c>
      <c r="J38" s="39">
        <v>55</v>
      </c>
      <c r="K38" s="38">
        <f t="shared" ref="K36:K41" si="6">(1+M38)*L38</f>
        <v>44</v>
      </c>
      <c r="L38" s="39">
        <v>40</v>
      </c>
      <c r="M38" s="44">
        <v>0.1</v>
      </c>
      <c r="N38" s="38">
        <v>15</v>
      </c>
      <c r="O38" s="38">
        <f>(J38+K38+N38)*$O$5</f>
        <v>11.4</v>
      </c>
      <c r="P38" s="38">
        <f>(J38+K38+N38+O38)*$P$5</f>
        <v>11.286</v>
      </c>
      <c r="Q38" s="38">
        <f>J38+K38+N38+O38+P38</f>
        <v>136.686</v>
      </c>
      <c r="R38" s="38">
        <f>E38*Q38</f>
        <v>1027336.07658</v>
      </c>
      <c r="S38" s="37"/>
      <c r="T38" s="41"/>
      <c r="U38" s="45"/>
      <c r="V38" s="45"/>
      <c r="W38" s="45"/>
      <c r="X38" s="45"/>
    </row>
    <row r="39" s="19" customFormat="1" ht="56.25" outlineLevel="1" spans="1:24">
      <c r="A39" s="28">
        <f>MAX($A$6:A38)+1</f>
        <v>34</v>
      </c>
      <c r="B39" s="28" t="s">
        <v>60</v>
      </c>
      <c r="C39" s="28" t="s">
        <v>79</v>
      </c>
      <c r="D39" s="28" t="s">
        <v>49</v>
      </c>
      <c r="E39" s="38">
        <f>SUM(F39:I39)</f>
        <v>769.1</v>
      </c>
      <c r="F39" s="38">
        <v>102.89</v>
      </c>
      <c r="G39" s="38">
        <v>205.78</v>
      </c>
      <c r="H39" s="38">
        <f>124.98+90.54</f>
        <v>215.52</v>
      </c>
      <c r="I39" s="38">
        <f>102.89+142.02</f>
        <v>244.91</v>
      </c>
      <c r="J39" s="39">
        <v>100</v>
      </c>
      <c r="K39" s="38">
        <f t="shared" si="6"/>
        <v>315</v>
      </c>
      <c r="L39" s="39">
        <v>300</v>
      </c>
      <c r="M39" s="44">
        <v>0.05</v>
      </c>
      <c r="N39" s="38">
        <v>15</v>
      </c>
      <c r="O39" s="38">
        <f>(J39+K39+N39)*$O$5</f>
        <v>43</v>
      </c>
      <c r="P39" s="38">
        <f>(J39+K39+N39+O39)*$P$5</f>
        <v>42.57</v>
      </c>
      <c r="Q39" s="38">
        <f>J39+K39+N39+O39+P39</f>
        <v>515.57</v>
      </c>
      <c r="R39" s="38">
        <f>E39*Q39</f>
        <v>396524.887</v>
      </c>
      <c r="S39" s="37"/>
      <c r="T39" s="41"/>
      <c r="U39" s="45"/>
      <c r="V39" s="45"/>
      <c r="W39" s="45"/>
      <c r="X39" s="45"/>
    </row>
    <row r="40" s="19" customFormat="1" ht="78.75" outlineLevel="1" spans="1:24">
      <c r="A40" s="28">
        <f>MAX($A$6:A39)+1</f>
        <v>35</v>
      </c>
      <c r="B40" s="28" t="s">
        <v>60</v>
      </c>
      <c r="C40" s="28" t="s">
        <v>80</v>
      </c>
      <c r="D40" s="28" t="s">
        <v>49</v>
      </c>
      <c r="E40" s="38">
        <f>SUM(F40:I40)</f>
        <v>199.67</v>
      </c>
      <c r="F40" s="38">
        <v>28.5</v>
      </c>
      <c r="G40" s="38">
        <v>54.8</v>
      </c>
      <c r="H40" s="38">
        <f>29.39+25.08</f>
        <v>54.47</v>
      </c>
      <c r="I40" s="38">
        <f>28.5+33.4</f>
        <v>61.9</v>
      </c>
      <c r="J40" s="39">
        <v>100</v>
      </c>
      <c r="K40" s="38">
        <f t="shared" si="6"/>
        <v>315</v>
      </c>
      <c r="L40" s="39">
        <v>300</v>
      </c>
      <c r="M40" s="44">
        <v>0.05</v>
      </c>
      <c r="N40" s="38">
        <v>20</v>
      </c>
      <c r="O40" s="38">
        <f>(J40+K40+N40)*$O$5</f>
        <v>43.5</v>
      </c>
      <c r="P40" s="38">
        <f>(J40+K40+N40+O40)*$P$5</f>
        <v>43.065</v>
      </c>
      <c r="Q40" s="38">
        <f>J40+K40+N40+O40+P40</f>
        <v>521.565</v>
      </c>
      <c r="R40" s="38">
        <f>E40*Q40</f>
        <v>104140.88355</v>
      </c>
      <c r="S40" s="37"/>
      <c r="T40" s="41"/>
      <c r="U40" s="45"/>
      <c r="V40" s="45"/>
      <c r="W40" s="45"/>
      <c r="X40" s="45"/>
    </row>
    <row r="41" s="19" customFormat="1" ht="45" outlineLevel="1" spans="1:24">
      <c r="A41" s="28">
        <f>MAX($A$6:A40)+1</f>
        <v>36</v>
      </c>
      <c r="B41" s="28" t="s">
        <v>63</v>
      </c>
      <c r="C41" s="28" t="s">
        <v>64</v>
      </c>
      <c r="D41" s="28" t="s">
        <v>65</v>
      </c>
      <c r="E41" s="38">
        <f t="shared" ref="E41:E46" si="7">SUM(F41:I41)</f>
        <v>7977.38</v>
      </c>
      <c r="F41" s="38">
        <v>990</v>
      </c>
      <c r="G41" s="38">
        <v>1980</v>
      </c>
      <c r="H41" s="38">
        <f>1472.68+871.2</f>
        <v>2343.88</v>
      </c>
      <c r="I41" s="38">
        <f>990+1673.5</f>
        <v>2663.5</v>
      </c>
      <c r="J41" s="39">
        <v>20</v>
      </c>
      <c r="K41" s="38">
        <f t="shared" si="6"/>
        <v>36.75</v>
      </c>
      <c r="L41" s="39">
        <v>35</v>
      </c>
      <c r="M41" s="44">
        <v>0.05</v>
      </c>
      <c r="N41" s="38">
        <v>10</v>
      </c>
      <c r="O41" s="38">
        <f>(J41+K41+N41)*$O$5</f>
        <v>6.675</v>
      </c>
      <c r="P41" s="38">
        <f>(J41+K41+N41+O41)*$P$5</f>
        <v>6.60825</v>
      </c>
      <c r="Q41" s="38">
        <f t="shared" ref="Q41:Q46" si="8">J41+K41+N41+O41+P41</f>
        <v>80.03325</v>
      </c>
      <c r="R41" s="38">
        <f t="shared" ref="R41:R46" si="9">E41*Q41</f>
        <v>638455.647885</v>
      </c>
      <c r="S41" s="37"/>
      <c r="T41" s="41"/>
      <c r="U41" s="45"/>
      <c r="V41" s="45"/>
      <c r="W41" s="45"/>
      <c r="X41" s="45"/>
    </row>
    <row r="42" s="19" customFormat="1" spans="1:24">
      <c r="A42" s="28">
        <f>MAX($A$6:A41)+1</f>
        <v>37</v>
      </c>
      <c r="B42" s="32" t="s">
        <v>13</v>
      </c>
      <c r="C42" s="28"/>
      <c r="D42" s="28"/>
      <c r="E42" s="37"/>
      <c r="F42" s="37"/>
      <c r="G42" s="37"/>
      <c r="H42" s="37"/>
      <c r="I42" s="37"/>
      <c r="J42" s="38"/>
      <c r="K42" s="38"/>
      <c r="L42" s="38"/>
      <c r="M42" s="42"/>
      <c r="N42" s="38"/>
      <c r="O42" s="38"/>
      <c r="P42" s="38"/>
      <c r="Q42" s="38">
        <f>SUM(R44:R52)</f>
        <v>749357.416665</v>
      </c>
      <c r="R42" s="38"/>
      <c r="S42" s="37"/>
      <c r="T42" s="41"/>
      <c r="U42" s="45"/>
      <c r="V42" s="45"/>
      <c r="W42" s="45"/>
      <c r="X42" s="45"/>
    </row>
    <row r="43" s="19" customFormat="1" outlineLevel="1" spans="1:24">
      <c r="A43" s="28">
        <f>MAX($A$6:A42)+1</f>
        <v>38</v>
      </c>
      <c r="B43" s="32" t="s">
        <v>46</v>
      </c>
      <c r="C43" s="28"/>
      <c r="D43" s="28"/>
      <c r="E43" s="37"/>
      <c r="F43" s="37"/>
      <c r="G43" s="37"/>
      <c r="H43" s="37"/>
      <c r="I43" s="37"/>
      <c r="J43" s="38"/>
      <c r="K43" s="38"/>
      <c r="L43" s="38"/>
      <c r="M43" s="42"/>
      <c r="N43" s="38"/>
      <c r="O43" s="38"/>
      <c r="P43" s="38"/>
      <c r="Q43" s="38"/>
      <c r="R43" s="38"/>
      <c r="S43" s="37"/>
      <c r="T43" s="41"/>
      <c r="U43" s="45"/>
      <c r="V43" s="45"/>
      <c r="W43" s="45"/>
      <c r="X43" s="45"/>
    </row>
    <row r="44" s="19" customFormat="1" ht="101.25" outlineLevel="1" spans="1:24">
      <c r="A44" s="28">
        <f>MAX($A$6:A43)+1</f>
        <v>39</v>
      </c>
      <c r="B44" s="28" t="s">
        <v>83</v>
      </c>
      <c r="C44" s="28" t="s">
        <v>84</v>
      </c>
      <c r="D44" s="28" t="s">
        <v>49</v>
      </c>
      <c r="E44" s="37">
        <f t="shared" si="7"/>
        <v>151.35</v>
      </c>
      <c r="F44" s="37">
        <f>7.27+29.03</f>
        <v>36.3</v>
      </c>
      <c r="G44" s="37">
        <v>57.97</v>
      </c>
      <c r="H44" s="37">
        <v>10.57</v>
      </c>
      <c r="I44" s="37">
        <v>46.51</v>
      </c>
      <c r="J44" s="39">
        <v>55</v>
      </c>
      <c r="K44" s="38">
        <f t="shared" ref="K44:K50" si="10">(1+M44)*L44</f>
        <v>84</v>
      </c>
      <c r="L44" s="39">
        <v>80</v>
      </c>
      <c r="M44" s="44">
        <v>0.05</v>
      </c>
      <c r="N44" s="38">
        <v>20</v>
      </c>
      <c r="O44" s="38">
        <f>(J44+K44+N44)*$O$5</f>
        <v>15.9</v>
      </c>
      <c r="P44" s="38">
        <f>(J44+K44+N44+O44)*$P$5</f>
        <v>15.741</v>
      </c>
      <c r="Q44" s="38">
        <f t="shared" si="8"/>
        <v>190.641</v>
      </c>
      <c r="R44" s="38">
        <f t="shared" si="9"/>
        <v>28853.51535</v>
      </c>
      <c r="S44" s="37"/>
      <c r="T44" s="41"/>
      <c r="U44" s="45"/>
      <c r="V44" s="45"/>
      <c r="W44" s="45"/>
      <c r="X44" s="45"/>
    </row>
    <row r="45" s="19" customFormat="1" ht="78.75" outlineLevel="1" spans="1:24">
      <c r="A45" s="28">
        <f>MAX($A$6:A44)+1</f>
        <v>40</v>
      </c>
      <c r="B45" s="28" t="s">
        <v>85</v>
      </c>
      <c r="C45" s="28" t="s">
        <v>86</v>
      </c>
      <c r="D45" s="28" t="s">
        <v>49</v>
      </c>
      <c r="E45" s="37">
        <f t="shared" si="7"/>
        <v>107.26</v>
      </c>
      <c r="F45" s="37">
        <v>14.92</v>
      </c>
      <c r="G45" s="37">
        <v>55.42</v>
      </c>
      <c r="H45" s="37">
        <v>16.52</v>
      </c>
      <c r="I45" s="37">
        <v>20.4</v>
      </c>
      <c r="J45" s="39">
        <v>55</v>
      </c>
      <c r="K45" s="38">
        <f t="shared" si="10"/>
        <v>204.75</v>
      </c>
      <c r="L45" s="39">
        <v>195</v>
      </c>
      <c r="M45" s="44">
        <v>0.05</v>
      </c>
      <c r="N45" s="38">
        <v>50</v>
      </c>
      <c r="O45" s="38">
        <f>(J45+K45+N45)*$O$5</f>
        <v>30.975</v>
      </c>
      <c r="P45" s="38">
        <f>(J45+K45+N45+O45)*$P$5</f>
        <v>30.66525</v>
      </c>
      <c r="Q45" s="38">
        <f t="shared" si="8"/>
        <v>371.39025</v>
      </c>
      <c r="R45" s="38">
        <f t="shared" si="9"/>
        <v>39835.318215</v>
      </c>
      <c r="S45" s="37"/>
      <c r="T45" s="41"/>
      <c r="U45" s="45"/>
      <c r="V45" s="45"/>
      <c r="W45" s="45"/>
      <c r="X45" s="45"/>
    </row>
    <row r="46" s="19" customFormat="1" ht="45" outlineLevel="1" spans="1:24">
      <c r="A46" s="28">
        <f>MAX($A$6:A45)+1</f>
        <v>41</v>
      </c>
      <c r="B46" s="28" t="s">
        <v>87</v>
      </c>
      <c r="C46" s="28" t="s">
        <v>88</v>
      </c>
      <c r="D46" s="28" t="s">
        <v>49</v>
      </c>
      <c r="E46" s="37">
        <f t="shared" si="7"/>
        <v>118.73</v>
      </c>
      <c r="F46" s="38">
        <v>0</v>
      </c>
      <c r="G46" s="38">
        <f>18.06+17.91</f>
        <v>35.97</v>
      </c>
      <c r="H46" s="38">
        <f>11.63+11.63+18.19</f>
        <v>41.45</v>
      </c>
      <c r="I46" s="37">
        <f>11.62*2+18.07</f>
        <v>41.31</v>
      </c>
      <c r="J46" s="39">
        <v>15</v>
      </c>
      <c r="K46" s="38">
        <f t="shared" si="10"/>
        <v>21</v>
      </c>
      <c r="L46" s="39">
        <v>20</v>
      </c>
      <c r="M46" s="44">
        <v>0.05</v>
      </c>
      <c r="N46" s="38">
        <v>8</v>
      </c>
      <c r="O46" s="38">
        <f>(J46+K46+N46)*$O$5</f>
        <v>4.4</v>
      </c>
      <c r="P46" s="38">
        <f>(J46+K46+N46+O46)*$P$5</f>
        <v>4.356</v>
      </c>
      <c r="Q46" s="38">
        <f t="shared" si="8"/>
        <v>52.756</v>
      </c>
      <c r="R46" s="38">
        <f t="shared" si="9"/>
        <v>6263.71988</v>
      </c>
      <c r="S46" s="37"/>
      <c r="T46" s="41"/>
      <c r="U46" s="45"/>
      <c r="V46" s="45"/>
      <c r="W46" s="45"/>
      <c r="X46" s="45"/>
    </row>
    <row r="47" s="19" customFormat="1" outlineLevel="1" spans="1:24">
      <c r="A47" s="28">
        <f>MAX($A$6:A46)+1</f>
        <v>42</v>
      </c>
      <c r="B47" s="32" t="s">
        <v>52</v>
      </c>
      <c r="C47" s="28"/>
      <c r="D47" s="28"/>
      <c r="E47" s="37"/>
      <c r="F47" s="37"/>
      <c r="G47" s="37"/>
      <c r="H47" s="37"/>
      <c r="I47" s="37"/>
      <c r="J47" s="38"/>
      <c r="K47" s="38"/>
      <c r="L47" s="38"/>
      <c r="M47" s="42"/>
      <c r="N47" s="38"/>
      <c r="O47" s="38"/>
      <c r="P47" s="38"/>
      <c r="Q47" s="38"/>
      <c r="R47" s="38"/>
      <c r="S47" s="37"/>
      <c r="T47" s="41"/>
      <c r="U47" s="45"/>
      <c r="V47" s="45"/>
      <c r="W47" s="45"/>
      <c r="X47" s="45"/>
    </row>
    <row r="48" s="19" customFormat="1" ht="101.25" outlineLevel="1" spans="1:24">
      <c r="A48" s="28">
        <f>MAX($A$6:A47)+1</f>
        <v>43</v>
      </c>
      <c r="B48" s="28" t="s">
        <v>83</v>
      </c>
      <c r="C48" s="28" t="s">
        <v>84</v>
      </c>
      <c r="D48" s="28" t="s">
        <v>49</v>
      </c>
      <c r="E48" s="37">
        <f t="shared" ref="E48:E50" si="11">SUM(F48:I48)</f>
        <v>164.46</v>
      </c>
      <c r="F48" s="37">
        <v>23.91</v>
      </c>
      <c r="G48" s="37">
        <v>49.4</v>
      </c>
      <c r="H48" s="37">
        <v>33.02</v>
      </c>
      <c r="I48" s="37">
        <v>58.13</v>
      </c>
      <c r="J48" s="39">
        <v>55</v>
      </c>
      <c r="K48" s="38">
        <f t="shared" si="10"/>
        <v>84</v>
      </c>
      <c r="L48" s="39">
        <v>80</v>
      </c>
      <c r="M48" s="44">
        <v>0.05</v>
      </c>
      <c r="N48" s="38">
        <v>20</v>
      </c>
      <c r="O48" s="38">
        <f>(J48+K48+N48)*$O$5</f>
        <v>15.9</v>
      </c>
      <c r="P48" s="38">
        <f>(J48+K48+N48+O48)*$P$5</f>
        <v>15.741</v>
      </c>
      <c r="Q48" s="38">
        <f t="shared" ref="Q48:Q50" si="12">J48+K48+N48+O48+P48</f>
        <v>190.641</v>
      </c>
      <c r="R48" s="38">
        <f t="shared" ref="R48:R50" si="13">E48*Q48</f>
        <v>31352.81886</v>
      </c>
      <c r="S48" s="37"/>
      <c r="T48" s="41"/>
      <c r="U48" s="45"/>
      <c r="V48" s="45"/>
      <c r="W48" s="45"/>
      <c r="X48" s="45"/>
    </row>
    <row r="49" s="19" customFormat="1" ht="101.25" outlineLevel="1" spans="1:24">
      <c r="A49" s="28">
        <f>MAX($A$6:A48)+1</f>
        <v>44</v>
      </c>
      <c r="B49" s="28" t="s">
        <v>83</v>
      </c>
      <c r="C49" s="28" t="s">
        <v>89</v>
      </c>
      <c r="D49" s="28" t="s">
        <v>49</v>
      </c>
      <c r="E49" s="37">
        <f t="shared" si="11"/>
        <v>72.23</v>
      </c>
      <c r="F49" s="37">
        <v>15.8</v>
      </c>
      <c r="G49" s="37">
        <v>26.2</v>
      </c>
      <c r="H49" s="37">
        <v>7.73</v>
      </c>
      <c r="I49" s="37">
        <v>22.5</v>
      </c>
      <c r="J49" s="39">
        <v>65</v>
      </c>
      <c r="K49" s="38">
        <f t="shared" si="10"/>
        <v>84</v>
      </c>
      <c r="L49" s="39">
        <v>80</v>
      </c>
      <c r="M49" s="44">
        <v>0.05</v>
      </c>
      <c r="N49" s="38">
        <v>20</v>
      </c>
      <c r="O49" s="38">
        <f>(J49+K49+N49)*$O$5</f>
        <v>16.9</v>
      </c>
      <c r="P49" s="38">
        <f>(J49+K49+N49+O49)*$P$5</f>
        <v>16.731</v>
      </c>
      <c r="Q49" s="38">
        <f t="shared" si="12"/>
        <v>202.631</v>
      </c>
      <c r="R49" s="38">
        <f t="shared" si="13"/>
        <v>14636.03713</v>
      </c>
      <c r="S49" s="37"/>
      <c r="T49" s="41"/>
      <c r="U49" s="45"/>
      <c r="V49" s="45"/>
      <c r="W49" s="45"/>
      <c r="X49" s="45"/>
    </row>
    <row r="50" s="19" customFormat="1" ht="45" outlineLevel="1" spans="1:24">
      <c r="A50" s="28">
        <f>MAX($A$6:A49)+1</f>
        <v>45</v>
      </c>
      <c r="B50" s="28" t="s">
        <v>87</v>
      </c>
      <c r="C50" s="28" t="s">
        <v>88</v>
      </c>
      <c r="D50" s="28" t="s">
        <v>49</v>
      </c>
      <c r="E50" s="37">
        <f t="shared" si="11"/>
        <v>152.43</v>
      </c>
      <c r="F50" s="38">
        <f>18.53+15.17</f>
        <v>33.7</v>
      </c>
      <c r="G50" s="37">
        <f>18.06+17.91</f>
        <v>35.97</v>
      </c>
      <c r="H50" s="38">
        <f>11.63+11.63+18.19</f>
        <v>41.45</v>
      </c>
      <c r="I50" s="38">
        <f>11.62*2+18.07</f>
        <v>41.31</v>
      </c>
      <c r="J50" s="39">
        <v>15</v>
      </c>
      <c r="K50" s="38">
        <f t="shared" si="10"/>
        <v>21</v>
      </c>
      <c r="L50" s="39">
        <v>20</v>
      </c>
      <c r="M50" s="44">
        <v>0.05</v>
      </c>
      <c r="N50" s="38">
        <v>8</v>
      </c>
      <c r="O50" s="38">
        <f>(J50+K50+N50)*$O$5</f>
        <v>4.4</v>
      </c>
      <c r="P50" s="38">
        <f>(J50+K50+N50+O50)*$P$5</f>
        <v>4.356</v>
      </c>
      <c r="Q50" s="38">
        <f t="shared" si="12"/>
        <v>52.756</v>
      </c>
      <c r="R50" s="38">
        <f t="shared" si="13"/>
        <v>8041.59708</v>
      </c>
      <c r="S50" s="37"/>
      <c r="T50" s="41"/>
      <c r="U50" s="45"/>
      <c r="V50" s="45"/>
      <c r="W50" s="45"/>
      <c r="X50" s="45"/>
    </row>
    <row r="51" s="19" customFormat="1" outlineLevel="1" spans="1:24">
      <c r="A51" s="28">
        <f>MAX($A$6:A50)+1</f>
        <v>46</v>
      </c>
      <c r="B51" s="32" t="s">
        <v>81</v>
      </c>
      <c r="C51" s="28"/>
      <c r="D51" s="28"/>
      <c r="E51" s="37"/>
      <c r="F51" s="37"/>
      <c r="G51" s="37"/>
      <c r="H51" s="37"/>
      <c r="I51" s="37"/>
      <c r="J51" s="38"/>
      <c r="K51" s="38"/>
      <c r="L51" s="38"/>
      <c r="M51" s="42">
        <v>0</v>
      </c>
      <c r="N51" s="38"/>
      <c r="O51" s="38"/>
      <c r="P51" s="38"/>
      <c r="Q51" s="38"/>
      <c r="R51" s="38"/>
      <c r="S51" s="37"/>
      <c r="T51" s="41"/>
      <c r="U51" s="45"/>
      <c r="V51" s="45"/>
      <c r="W51" s="45"/>
      <c r="X51" s="45"/>
    </row>
    <row r="52" s="19" customFormat="1" ht="101.25" outlineLevel="1" spans="1:24">
      <c r="A52" s="28">
        <f>MAX($A$6:A51)+1</f>
        <v>47</v>
      </c>
      <c r="B52" s="28" t="s">
        <v>83</v>
      </c>
      <c r="C52" s="28" t="s">
        <v>84</v>
      </c>
      <c r="D52" s="28" t="s">
        <v>49</v>
      </c>
      <c r="E52" s="37">
        <f>SUM(F52:I52)</f>
        <v>3254.15</v>
      </c>
      <c r="F52" s="37">
        <v>446.5</v>
      </c>
      <c r="G52" s="37">
        <v>941.75</v>
      </c>
      <c r="H52" s="37">
        <f>480.48+392.92</f>
        <v>873.4</v>
      </c>
      <c r="I52" s="37">
        <f>446.5+546</f>
        <v>992.5</v>
      </c>
      <c r="J52" s="39">
        <v>55</v>
      </c>
      <c r="K52" s="38">
        <f t="shared" ref="K52:K55" si="14">(1+M52)*L52</f>
        <v>84</v>
      </c>
      <c r="L52" s="39">
        <v>80</v>
      </c>
      <c r="M52" s="44">
        <v>0.05</v>
      </c>
      <c r="N52" s="38">
        <v>20</v>
      </c>
      <c r="O52" s="38">
        <f>(J52+K52+N52)*$O$5</f>
        <v>15.9</v>
      </c>
      <c r="P52" s="38">
        <f>(J52+K52+N52+O52)*$P$5</f>
        <v>15.741</v>
      </c>
      <c r="Q52" s="38">
        <f>J52+K52+N52+O52+P52</f>
        <v>190.641</v>
      </c>
      <c r="R52" s="38">
        <f>E52*Q52</f>
        <v>620374.41015</v>
      </c>
      <c r="S52" s="37"/>
      <c r="T52" s="41"/>
      <c r="U52" s="45"/>
      <c r="V52" s="45"/>
      <c r="W52" s="45"/>
      <c r="X52" s="45"/>
    </row>
    <row r="53" s="19" customFormat="1" outlineLevel="1" spans="1:24">
      <c r="A53" s="28">
        <f>MAX($A$6:A52)+1</f>
        <v>48</v>
      </c>
      <c r="B53" s="32" t="s">
        <v>15</v>
      </c>
      <c r="C53" s="28"/>
      <c r="D53" s="28"/>
      <c r="E53" s="37"/>
      <c r="F53" s="37"/>
      <c r="G53" s="37"/>
      <c r="H53" s="37"/>
      <c r="I53" s="37"/>
      <c r="J53" s="38"/>
      <c r="K53" s="38"/>
      <c r="L53" s="38"/>
      <c r="M53" s="42"/>
      <c r="N53" s="38"/>
      <c r="O53" s="38"/>
      <c r="P53" s="38"/>
      <c r="Q53" s="38">
        <f>SUM(R54:R55)</f>
        <v>105939.686897</v>
      </c>
      <c r="R53" s="38"/>
      <c r="S53" s="37"/>
      <c r="T53" s="41"/>
      <c r="U53" s="45"/>
      <c r="V53" s="45"/>
      <c r="W53" s="45"/>
      <c r="X53" s="45"/>
    </row>
    <row r="54" s="19" customFormat="1" ht="56.25" outlineLevel="1" spans="1:24">
      <c r="A54" s="28">
        <f>MAX($A$6:A53)+1</f>
        <v>49</v>
      </c>
      <c r="B54" s="28" t="s">
        <v>90</v>
      </c>
      <c r="C54" s="28" t="s">
        <v>91</v>
      </c>
      <c r="D54" s="28" t="s">
        <v>92</v>
      </c>
      <c r="E54" s="37">
        <f>SUM(F54:I54)</f>
        <v>0.38</v>
      </c>
      <c r="F54" s="37">
        <v>0</v>
      </c>
      <c r="G54" s="37">
        <v>0</v>
      </c>
      <c r="H54" s="37">
        <v>0.38</v>
      </c>
      <c r="I54" s="37">
        <v>0</v>
      </c>
      <c r="J54" s="39">
        <v>155</v>
      </c>
      <c r="K54" s="38">
        <f t="shared" si="14"/>
        <v>0</v>
      </c>
      <c r="L54" s="39">
        <v>0</v>
      </c>
      <c r="M54" s="44">
        <v>0</v>
      </c>
      <c r="N54" s="38">
        <v>31.85</v>
      </c>
      <c r="O54" s="38">
        <f>(J54+K54+N54)*$O$5</f>
        <v>18.685</v>
      </c>
      <c r="P54" s="38">
        <f>(J54+K54+N54+O54)*$P$5</f>
        <v>18.49815</v>
      </c>
      <c r="Q54" s="38">
        <f>J54+K54+N54+O54+P54</f>
        <v>224.03315</v>
      </c>
      <c r="R54" s="38">
        <f>E54*Q54</f>
        <v>85.132597</v>
      </c>
      <c r="S54" s="37"/>
      <c r="T54" s="41"/>
      <c r="U54" s="45"/>
      <c r="V54" s="45"/>
      <c r="W54" s="45"/>
      <c r="X54" s="45"/>
    </row>
    <row r="55" s="19" customFormat="1" ht="67.5" outlineLevel="1" spans="1:24">
      <c r="A55" s="28">
        <f>MAX($A$6:A54)+1</f>
        <v>50</v>
      </c>
      <c r="B55" s="28" t="s">
        <v>93</v>
      </c>
      <c r="C55" s="28" t="s">
        <v>94</v>
      </c>
      <c r="D55" s="28" t="s">
        <v>49</v>
      </c>
      <c r="E55" s="37">
        <f>SUM(F55:I55)</f>
        <v>82.51</v>
      </c>
      <c r="F55" s="37">
        <v>14.35</v>
      </c>
      <c r="G55" s="37">
        <v>25.42</v>
      </c>
      <c r="H55" s="37">
        <v>15.05</v>
      </c>
      <c r="I55" s="37">
        <v>27.69</v>
      </c>
      <c r="J55" s="39">
        <v>120</v>
      </c>
      <c r="K55" s="38">
        <f t="shared" si="14"/>
        <v>900</v>
      </c>
      <c r="L55" s="39">
        <v>900</v>
      </c>
      <c r="M55" s="44">
        <v>0</v>
      </c>
      <c r="N55" s="38">
        <v>50</v>
      </c>
      <c r="O55" s="38">
        <f>(J55+K55+N55)*$O$5</f>
        <v>107</v>
      </c>
      <c r="P55" s="38">
        <f>(J55+K55+N55+O55)*$P$5</f>
        <v>105.93</v>
      </c>
      <c r="Q55" s="38">
        <f>J55+K55+N55+O55+P55</f>
        <v>1282.93</v>
      </c>
      <c r="R55" s="38">
        <f>E55*Q55</f>
        <v>105854.5543</v>
      </c>
      <c r="S55" s="37"/>
      <c r="T55" s="41"/>
      <c r="U55" s="45"/>
      <c r="V55" s="45"/>
      <c r="W55" s="45"/>
      <c r="X55" s="45"/>
    </row>
    <row r="56" s="20" customFormat="1" spans="1:24">
      <c r="A56" s="51"/>
      <c r="B56" s="28"/>
      <c r="C56" s="28" t="s">
        <v>95</v>
      </c>
      <c r="D56" s="28"/>
      <c r="E56" s="37"/>
      <c r="F56" s="37"/>
      <c r="G56" s="37"/>
      <c r="H56" s="37"/>
      <c r="I56" s="37"/>
      <c r="J56" s="28"/>
      <c r="K56" s="28"/>
      <c r="L56" s="28"/>
      <c r="M56" s="28"/>
      <c r="N56" s="28"/>
      <c r="O56" s="28"/>
      <c r="P56" s="28"/>
      <c r="Q56" s="28"/>
      <c r="R56" s="37">
        <f>SUM(R8:R55)</f>
        <v>4286247.4574755</v>
      </c>
      <c r="S56" s="28"/>
      <c r="T56" s="41"/>
      <c r="U56" s="45"/>
      <c r="V56" s="45"/>
      <c r="W56" s="45"/>
      <c r="X56" s="45"/>
    </row>
    <row r="57" s="20" customFormat="1" ht="24" spans="1:24">
      <c r="A57" s="33" t="s">
        <v>96</v>
      </c>
      <c r="B57" s="34" t="s">
        <v>97</v>
      </c>
      <c r="C57" s="34"/>
      <c r="D57" s="34"/>
      <c r="E57" s="40"/>
      <c r="F57" s="40"/>
      <c r="G57" s="40"/>
      <c r="H57" s="40"/>
      <c r="I57" s="40"/>
      <c r="J57" s="34"/>
      <c r="K57" s="34"/>
      <c r="L57" s="34"/>
      <c r="M57" s="34"/>
      <c r="N57" s="34"/>
      <c r="O57" s="34"/>
      <c r="P57" s="34"/>
      <c r="Q57" s="34"/>
      <c r="R57" s="34"/>
      <c r="S57" s="34"/>
      <c r="T57" s="41"/>
      <c r="U57" s="45"/>
      <c r="V57" s="45"/>
      <c r="W57" s="45"/>
      <c r="X57" s="45"/>
    </row>
  </sheetData>
  <autoFilter xmlns:etc="http://www.wps.cn/officeDocument/2017/etCustomData" ref="A5:X57" etc:filterBottomFollowUsedRange="0">
    <extLst/>
  </autoFilter>
  <mergeCells count="20">
    <mergeCell ref="A1:S1"/>
    <mergeCell ref="A2:J2"/>
    <mergeCell ref="K2:Q2"/>
    <mergeCell ref="R2:S2"/>
    <mergeCell ref="J3:P3"/>
    <mergeCell ref="B57:S57"/>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66875" header="0.5" footer="0.5"/>
  <pageSetup paperSize="9" scale="88"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2"/>
  <sheetViews>
    <sheetView view="pageBreakPreview" zoomScaleNormal="100" workbookViewId="0">
      <pane ySplit="5" topLeftCell="A43" activePane="bottomLeft" state="frozen"/>
      <selection/>
      <selection pane="bottomLeft" activeCell="J3" sqref="J3:R51"/>
    </sheetView>
  </sheetViews>
  <sheetFormatPr defaultColWidth="9" defaultRowHeight="11.25"/>
  <cols>
    <col min="1" max="1" width="5.28571428571429" style="20" customWidth="1"/>
    <col min="2" max="2" width="12.8571428571429" style="20" customWidth="1"/>
    <col min="3" max="3" width="31.1333333333333" style="20" customWidth="1"/>
    <col min="4" max="4" width="6.42857142857143" style="20" customWidth="1"/>
    <col min="5" max="5" width="9.16190476190476" style="22" customWidth="1"/>
    <col min="6" max="9" width="9.16190476190476" style="22" hidden="1" customWidth="1" outlineLevel="1"/>
    <col min="10" max="10" width="7.28571428571429" style="20" customWidth="1" collapsed="1"/>
    <col min="11" max="11" width="11.0857142857143" style="20" customWidth="1"/>
    <col min="12" max="12" width="7.37142857142857" style="20" customWidth="1"/>
    <col min="13" max="13" width="5.85714285714286" style="20" customWidth="1"/>
    <col min="14" max="14" width="8.69523809523809" style="20" customWidth="1"/>
    <col min="15" max="15" width="8.57142857142857" style="20" customWidth="1"/>
    <col min="16" max="16" width="8.14285714285714" style="20" customWidth="1"/>
    <col min="17" max="17" width="10.1142857142857" style="20" customWidth="1"/>
    <col min="18" max="18" width="11.1714285714286" style="20" customWidth="1"/>
    <col min="19" max="19" width="8.57142857142857" style="20" customWidth="1"/>
    <col min="20" max="20" width="12.2857142857143" style="23" customWidth="1"/>
    <col min="21" max="22" width="11" style="20"/>
    <col min="23" max="16384" width="9" style="20"/>
  </cols>
  <sheetData>
    <row r="1" s="19" customFormat="1" ht="25.5" spans="1:24">
      <c r="A1" s="24" t="s">
        <v>98</v>
      </c>
      <c r="B1" s="24"/>
      <c r="C1" s="24"/>
      <c r="D1" s="24"/>
      <c r="E1" s="65"/>
      <c r="F1" s="65"/>
      <c r="G1" s="65"/>
      <c r="H1" s="65"/>
      <c r="I1" s="65"/>
      <c r="J1" s="24"/>
      <c r="K1" s="24"/>
      <c r="L1" s="24"/>
      <c r="M1" s="24"/>
      <c r="N1" s="24"/>
      <c r="O1" s="24"/>
      <c r="P1" s="24"/>
      <c r="Q1" s="24"/>
      <c r="R1" s="24"/>
      <c r="S1" s="24"/>
      <c r="T1" s="41"/>
      <c r="U1" s="45"/>
      <c r="V1" s="45"/>
      <c r="W1" s="45"/>
      <c r="X1" s="45"/>
    </row>
    <row r="2" s="19" customFormat="1" spans="1:24">
      <c r="A2" s="26" t="s">
        <v>99</v>
      </c>
      <c r="B2" s="26"/>
      <c r="C2" s="26"/>
      <c r="D2" s="26"/>
      <c r="E2" s="36"/>
      <c r="F2" s="36"/>
      <c r="G2" s="36"/>
      <c r="H2" s="36"/>
      <c r="I2" s="36"/>
      <c r="J2" s="26"/>
      <c r="K2" s="26"/>
      <c r="L2" s="26"/>
      <c r="M2" s="26"/>
      <c r="N2" s="26"/>
      <c r="O2" s="26"/>
      <c r="P2" s="26"/>
      <c r="Q2" s="26"/>
      <c r="R2" s="26"/>
      <c r="S2" s="26"/>
      <c r="T2" s="41"/>
      <c r="U2" s="45"/>
      <c r="V2" s="45"/>
      <c r="W2" s="45"/>
      <c r="X2" s="45"/>
    </row>
    <row r="3" s="19" customFormat="1" spans="1:24">
      <c r="A3" s="28" t="s">
        <v>24</v>
      </c>
      <c r="B3" s="28" t="s">
        <v>25</v>
      </c>
      <c r="C3" s="28" t="s">
        <v>26</v>
      </c>
      <c r="D3" s="28" t="s">
        <v>3</v>
      </c>
      <c r="E3" s="37" t="s">
        <v>27</v>
      </c>
      <c r="F3" s="30" t="s">
        <v>100</v>
      </c>
      <c r="G3" s="30" t="s">
        <v>101</v>
      </c>
      <c r="H3" s="30" t="s">
        <v>102</v>
      </c>
      <c r="I3" s="30" t="s">
        <v>103</v>
      </c>
      <c r="J3" s="28" t="s">
        <v>32</v>
      </c>
      <c r="K3" s="28"/>
      <c r="L3" s="28"/>
      <c r="M3" s="28"/>
      <c r="N3" s="28"/>
      <c r="O3" s="28"/>
      <c r="P3" s="28"/>
      <c r="Q3" s="28" t="s">
        <v>33</v>
      </c>
      <c r="R3" s="28" t="s">
        <v>34</v>
      </c>
      <c r="S3" s="28" t="s">
        <v>35</v>
      </c>
      <c r="T3" s="41"/>
      <c r="U3" s="45"/>
      <c r="V3" s="45"/>
      <c r="W3" s="45"/>
      <c r="X3" s="45"/>
    </row>
    <row r="4" s="19" customFormat="1" ht="45" spans="1:24">
      <c r="A4" s="28"/>
      <c r="B4" s="28"/>
      <c r="C4" s="28"/>
      <c r="D4" s="28"/>
      <c r="E4" s="37"/>
      <c r="F4" s="31"/>
      <c r="G4" s="31"/>
      <c r="H4" s="31"/>
      <c r="I4" s="31"/>
      <c r="J4" s="28" t="s">
        <v>36</v>
      </c>
      <c r="K4" s="28" t="s">
        <v>37</v>
      </c>
      <c r="L4" s="28" t="s">
        <v>38</v>
      </c>
      <c r="M4" s="28" t="s">
        <v>39</v>
      </c>
      <c r="N4" s="28" t="s">
        <v>40</v>
      </c>
      <c r="O4" s="28" t="s">
        <v>41</v>
      </c>
      <c r="P4" s="28" t="s">
        <v>42</v>
      </c>
      <c r="Q4" s="28"/>
      <c r="R4" s="28"/>
      <c r="S4" s="28"/>
      <c r="T4" s="41"/>
      <c r="U4" s="45"/>
      <c r="V4" s="45"/>
      <c r="W4" s="45"/>
      <c r="X4" s="45"/>
    </row>
    <row r="5" s="19" customFormat="1" spans="1:24">
      <c r="A5" s="28"/>
      <c r="B5" s="28"/>
      <c r="C5" s="28"/>
      <c r="D5" s="28"/>
      <c r="E5" s="37"/>
      <c r="F5" s="37"/>
      <c r="G5" s="37"/>
      <c r="H5" s="37"/>
      <c r="I5" s="37"/>
      <c r="J5" s="28"/>
      <c r="K5" s="28" t="s">
        <v>43</v>
      </c>
      <c r="L5" s="28" t="s">
        <v>44</v>
      </c>
      <c r="M5" s="28" t="s">
        <v>45</v>
      </c>
      <c r="N5" s="28"/>
      <c r="O5" s="44">
        <v>0.1</v>
      </c>
      <c r="P5" s="44">
        <v>0.09</v>
      </c>
      <c r="Q5" s="28"/>
      <c r="R5" s="28"/>
      <c r="S5" s="28"/>
      <c r="T5" s="41"/>
      <c r="U5" s="45"/>
      <c r="V5" s="45"/>
      <c r="W5" s="45"/>
      <c r="X5" s="45"/>
    </row>
    <row r="6" s="19" customFormat="1" spans="1:24">
      <c r="A6" s="28">
        <v>1</v>
      </c>
      <c r="B6" s="32" t="s">
        <v>10</v>
      </c>
      <c r="C6" s="28"/>
      <c r="D6" s="28"/>
      <c r="E6" s="37"/>
      <c r="F6" s="37"/>
      <c r="G6" s="37"/>
      <c r="H6" s="37"/>
      <c r="I6" s="37"/>
      <c r="J6" s="39"/>
      <c r="K6" s="38"/>
      <c r="L6" s="39"/>
      <c r="M6" s="66"/>
      <c r="N6" s="38"/>
      <c r="O6" s="38"/>
      <c r="P6" s="38"/>
      <c r="Q6" s="38"/>
      <c r="R6" s="38"/>
      <c r="S6" s="37"/>
      <c r="T6" s="41"/>
      <c r="U6" s="45"/>
      <c r="V6" s="45"/>
      <c r="W6" s="45"/>
      <c r="X6" s="45"/>
    </row>
    <row r="7" s="19" customFormat="1" outlineLevel="1" spans="1:24">
      <c r="A7" s="28">
        <f>MAX($A$6:A6)+1</f>
        <v>2</v>
      </c>
      <c r="B7" s="32" t="s">
        <v>46</v>
      </c>
      <c r="C7" s="28"/>
      <c r="D7" s="28"/>
      <c r="E7" s="37"/>
      <c r="F7" s="37"/>
      <c r="G7" s="37"/>
      <c r="H7" s="37"/>
      <c r="I7" s="37"/>
      <c r="J7" s="39"/>
      <c r="K7" s="38"/>
      <c r="L7" s="39"/>
      <c r="M7" s="66"/>
      <c r="N7" s="38"/>
      <c r="O7" s="38"/>
      <c r="P7" s="38"/>
      <c r="Q7" s="38">
        <f>SUM(R8:R14)</f>
        <v>254433.1955</v>
      </c>
      <c r="R7" s="38"/>
      <c r="S7" s="37"/>
      <c r="T7" s="41"/>
      <c r="U7" s="45"/>
      <c r="V7" s="45"/>
      <c r="W7" s="45"/>
      <c r="X7" s="45"/>
    </row>
    <row r="8" s="19" customFormat="1" ht="94" customHeight="1" outlineLevel="1" spans="1:24">
      <c r="A8" s="28">
        <f>MAX($A$6:A7)+1</f>
        <v>3</v>
      </c>
      <c r="B8" s="28" t="s">
        <v>47</v>
      </c>
      <c r="C8" s="28" t="s">
        <v>48</v>
      </c>
      <c r="D8" s="28" t="s">
        <v>49</v>
      </c>
      <c r="E8" s="37">
        <f>SUM(F8:I8)</f>
        <v>68.39</v>
      </c>
      <c r="F8" s="37">
        <v>19.27</v>
      </c>
      <c r="G8" s="37">
        <v>16.96</v>
      </c>
      <c r="H8" s="37">
        <v>17.18</v>
      </c>
      <c r="I8" s="37">
        <v>14.98</v>
      </c>
      <c r="J8" s="39">
        <v>50</v>
      </c>
      <c r="K8" s="38">
        <v>45</v>
      </c>
      <c r="L8" s="39">
        <v>40</v>
      </c>
      <c r="M8" s="44">
        <v>0.1</v>
      </c>
      <c r="N8" s="38">
        <v>20</v>
      </c>
      <c r="O8" s="38">
        <f>(J8+K8+N8)*$O$5</f>
        <v>11.5</v>
      </c>
      <c r="P8" s="38">
        <f>(J8+K8+N8+O8)*$P$5</f>
        <v>11.385</v>
      </c>
      <c r="Q8" s="38">
        <f>J8+K8+N8+O8+P8</f>
        <v>137.885</v>
      </c>
      <c r="R8" s="38">
        <f t="shared" ref="R8:R11" si="0">E8*Q8</f>
        <v>9429.95515</v>
      </c>
      <c r="S8" s="37"/>
      <c r="T8" s="41"/>
      <c r="U8" s="45"/>
      <c r="V8" s="45"/>
      <c r="W8" s="45"/>
      <c r="X8" s="45"/>
    </row>
    <row r="9" s="19" customFormat="1" outlineLevel="1" spans="1:24">
      <c r="A9" s="28">
        <f>MAX($A$6:A8)+1</f>
        <v>4</v>
      </c>
      <c r="B9" s="32" t="s">
        <v>52</v>
      </c>
      <c r="C9" s="28"/>
      <c r="D9" s="28"/>
      <c r="E9" s="37"/>
      <c r="F9" s="37"/>
      <c r="G9" s="37"/>
      <c r="H9" s="37"/>
      <c r="I9" s="37"/>
      <c r="J9" s="39"/>
      <c r="K9" s="38"/>
      <c r="L9" s="39"/>
      <c r="M9" s="44"/>
      <c r="N9" s="38"/>
      <c r="O9" s="38"/>
      <c r="P9" s="38"/>
      <c r="Q9" s="38"/>
      <c r="R9" s="38"/>
      <c r="S9" s="37"/>
      <c r="T9" s="41"/>
      <c r="U9" s="45"/>
      <c r="V9" s="45"/>
      <c r="W9" s="45"/>
      <c r="X9" s="45"/>
    </row>
    <row r="10" s="19" customFormat="1" ht="107" customHeight="1" outlineLevel="1" spans="1:24">
      <c r="A10" s="28">
        <f>MAX($A$6:A9)+1</f>
        <v>5</v>
      </c>
      <c r="B10" s="28" t="s">
        <v>47</v>
      </c>
      <c r="C10" s="28" t="s">
        <v>53</v>
      </c>
      <c r="D10" s="28" t="s">
        <v>49</v>
      </c>
      <c r="E10" s="37">
        <f>SUM(F10:I10)</f>
        <v>136.19</v>
      </c>
      <c r="F10" s="37">
        <v>36.56</v>
      </c>
      <c r="G10" s="37">
        <v>33.21</v>
      </c>
      <c r="H10" s="37">
        <v>33.21</v>
      </c>
      <c r="I10" s="37">
        <v>33.21</v>
      </c>
      <c r="J10" s="39">
        <v>45</v>
      </c>
      <c r="K10" s="38">
        <f>(1+M10)*L10</f>
        <v>66</v>
      </c>
      <c r="L10" s="39">
        <v>60</v>
      </c>
      <c r="M10" s="44">
        <v>0.1</v>
      </c>
      <c r="N10" s="38">
        <v>20</v>
      </c>
      <c r="O10" s="38">
        <f>(J10+K10+N10)*$O$5</f>
        <v>13.1</v>
      </c>
      <c r="P10" s="38">
        <f>(J10+K10+N10+O10)*$P$5</f>
        <v>12.969</v>
      </c>
      <c r="Q10" s="38">
        <f t="shared" ref="Q8:Q11" si="1">J10+K10+N10+O10+P10</f>
        <v>157.069</v>
      </c>
      <c r="R10" s="38">
        <f t="shared" si="0"/>
        <v>21391.22711</v>
      </c>
      <c r="S10" s="37"/>
      <c r="T10" s="41"/>
      <c r="U10" s="45"/>
      <c r="V10" s="45"/>
      <c r="W10" s="45"/>
      <c r="X10" s="45"/>
    </row>
    <row r="11" s="19" customFormat="1" ht="123" customHeight="1" outlineLevel="1" spans="1:24">
      <c r="A11" s="28">
        <f>MAX($A$6:A10)+1</f>
        <v>6</v>
      </c>
      <c r="B11" s="28" t="s">
        <v>54</v>
      </c>
      <c r="C11" s="28" t="s">
        <v>55</v>
      </c>
      <c r="D11" s="28" t="s">
        <v>49</v>
      </c>
      <c r="E11" s="37">
        <f>SUM(F11:I11)</f>
        <v>9.8</v>
      </c>
      <c r="F11" s="37">
        <v>2.45</v>
      </c>
      <c r="G11" s="37">
        <v>2.45</v>
      </c>
      <c r="H11" s="37">
        <v>2.45</v>
      </c>
      <c r="I11" s="37">
        <v>2.45</v>
      </c>
      <c r="J11" s="39">
        <v>95</v>
      </c>
      <c r="K11" s="38">
        <f>(1+M11)*L11</f>
        <v>44</v>
      </c>
      <c r="L11" s="39">
        <v>40</v>
      </c>
      <c r="M11" s="44">
        <v>0.1</v>
      </c>
      <c r="N11" s="38">
        <v>25</v>
      </c>
      <c r="O11" s="38">
        <f>(J11+K11+N11)*$O$5</f>
        <v>16.4</v>
      </c>
      <c r="P11" s="38">
        <f>(J11+K11+N11+O11)*$P$5</f>
        <v>16.236</v>
      </c>
      <c r="Q11" s="38">
        <f t="shared" si="1"/>
        <v>196.636</v>
      </c>
      <c r="R11" s="38">
        <f t="shared" si="0"/>
        <v>1927.0328</v>
      </c>
      <c r="S11" s="37"/>
      <c r="T11" s="41"/>
      <c r="U11" s="45"/>
      <c r="V11" s="45"/>
      <c r="W11" s="45"/>
      <c r="X11" s="45"/>
    </row>
    <row r="12" s="19" customFormat="1" outlineLevel="1" spans="1:24">
      <c r="A12" s="28">
        <f>MAX($A$6:A11)+1</f>
        <v>7</v>
      </c>
      <c r="B12" s="32" t="s">
        <v>57</v>
      </c>
      <c r="C12" s="28"/>
      <c r="D12" s="28"/>
      <c r="E12" s="37"/>
      <c r="F12" s="37"/>
      <c r="G12" s="37"/>
      <c r="H12" s="37"/>
      <c r="I12" s="37"/>
      <c r="J12" s="39"/>
      <c r="K12" s="38"/>
      <c r="L12" s="39"/>
      <c r="M12" s="44"/>
      <c r="N12" s="38"/>
      <c r="O12" s="38"/>
      <c r="P12" s="38"/>
      <c r="Q12" s="38"/>
      <c r="R12" s="38"/>
      <c r="S12" s="37"/>
      <c r="T12" s="41"/>
      <c r="U12" s="45"/>
      <c r="V12" s="45"/>
      <c r="W12" s="45"/>
      <c r="X12" s="45"/>
    </row>
    <row r="13" s="19" customFormat="1" ht="102" customHeight="1" outlineLevel="2" spans="1:24">
      <c r="A13" s="28">
        <f>MAX($A$6:A12)+1</f>
        <v>8</v>
      </c>
      <c r="B13" s="28" t="s">
        <v>47</v>
      </c>
      <c r="C13" s="28" t="s">
        <v>48</v>
      </c>
      <c r="D13" s="28" t="s">
        <v>49</v>
      </c>
      <c r="E13" s="37">
        <f>SUM(F13:I13)</f>
        <v>526.68</v>
      </c>
      <c r="F13" s="37">
        <v>150.48</v>
      </c>
      <c r="G13" s="37">
        <v>125.4</v>
      </c>
      <c r="H13" s="37">
        <v>125.4</v>
      </c>
      <c r="I13" s="37">
        <v>125.4</v>
      </c>
      <c r="J13" s="39">
        <v>50</v>
      </c>
      <c r="K13" s="38">
        <v>45</v>
      </c>
      <c r="L13" s="39">
        <v>40</v>
      </c>
      <c r="M13" s="44">
        <v>0.1</v>
      </c>
      <c r="N13" s="38">
        <v>20</v>
      </c>
      <c r="O13" s="38">
        <f>(J13+K13+N13)*$O$5</f>
        <v>11.5</v>
      </c>
      <c r="P13" s="38">
        <f>(J13+K13+N13+O13)*$P$5</f>
        <v>11.385</v>
      </c>
      <c r="Q13" s="38">
        <f>J13+K13+N13+O13+P13</f>
        <v>137.885</v>
      </c>
      <c r="R13" s="38">
        <f>E13*Q13</f>
        <v>72621.2718</v>
      </c>
      <c r="S13" s="37"/>
      <c r="T13" s="41"/>
      <c r="U13" s="45"/>
      <c r="V13" s="45"/>
      <c r="W13" s="45"/>
      <c r="X13" s="45"/>
    </row>
    <row r="14" s="19" customFormat="1" ht="102" customHeight="1" outlineLevel="2" spans="1:24">
      <c r="A14" s="28">
        <f>MAX($A$6:A13)+1</f>
        <v>9</v>
      </c>
      <c r="B14" s="28" t="s">
        <v>50</v>
      </c>
      <c r="C14" s="28" t="s">
        <v>51</v>
      </c>
      <c r="D14" s="28" t="s">
        <v>49</v>
      </c>
      <c r="E14" s="37">
        <f>SUM(F14:I14)</f>
        <v>762.72</v>
      </c>
      <c r="F14" s="37">
        <v>217.92</v>
      </c>
      <c r="G14" s="37">
        <v>181.6</v>
      </c>
      <c r="H14" s="37">
        <v>181.6</v>
      </c>
      <c r="I14" s="37">
        <v>181.6</v>
      </c>
      <c r="J14" s="39">
        <v>55</v>
      </c>
      <c r="K14" s="38">
        <f t="shared" ref="K14:K22" si="2">(1+M14)*L14</f>
        <v>88</v>
      </c>
      <c r="L14" s="39">
        <v>80</v>
      </c>
      <c r="M14" s="44">
        <v>0.1</v>
      </c>
      <c r="N14" s="38">
        <v>20</v>
      </c>
      <c r="O14" s="38">
        <f>(J14+K14+N14)*$O$5</f>
        <v>16.3</v>
      </c>
      <c r="P14" s="38">
        <f>(J14+K14+N14+O14)*$P$5</f>
        <v>16.137</v>
      </c>
      <c r="Q14" s="38">
        <f t="shared" ref="Q14:Q22" si="3">J14+K14+N14+O14+P14</f>
        <v>195.437</v>
      </c>
      <c r="R14" s="38">
        <f t="shared" ref="R14:R22" si="4">E14*Q14</f>
        <v>149063.70864</v>
      </c>
      <c r="S14" s="37"/>
      <c r="T14" s="41"/>
      <c r="U14" s="45"/>
      <c r="V14" s="45"/>
      <c r="W14" s="45"/>
      <c r="X14" s="45"/>
    </row>
    <row r="15" s="19" customFormat="1" ht="31" customHeight="1" spans="1:24">
      <c r="A15" s="28">
        <f>MAX($A$6:A14)+1</f>
        <v>10</v>
      </c>
      <c r="B15" s="32" t="s">
        <v>12</v>
      </c>
      <c r="C15" s="28"/>
      <c r="D15" s="28"/>
      <c r="E15" s="37"/>
      <c r="F15" s="37"/>
      <c r="G15" s="37"/>
      <c r="H15" s="37"/>
      <c r="I15" s="37"/>
      <c r="J15" s="39"/>
      <c r="K15" s="38"/>
      <c r="L15" s="39"/>
      <c r="M15" s="66"/>
      <c r="N15" s="38"/>
      <c r="O15" s="38"/>
      <c r="P15" s="38"/>
      <c r="Q15" s="38">
        <f>SUM(R17:R38)</f>
        <v>708252.18959</v>
      </c>
      <c r="R15" s="38"/>
      <c r="S15" s="37"/>
      <c r="T15" s="41"/>
      <c r="U15" s="45"/>
      <c r="V15" s="45"/>
      <c r="W15" s="45"/>
      <c r="X15" s="45"/>
    </row>
    <row r="16" s="19" customFormat="1" outlineLevel="1" spans="1:24">
      <c r="A16" s="28">
        <f>MAX($A$6:A15)+1</f>
        <v>11</v>
      </c>
      <c r="B16" s="32" t="s">
        <v>46</v>
      </c>
      <c r="C16" s="28"/>
      <c r="D16" s="28"/>
      <c r="E16" s="37"/>
      <c r="F16" s="37"/>
      <c r="G16" s="37"/>
      <c r="H16" s="37"/>
      <c r="I16" s="37"/>
      <c r="J16" s="39"/>
      <c r="K16" s="38"/>
      <c r="L16" s="39"/>
      <c r="M16" s="66"/>
      <c r="N16" s="38"/>
      <c r="O16" s="38"/>
      <c r="P16" s="38"/>
      <c r="Q16" s="38"/>
      <c r="R16" s="38"/>
      <c r="S16" s="37"/>
      <c r="T16" s="41"/>
      <c r="U16" s="45"/>
      <c r="V16" s="45"/>
      <c r="W16" s="45"/>
      <c r="X16" s="45"/>
    </row>
    <row r="17" s="19" customFormat="1" ht="135" customHeight="1" outlineLevel="1" spans="1:24">
      <c r="A17" s="28">
        <f>MAX($A$6:A16)+1</f>
        <v>12</v>
      </c>
      <c r="B17" s="28" t="s">
        <v>58</v>
      </c>
      <c r="C17" s="28" t="s">
        <v>59</v>
      </c>
      <c r="D17" s="28" t="s">
        <v>49</v>
      </c>
      <c r="E17" s="37">
        <f t="shared" ref="E15:E22" si="5">SUM(F17:I17)</f>
        <v>177.22</v>
      </c>
      <c r="F17" s="37">
        <v>54.18</v>
      </c>
      <c r="G17" s="37">
        <v>43.48</v>
      </c>
      <c r="H17" s="37">
        <v>42.84</v>
      </c>
      <c r="I17" s="37">
        <v>36.72</v>
      </c>
      <c r="J17" s="39">
        <v>55</v>
      </c>
      <c r="K17" s="38">
        <f t="shared" si="2"/>
        <v>44</v>
      </c>
      <c r="L17" s="39">
        <v>40</v>
      </c>
      <c r="M17" s="44">
        <v>0.1</v>
      </c>
      <c r="N17" s="38">
        <v>15</v>
      </c>
      <c r="O17" s="38">
        <f>(J17+K17+N17)*$O$5</f>
        <v>11.4</v>
      </c>
      <c r="P17" s="38">
        <f>(J17+K17+N17+O17)*$P$5</f>
        <v>11.286</v>
      </c>
      <c r="Q17" s="38">
        <f t="shared" si="3"/>
        <v>136.686</v>
      </c>
      <c r="R17" s="38">
        <f t="shared" si="4"/>
        <v>24223.49292</v>
      </c>
      <c r="S17" s="37"/>
      <c r="T17" s="41"/>
      <c r="U17" s="45"/>
      <c r="V17" s="45"/>
      <c r="W17" s="45"/>
      <c r="X17" s="45"/>
    </row>
    <row r="18" s="19" customFormat="1" ht="56.25" outlineLevel="1" spans="1:24">
      <c r="A18" s="28">
        <f>MAX($A$6:A17)+1</f>
        <v>13</v>
      </c>
      <c r="B18" s="28" t="s">
        <v>60</v>
      </c>
      <c r="C18" s="28" t="s">
        <v>61</v>
      </c>
      <c r="D18" s="28" t="s">
        <v>49</v>
      </c>
      <c r="E18" s="37">
        <f t="shared" si="5"/>
        <v>21.28</v>
      </c>
      <c r="F18" s="37">
        <v>5.29</v>
      </c>
      <c r="G18" s="37">
        <v>5.34</v>
      </c>
      <c r="H18" s="37">
        <v>5.31</v>
      </c>
      <c r="I18" s="37">
        <v>5.34</v>
      </c>
      <c r="J18" s="39">
        <v>100</v>
      </c>
      <c r="K18" s="38">
        <f t="shared" si="2"/>
        <v>315</v>
      </c>
      <c r="L18" s="39">
        <v>300</v>
      </c>
      <c r="M18" s="44">
        <v>0.05</v>
      </c>
      <c r="N18" s="38">
        <v>15</v>
      </c>
      <c r="O18" s="38">
        <f>(J18+K18+N18)*$O$5</f>
        <v>43</v>
      </c>
      <c r="P18" s="38">
        <f>(J18+K18+N18+O18)*$P$5</f>
        <v>42.57</v>
      </c>
      <c r="Q18" s="38">
        <f t="shared" si="3"/>
        <v>515.57</v>
      </c>
      <c r="R18" s="38">
        <f t="shared" si="4"/>
        <v>10971.3296</v>
      </c>
      <c r="S18" s="37"/>
      <c r="T18" s="41"/>
      <c r="U18" s="45"/>
      <c r="V18" s="45"/>
      <c r="W18" s="45"/>
      <c r="X18" s="45"/>
    </row>
    <row r="19" s="19" customFormat="1" ht="78.75" outlineLevel="1" spans="1:24">
      <c r="A19" s="28">
        <f>MAX($A$6:A18)+1</f>
        <v>14</v>
      </c>
      <c r="B19" s="28" t="s">
        <v>60</v>
      </c>
      <c r="C19" s="28" t="s">
        <v>62</v>
      </c>
      <c r="D19" s="28" t="s">
        <v>49</v>
      </c>
      <c r="E19" s="37">
        <f t="shared" si="5"/>
        <v>12.24</v>
      </c>
      <c r="F19" s="37">
        <v>3.06</v>
      </c>
      <c r="G19" s="37">
        <v>3.06</v>
      </c>
      <c r="H19" s="37">
        <v>3.06</v>
      </c>
      <c r="I19" s="37">
        <v>3.06</v>
      </c>
      <c r="J19" s="39">
        <v>100</v>
      </c>
      <c r="K19" s="38">
        <f t="shared" si="2"/>
        <v>315</v>
      </c>
      <c r="L19" s="39">
        <v>300</v>
      </c>
      <c r="M19" s="44">
        <v>0.05</v>
      </c>
      <c r="N19" s="38">
        <v>20</v>
      </c>
      <c r="O19" s="38">
        <f>(J19+K19+N19)*$O$5</f>
        <v>43.5</v>
      </c>
      <c r="P19" s="38">
        <f>(J19+K19+N19+O19)*$P$5</f>
        <v>43.065</v>
      </c>
      <c r="Q19" s="38">
        <f t="shared" si="3"/>
        <v>521.565</v>
      </c>
      <c r="R19" s="38">
        <f t="shared" si="4"/>
        <v>6383.9556</v>
      </c>
      <c r="S19" s="37"/>
      <c r="T19" s="41"/>
      <c r="U19" s="45"/>
      <c r="V19" s="45"/>
      <c r="W19" s="45"/>
      <c r="X19" s="45"/>
    </row>
    <row r="20" s="19" customFormat="1" ht="45" outlineLevel="1" spans="1:24">
      <c r="A20" s="28">
        <f>MAX($A$6:A19)+1</f>
        <v>15</v>
      </c>
      <c r="B20" s="28" t="s">
        <v>63</v>
      </c>
      <c r="C20" s="28" t="s">
        <v>64</v>
      </c>
      <c r="D20" s="28" t="s">
        <v>65</v>
      </c>
      <c r="E20" s="37">
        <f t="shared" si="5"/>
        <v>43.2</v>
      </c>
      <c r="F20" s="37">
        <v>10.8</v>
      </c>
      <c r="G20" s="37">
        <v>10.8</v>
      </c>
      <c r="H20" s="37">
        <v>10.8</v>
      </c>
      <c r="I20" s="37">
        <v>10.8</v>
      </c>
      <c r="J20" s="39">
        <v>20</v>
      </c>
      <c r="K20" s="38">
        <f t="shared" si="2"/>
        <v>36.75</v>
      </c>
      <c r="L20" s="39">
        <v>35</v>
      </c>
      <c r="M20" s="44">
        <v>0.05</v>
      </c>
      <c r="N20" s="38">
        <v>10</v>
      </c>
      <c r="O20" s="38">
        <f>(J20+K20+N20)*$O$5</f>
        <v>6.675</v>
      </c>
      <c r="P20" s="38">
        <f>(J20+K20+N20+O20)*$P$5</f>
        <v>6.60825</v>
      </c>
      <c r="Q20" s="38">
        <f t="shared" si="3"/>
        <v>80.03325</v>
      </c>
      <c r="R20" s="38">
        <f t="shared" si="4"/>
        <v>3457.4364</v>
      </c>
      <c r="S20" s="37"/>
      <c r="T20" s="41"/>
      <c r="U20" s="45"/>
      <c r="V20" s="45"/>
      <c r="W20" s="45"/>
      <c r="X20" s="45"/>
    </row>
    <row r="21" s="19" customFormat="1" ht="45" outlineLevel="1" spans="1:24">
      <c r="A21" s="28">
        <f>MAX($A$6:A20)+1</f>
        <v>16</v>
      </c>
      <c r="B21" s="28" t="s">
        <v>66</v>
      </c>
      <c r="C21" s="28" t="s">
        <v>67</v>
      </c>
      <c r="D21" s="28" t="s">
        <v>49</v>
      </c>
      <c r="E21" s="37">
        <f t="shared" si="5"/>
        <v>222.89</v>
      </c>
      <c r="F21" s="37">
        <v>46.02</v>
      </c>
      <c r="G21" s="37">
        <v>98.43</v>
      </c>
      <c r="H21" s="37">
        <v>34.34</v>
      </c>
      <c r="I21" s="37">
        <v>44.1</v>
      </c>
      <c r="J21" s="39">
        <v>15</v>
      </c>
      <c r="K21" s="38">
        <f t="shared" si="2"/>
        <v>21</v>
      </c>
      <c r="L21" s="39">
        <v>20</v>
      </c>
      <c r="M21" s="44">
        <v>0.05</v>
      </c>
      <c r="N21" s="38">
        <v>8</v>
      </c>
      <c r="O21" s="38">
        <f>(J21+K21+N21)*$O$5</f>
        <v>4.4</v>
      </c>
      <c r="P21" s="38">
        <f>(J21+K21+N21+O21)*$P$5</f>
        <v>4.356</v>
      </c>
      <c r="Q21" s="38">
        <f t="shared" si="3"/>
        <v>52.756</v>
      </c>
      <c r="R21" s="38">
        <f t="shared" si="4"/>
        <v>11758.78484</v>
      </c>
      <c r="S21" s="37"/>
      <c r="T21" s="41"/>
      <c r="U21" s="45"/>
      <c r="V21" s="45"/>
      <c r="W21" s="45"/>
      <c r="X21" s="45"/>
    </row>
    <row r="22" s="19" customFormat="1" ht="33.75" outlineLevel="1" spans="1:24">
      <c r="A22" s="28">
        <f>MAX($A$6:A21)+1</f>
        <v>17</v>
      </c>
      <c r="B22" s="28" t="s">
        <v>68</v>
      </c>
      <c r="C22" s="28" t="s">
        <v>69</v>
      </c>
      <c r="D22" s="28" t="s">
        <v>70</v>
      </c>
      <c r="E22" s="37">
        <f t="shared" si="5"/>
        <v>213</v>
      </c>
      <c r="F22" s="37">
        <v>30</v>
      </c>
      <c r="G22" s="37">
        <v>84</v>
      </c>
      <c r="H22" s="37">
        <v>43</v>
      </c>
      <c r="I22" s="37">
        <v>56</v>
      </c>
      <c r="J22" s="39">
        <v>200</v>
      </c>
      <c r="K22" s="38">
        <f t="shared" si="2"/>
        <v>125</v>
      </c>
      <c r="L22" s="39">
        <v>125</v>
      </c>
      <c r="M22" s="44">
        <v>0</v>
      </c>
      <c r="N22" s="38">
        <v>19.5</v>
      </c>
      <c r="O22" s="38">
        <f>(J22+K22+N22)*$O$5</f>
        <v>34.45</v>
      </c>
      <c r="P22" s="38">
        <f>(J22+K22+N22+O22)*$P$5</f>
        <v>34.1055</v>
      </c>
      <c r="Q22" s="38">
        <f t="shared" si="3"/>
        <v>413.0555</v>
      </c>
      <c r="R22" s="38">
        <f t="shared" si="4"/>
        <v>87980.8215</v>
      </c>
      <c r="S22" s="37"/>
      <c r="T22" s="41"/>
      <c r="U22" s="45"/>
      <c r="V22" s="45"/>
      <c r="W22" s="45"/>
      <c r="X22" s="45"/>
    </row>
    <row r="23" s="19" customFormat="1" outlineLevel="1" spans="1:24">
      <c r="A23" s="28">
        <f>MAX($A$6:A22)+1</f>
        <v>18</v>
      </c>
      <c r="B23" s="32" t="s">
        <v>52</v>
      </c>
      <c r="C23" s="28"/>
      <c r="D23" s="28"/>
      <c r="E23" s="37"/>
      <c r="F23" s="37"/>
      <c r="G23" s="37"/>
      <c r="H23" s="37"/>
      <c r="I23" s="37"/>
      <c r="J23" s="39"/>
      <c r="K23" s="38"/>
      <c r="L23" s="39"/>
      <c r="M23" s="66"/>
      <c r="N23" s="38"/>
      <c r="O23" s="38"/>
      <c r="P23" s="38"/>
      <c r="Q23" s="38"/>
      <c r="R23" s="38"/>
      <c r="S23" s="37"/>
      <c r="T23" s="41"/>
      <c r="U23" s="45"/>
      <c r="V23" s="45"/>
      <c r="W23" s="45"/>
      <c r="X23" s="45"/>
    </row>
    <row r="24" s="19" customFormat="1" ht="115" customHeight="1" outlineLevel="1" spans="1:24">
      <c r="A24" s="28">
        <f>MAX($A$6:A23)+1</f>
        <v>19</v>
      </c>
      <c r="B24" s="28" t="s">
        <v>71</v>
      </c>
      <c r="C24" s="28" t="s">
        <v>72</v>
      </c>
      <c r="D24" s="28" t="s">
        <v>49</v>
      </c>
      <c r="E24" s="37">
        <f t="shared" ref="E24:E32" si="6">SUM(F24:I24)</f>
        <v>36</v>
      </c>
      <c r="F24" s="37">
        <v>9</v>
      </c>
      <c r="G24" s="37">
        <v>9</v>
      </c>
      <c r="H24" s="37">
        <v>9</v>
      </c>
      <c r="I24" s="37">
        <v>9</v>
      </c>
      <c r="J24" s="39">
        <v>100</v>
      </c>
      <c r="K24" s="38">
        <f t="shared" ref="K24:K32" si="7">(1+M24)*L24</f>
        <v>275</v>
      </c>
      <c r="L24" s="39">
        <v>250</v>
      </c>
      <c r="M24" s="44">
        <v>0.1</v>
      </c>
      <c r="N24" s="38">
        <v>50</v>
      </c>
      <c r="O24" s="38">
        <f>(J24+K24+N24)*$O$5</f>
        <v>42.5</v>
      </c>
      <c r="P24" s="38">
        <f>(J24+K24+N24+O24)*$P$5</f>
        <v>42.075</v>
      </c>
      <c r="Q24" s="38">
        <f t="shared" ref="Q24:Q32" si="8">J24+K24+N24+O24+P24</f>
        <v>509.575</v>
      </c>
      <c r="R24" s="38">
        <f>E24*Q24</f>
        <v>18344.7</v>
      </c>
      <c r="S24" s="37"/>
      <c r="T24" s="41"/>
      <c r="U24" s="45"/>
      <c r="V24" s="45"/>
      <c r="W24" s="45"/>
      <c r="X24" s="45"/>
    </row>
    <row r="25" s="19" customFormat="1" ht="90" outlineLevel="1" spans="1:24">
      <c r="A25" s="28">
        <f>MAX($A$6:A24)+1</f>
        <v>20</v>
      </c>
      <c r="B25" s="28" t="s">
        <v>71</v>
      </c>
      <c r="C25" s="28" t="s">
        <v>73</v>
      </c>
      <c r="D25" s="28" t="s">
        <v>49</v>
      </c>
      <c r="E25" s="37">
        <f t="shared" si="6"/>
        <v>254.49</v>
      </c>
      <c r="F25" s="37">
        <v>68.88</v>
      </c>
      <c r="G25" s="37">
        <v>61.87</v>
      </c>
      <c r="H25" s="37">
        <v>61.87</v>
      </c>
      <c r="I25" s="37">
        <v>61.87</v>
      </c>
      <c r="J25" s="39">
        <v>100</v>
      </c>
      <c r="K25" s="38">
        <f t="shared" si="7"/>
        <v>275</v>
      </c>
      <c r="L25" s="39">
        <v>250</v>
      </c>
      <c r="M25" s="44">
        <v>0.1</v>
      </c>
      <c r="N25" s="38">
        <v>50</v>
      </c>
      <c r="O25" s="38">
        <f>(J25+K25+N25)*$O$5</f>
        <v>42.5</v>
      </c>
      <c r="P25" s="38">
        <f>(J25+K25+N25+O25)*$P$5</f>
        <v>42.075</v>
      </c>
      <c r="Q25" s="38">
        <f t="shared" si="8"/>
        <v>509.575</v>
      </c>
      <c r="R25" s="38">
        <f>E25*Q25</f>
        <v>129681.74175</v>
      </c>
      <c r="S25" s="37"/>
      <c r="T25" s="41"/>
      <c r="U25" s="45"/>
      <c r="V25" s="45"/>
      <c r="W25" s="45"/>
      <c r="X25" s="45"/>
    </row>
    <row r="26" s="19" customFormat="1" ht="78.75" outlineLevel="1" spans="1:24">
      <c r="A26" s="28">
        <f>MAX($A$6:A25)+1</f>
        <v>21</v>
      </c>
      <c r="B26" s="28" t="s">
        <v>74</v>
      </c>
      <c r="C26" s="28" t="s">
        <v>75</v>
      </c>
      <c r="D26" s="28" t="s">
        <v>65</v>
      </c>
      <c r="E26" s="37">
        <f t="shared" si="6"/>
        <v>101.96</v>
      </c>
      <c r="F26" s="37">
        <v>27.62</v>
      </c>
      <c r="G26" s="37">
        <v>24.78</v>
      </c>
      <c r="H26" s="37">
        <v>24.78</v>
      </c>
      <c r="I26" s="37">
        <v>24.78</v>
      </c>
      <c r="J26" s="39">
        <v>20</v>
      </c>
      <c r="K26" s="38">
        <f t="shared" si="7"/>
        <v>36.75</v>
      </c>
      <c r="L26" s="39">
        <v>35</v>
      </c>
      <c r="M26" s="44">
        <v>0.05</v>
      </c>
      <c r="N26" s="38">
        <v>10</v>
      </c>
      <c r="O26" s="38">
        <f>(J26+K26+N26)*$O$5</f>
        <v>6.675</v>
      </c>
      <c r="P26" s="38">
        <f>(J26+K26+N26+O26)*$P$5</f>
        <v>6.60825</v>
      </c>
      <c r="Q26" s="38">
        <f t="shared" si="8"/>
        <v>80.03325</v>
      </c>
      <c r="R26" s="38">
        <f>E26*Q26</f>
        <v>8160.19017</v>
      </c>
      <c r="S26" s="37"/>
      <c r="T26" s="41"/>
      <c r="U26" s="45"/>
      <c r="V26" s="45"/>
      <c r="W26" s="45"/>
      <c r="X26" s="45"/>
    </row>
    <row r="27" s="19" customFormat="1" ht="56.25" outlineLevel="1" spans="1:24">
      <c r="A27" s="28">
        <f>MAX($A$6:A26)+1</f>
        <v>22</v>
      </c>
      <c r="B27" s="28" t="s">
        <v>60</v>
      </c>
      <c r="C27" s="28" t="s">
        <v>76</v>
      </c>
      <c r="D27" s="28" t="s">
        <v>49</v>
      </c>
      <c r="E27" s="37">
        <f t="shared" si="6"/>
        <v>0</v>
      </c>
      <c r="F27" s="37">
        <v>0</v>
      </c>
      <c r="G27" s="37">
        <v>0</v>
      </c>
      <c r="H27" s="37">
        <v>0</v>
      </c>
      <c r="I27" s="37">
        <v>0</v>
      </c>
      <c r="J27" s="39">
        <v>100</v>
      </c>
      <c r="K27" s="38">
        <f t="shared" si="7"/>
        <v>315</v>
      </c>
      <c r="L27" s="39">
        <v>300</v>
      </c>
      <c r="M27" s="44">
        <v>0.05</v>
      </c>
      <c r="N27" s="38">
        <v>15</v>
      </c>
      <c r="O27" s="38">
        <f>(J27+K27+N27)*$O$5</f>
        <v>43</v>
      </c>
      <c r="P27" s="38">
        <f>(J27+K27+N27+O27)*$P$5</f>
        <v>42.57</v>
      </c>
      <c r="Q27" s="38">
        <f t="shared" si="8"/>
        <v>515.57</v>
      </c>
      <c r="R27" s="38">
        <f>E27*Q27</f>
        <v>0</v>
      </c>
      <c r="S27" s="37"/>
      <c r="T27" s="41"/>
      <c r="U27" s="45"/>
      <c r="V27" s="45"/>
      <c r="W27" s="45"/>
      <c r="X27" s="45"/>
    </row>
    <row r="28" s="19" customFormat="1" ht="56.25" outlineLevel="1" spans="1:24">
      <c r="A28" s="28">
        <f>MAX($A$6:A27)+1</f>
        <v>23</v>
      </c>
      <c r="B28" s="28" t="s">
        <v>63</v>
      </c>
      <c r="C28" s="28" t="s">
        <v>77</v>
      </c>
      <c r="D28" s="28" t="s">
        <v>65</v>
      </c>
      <c r="E28" s="37">
        <f t="shared" si="6"/>
        <v>68.8</v>
      </c>
      <c r="F28" s="37">
        <v>17.2</v>
      </c>
      <c r="G28" s="37">
        <v>17.2</v>
      </c>
      <c r="H28" s="37">
        <v>17.2</v>
      </c>
      <c r="I28" s="37">
        <v>17.2</v>
      </c>
      <c r="J28" s="39">
        <v>20</v>
      </c>
      <c r="K28" s="38">
        <f t="shared" si="7"/>
        <v>47.25</v>
      </c>
      <c r="L28" s="39">
        <v>45</v>
      </c>
      <c r="M28" s="44">
        <v>0.05</v>
      </c>
      <c r="N28" s="38">
        <v>10</v>
      </c>
      <c r="O28" s="38">
        <f>(J28+K28+N28)*$O$5</f>
        <v>7.725</v>
      </c>
      <c r="P28" s="38">
        <f>(J28+K28+N28+O28)*$P$5</f>
        <v>7.64775</v>
      </c>
      <c r="Q28" s="38">
        <f t="shared" si="8"/>
        <v>92.62275</v>
      </c>
      <c r="R28" s="38">
        <f>E28*Q28</f>
        <v>6372.4452</v>
      </c>
      <c r="S28" s="37"/>
      <c r="T28" s="41"/>
      <c r="U28" s="45"/>
      <c r="V28" s="45"/>
      <c r="W28" s="45"/>
      <c r="X28" s="45"/>
    </row>
    <row r="29" s="19" customFormat="1" ht="45" outlineLevel="1" spans="1:24">
      <c r="A29" s="28">
        <f>MAX($A$6:A28)+1</f>
        <v>24</v>
      </c>
      <c r="B29" s="28" t="s">
        <v>63</v>
      </c>
      <c r="C29" s="28" t="s">
        <v>78</v>
      </c>
      <c r="D29" s="28" t="s">
        <v>65</v>
      </c>
      <c r="E29" s="37">
        <f t="shared" si="6"/>
        <v>118.92</v>
      </c>
      <c r="F29" s="37">
        <v>29.64</v>
      </c>
      <c r="G29" s="37">
        <v>29.76</v>
      </c>
      <c r="H29" s="37">
        <v>29.76</v>
      </c>
      <c r="I29" s="37">
        <v>29.76</v>
      </c>
      <c r="J29" s="39">
        <v>20</v>
      </c>
      <c r="K29" s="38">
        <f t="shared" si="7"/>
        <v>26.25</v>
      </c>
      <c r="L29" s="39">
        <v>25</v>
      </c>
      <c r="M29" s="44">
        <v>0.05</v>
      </c>
      <c r="N29" s="38">
        <v>10</v>
      </c>
      <c r="O29" s="38">
        <f>(J29+K29+N29)*$O$5</f>
        <v>5.625</v>
      </c>
      <c r="P29" s="38">
        <f>(J29+K29+N29+O29)*$P$5</f>
        <v>5.56875</v>
      </c>
      <c r="Q29" s="38">
        <f t="shared" si="8"/>
        <v>67.44375</v>
      </c>
      <c r="R29" s="38">
        <f t="shared" ref="R29:R35" si="9">E29*Q29</f>
        <v>8020.41075</v>
      </c>
      <c r="S29" s="37"/>
      <c r="T29" s="41"/>
      <c r="U29" s="45"/>
      <c r="V29" s="45"/>
      <c r="W29" s="45"/>
      <c r="X29" s="45"/>
    </row>
    <row r="30" s="19" customFormat="1" ht="56.25" outlineLevel="1" spans="1:24">
      <c r="A30" s="28">
        <f>MAX($A$6:A29)+1</f>
        <v>25</v>
      </c>
      <c r="B30" s="28" t="s">
        <v>60</v>
      </c>
      <c r="C30" s="28" t="s">
        <v>79</v>
      </c>
      <c r="D30" s="28" t="s">
        <v>49</v>
      </c>
      <c r="E30" s="37">
        <f t="shared" si="6"/>
        <v>21.16</v>
      </c>
      <c r="F30" s="37">
        <v>5.29</v>
      </c>
      <c r="G30" s="37">
        <v>5.29</v>
      </c>
      <c r="H30" s="37">
        <v>5.29</v>
      </c>
      <c r="I30" s="37">
        <v>5.29</v>
      </c>
      <c r="J30" s="39">
        <v>100</v>
      </c>
      <c r="K30" s="38">
        <f t="shared" si="7"/>
        <v>315</v>
      </c>
      <c r="L30" s="39">
        <v>300</v>
      </c>
      <c r="M30" s="44">
        <v>0.05</v>
      </c>
      <c r="N30" s="38">
        <v>15</v>
      </c>
      <c r="O30" s="38">
        <f>(J30+K30+N30)*$O$5</f>
        <v>43</v>
      </c>
      <c r="P30" s="38">
        <f>(J30+K30+N30+O30)*$P$5</f>
        <v>42.57</v>
      </c>
      <c r="Q30" s="38">
        <f t="shared" si="8"/>
        <v>515.57</v>
      </c>
      <c r="R30" s="38">
        <f t="shared" si="9"/>
        <v>10909.4612</v>
      </c>
      <c r="S30" s="37"/>
      <c r="T30" s="41"/>
      <c r="U30" s="45"/>
      <c r="V30" s="45"/>
      <c r="W30" s="45"/>
      <c r="X30" s="45"/>
    </row>
    <row r="31" s="19" customFormat="1" ht="78.75" outlineLevel="1" spans="1:24">
      <c r="A31" s="28">
        <f>MAX($A$6:A30)+1</f>
        <v>26</v>
      </c>
      <c r="B31" s="28" t="s">
        <v>60</v>
      </c>
      <c r="C31" s="28" t="s">
        <v>80</v>
      </c>
      <c r="D31" s="28" t="s">
        <v>49</v>
      </c>
      <c r="E31" s="37">
        <f t="shared" si="6"/>
        <v>5.52</v>
      </c>
      <c r="F31" s="37">
        <v>1.38</v>
      </c>
      <c r="G31" s="37">
        <v>1.38</v>
      </c>
      <c r="H31" s="37">
        <v>1.38</v>
      </c>
      <c r="I31" s="37">
        <v>1.38</v>
      </c>
      <c r="J31" s="39">
        <v>100</v>
      </c>
      <c r="K31" s="38">
        <f t="shared" si="7"/>
        <v>315</v>
      </c>
      <c r="L31" s="39">
        <v>300</v>
      </c>
      <c r="M31" s="44">
        <v>0.05</v>
      </c>
      <c r="N31" s="38">
        <v>20</v>
      </c>
      <c r="O31" s="38">
        <f>(J31+K31+N31)*$O$5</f>
        <v>43.5</v>
      </c>
      <c r="P31" s="38">
        <f>(J31+K31+N31+O31)*$P$5</f>
        <v>43.065</v>
      </c>
      <c r="Q31" s="38">
        <f t="shared" si="8"/>
        <v>521.565</v>
      </c>
      <c r="R31" s="38">
        <f t="shared" si="9"/>
        <v>2879.0388</v>
      </c>
      <c r="S31" s="37"/>
      <c r="T31" s="41"/>
      <c r="U31" s="45"/>
      <c r="V31" s="45"/>
      <c r="W31" s="45"/>
      <c r="X31" s="45"/>
    </row>
    <row r="32" s="19" customFormat="1" ht="45" outlineLevel="1" spans="1:24">
      <c r="A32" s="28">
        <f>MAX($A$6:A31)+1</f>
        <v>27</v>
      </c>
      <c r="B32" s="28" t="s">
        <v>63</v>
      </c>
      <c r="C32" s="28" t="s">
        <v>64</v>
      </c>
      <c r="D32" s="28" t="s">
        <v>65</v>
      </c>
      <c r="E32" s="37">
        <f t="shared" si="6"/>
        <v>92.8</v>
      </c>
      <c r="F32" s="37">
        <v>23.2</v>
      </c>
      <c r="G32" s="37">
        <v>23.2</v>
      </c>
      <c r="H32" s="37">
        <v>23.2</v>
      </c>
      <c r="I32" s="37">
        <v>23.2</v>
      </c>
      <c r="J32" s="39">
        <v>20</v>
      </c>
      <c r="K32" s="38">
        <f t="shared" si="7"/>
        <v>36.75</v>
      </c>
      <c r="L32" s="39">
        <v>35</v>
      </c>
      <c r="M32" s="44">
        <v>0.05</v>
      </c>
      <c r="N32" s="38">
        <v>10</v>
      </c>
      <c r="O32" s="38">
        <f>(J32+K32+N32)*$O$5</f>
        <v>6.675</v>
      </c>
      <c r="P32" s="38">
        <f>(J32+K32+N32+O32)*$P$5</f>
        <v>6.60825</v>
      </c>
      <c r="Q32" s="38">
        <f t="shared" si="8"/>
        <v>80.03325</v>
      </c>
      <c r="R32" s="38">
        <f t="shared" si="9"/>
        <v>7427.0856</v>
      </c>
      <c r="S32" s="37"/>
      <c r="T32" s="41"/>
      <c r="U32" s="45"/>
      <c r="V32" s="45"/>
      <c r="W32" s="45"/>
      <c r="X32" s="45"/>
    </row>
    <row r="33" s="19" customFormat="1" outlineLevel="1" spans="1:24">
      <c r="A33" s="28">
        <f>MAX($A$6:A32)+1</f>
        <v>28</v>
      </c>
      <c r="B33" s="32" t="s">
        <v>81</v>
      </c>
      <c r="C33" s="28"/>
      <c r="D33" s="28"/>
      <c r="E33" s="37"/>
      <c r="F33" s="37"/>
      <c r="G33" s="37"/>
      <c r="H33" s="37"/>
      <c r="I33" s="37"/>
      <c r="J33" s="39"/>
      <c r="K33" s="38"/>
      <c r="L33" s="39"/>
      <c r="M33" s="44"/>
      <c r="N33" s="38"/>
      <c r="O33" s="38"/>
      <c r="P33" s="38"/>
      <c r="Q33" s="38"/>
      <c r="R33" s="38"/>
      <c r="S33" s="37"/>
      <c r="T33" s="41"/>
      <c r="U33" s="45"/>
      <c r="V33" s="45"/>
      <c r="W33" s="45"/>
      <c r="X33" s="45"/>
    </row>
    <row r="34" s="19" customFormat="1" ht="112.5" outlineLevel="1" spans="1:24">
      <c r="A34" s="28">
        <f>MAX($A$6:A33)+1</f>
        <v>29</v>
      </c>
      <c r="B34" s="28" t="s">
        <v>58</v>
      </c>
      <c r="C34" s="28" t="s">
        <v>82</v>
      </c>
      <c r="D34" s="28" t="s">
        <v>49</v>
      </c>
      <c r="E34" s="37">
        <f t="shared" ref="E34:E38" si="10">SUM(F34:I34)</f>
        <v>598.92</v>
      </c>
      <c r="F34" s="37">
        <v>171.12</v>
      </c>
      <c r="G34" s="37">
        <v>142.6</v>
      </c>
      <c r="H34" s="37">
        <v>142.6</v>
      </c>
      <c r="I34" s="37">
        <v>142.6</v>
      </c>
      <c r="J34" s="39">
        <v>55</v>
      </c>
      <c r="K34" s="38">
        <f t="shared" ref="K34:K38" si="11">(1+M34)*L34</f>
        <v>44</v>
      </c>
      <c r="L34" s="39">
        <v>40</v>
      </c>
      <c r="M34" s="44">
        <v>0.1</v>
      </c>
      <c r="N34" s="38">
        <v>15</v>
      </c>
      <c r="O34" s="38">
        <f>(J34+K34+N34)*$O$5</f>
        <v>11.4</v>
      </c>
      <c r="P34" s="38">
        <f>(J34+K34+N34+O34)*$P$5</f>
        <v>11.286</v>
      </c>
      <c r="Q34" s="38">
        <f t="shared" ref="Q34:Q38" si="12">J34+K34+N34+O34+P34</f>
        <v>136.686</v>
      </c>
      <c r="R34" s="38">
        <f t="shared" si="9"/>
        <v>81863.97912</v>
      </c>
      <c r="S34" s="37"/>
      <c r="T34" s="41"/>
      <c r="U34" s="45"/>
      <c r="V34" s="45"/>
      <c r="W34" s="45"/>
      <c r="X34" s="45"/>
    </row>
    <row r="35" s="19" customFormat="1" ht="56.25" outlineLevel="1" spans="1:24">
      <c r="A35" s="28">
        <f>MAX($A$6:A34)+1</f>
        <v>30</v>
      </c>
      <c r="B35" s="28" t="s">
        <v>60</v>
      </c>
      <c r="C35" s="28" t="s">
        <v>79</v>
      </c>
      <c r="D35" s="28" t="s">
        <v>49</v>
      </c>
      <c r="E35" s="37">
        <f t="shared" si="10"/>
        <v>123.73</v>
      </c>
      <c r="F35" s="37">
        <v>35.35</v>
      </c>
      <c r="G35" s="37">
        <v>29.46</v>
      </c>
      <c r="H35" s="37">
        <v>29.46</v>
      </c>
      <c r="I35" s="37">
        <v>29.46</v>
      </c>
      <c r="J35" s="39">
        <v>100</v>
      </c>
      <c r="K35" s="38">
        <f t="shared" si="11"/>
        <v>315</v>
      </c>
      <c r="L35" s="39">
        <v>300</v>
      </c>
      <c r="M35" s="44">
        <v>0.05</v>
      </c>
      <c r="N35" s="38">
        <v>15</v>
      </c>
      <c r="O35" s="38">
        <f>(J35+K35+N35)*$O$5</f>
        <v>43</v>
      </c>
      <c r="P35" s="38">
        <f>(J35+K35+N35+O35)*$P$5</f>
        <v>42.57</v>
      </c>
      <c r="Q35" s="38">
        <f t="shared" si="12"/>
        <v>515.57</v>
      </c>
      <c r="R35" s="38">
        <f t="shared" si="9"/>
        <v>63791.4761</v>
      </c>
      <c r="S35" s="37"/>
      <c r="T35" s="41"/>
      <c r="U35" s="45"/>
      <c r="V35" s="45"/>
      <c r="W35" s="45"/>
      <c r="X35" s="45"/>
    </row>
    <row r="36" s="19" customFormat="1" ht="78.75" outlineLevel="1" spans="1:24">
      <c r="A36" s="28">
        <f>MAX($A$6:A35)+1</f>
        <v>31</v>
      </c>
      <c r="B36" s="28" t="s">
        <v>60</v>
      </c>
      <c r="C36" s="28" t="s">
        <v>80</v>
      </c>
      <c r="D36" s="28" t="s">
        <v>49</v>
      </c>
      <c r="E36" s="37">
        <f t="shared" si="10"/>
        <v>57.96</v>
      </c>
      <c r="F36" s="37">
        <v>16.56</v>
      </c>
      <c r="G36" s="37">
        <v>13.8</v>
      </c>
      <c r="H36" s="37">
        <v>13.8</v>
      </c>
      <c r="I36" s="37">
        <v>13.8</v>
      </c>
      <c r="J36" s="39">
        <v>100</v>
      </c>
      <c r="K36" s="38">
        <f t="shared" si="11"/>
        <v>315</v>
      </c>
      <c r="L36" s="39">
        <v>300</v>
      </c>
      <c r="M36" s="44">
        <v>0.05</v>
      </c>
      <c r="N36" s="38">
        <v>20</v>
      </c>
      <c r="O36" s="38">
        <f>(J36+K36+N36)*$O$5</f>
        <v>43.5</v>
      </c>
      <c r="P36" s="38">
        <f>(J36+K36+N36+O36)*$P$5</f>
        <v>43.065</v>
      </c>
      <c r="Q36" s="38">
        <f t="shared" si="12"/>
        <v>521.565</v>
      </c>
      <c r="R36" s="38">
        <f t="shared" ref="R36:R42" si="13">E36*Q36</f>
        <v>30229.9074</v>
      </c>
      <c r="S36" s="37"/>
      <c r="T36" s="41"/>
      <c r="U36" s="45"/>
      <c r="V36" s="45"/>
      <c r="W36" s="45"/>
      <c r="X36" s="45"/>
    </row>
    <row r="37" s="19" customFormat="1" ht="45" outlineLevel="1" spans="1:24">
      <c r="A37" s="28">
        <f>MAX($A$6:A36)+1</f>
        <v>32</v>
      </c>
      <c r="B37" s="28" t="s">
        <v>63</v>
      </c>
      <c r="C37" s="28" t="s">
        <v>64</v>
      </c>
      <c r="D37" s="28" t="s">
        <v>65</v>
      </c>
      <c r="E37" s="37">
        <f t="shared" si="10"/>
        <v>974.4</v>
      </c>
      <c r="F37" s="37">
        <v>278.4</v>
      </c>
      <c r="G37" s="37">
        <v>232</v>
      </c>
      <c r="H37" s="37">
        <v>232</v>
      </c>
      <c r="I37" s="37">
        <v>232</v>
      </c>
      <c r="J37" s="39">
        <v>20</v>
      </c>
      <c r="K37" s="38">
        <f t="shared" si="11"/>
        <v>36.75</v>
      </c>
      <c r="L37" s="39">
        <v>35</v>
      </c>
      <c r="M37" s="44">
        <v>0.05</v>
      </c>
      <c r="N37" s="38">
        <v>10</v>
      </c>
      <c r="O37" s="38">
        <f>(J37+K37+N37)*$O$5</f>
        <v>6.675</v>
      </c>
      <c r="P37" s="38">
        <f>(J37+K37+N37+O37)*$P$5</f>
        <v>6.60825</v>
      </c>
      <c r="Q37" s="38">
        <f t="shared" si="12"/>
        <v>80.03325</v>
      </c>
      <c r="R37" s="38">
        <f t="shared" si="13"/>
        <v>77984.3988</v>
      </c>
      <c r="S37" s="37"/>
      <c r="T37" s="41"/>
      <c r="U37" s="45"/>
      <c r="V37" s="45"/>
      <c r="W37" s="45"/>
      <c r="X37" s="45"/>
    </row>
    <row r="38" s="19" customFormat="1" ht="45" outlineLevel="1" spans="1:24">
      <c r="A38" s="28">
        <f>MAX($A$6:A37)+1</f>
        <v>33</v>
      </c>
      <c r="B38" s="28" t="s">
        <v>66</v>
      </c>
      <c r="C38" s="28" t="s">
        <v>104</v>
      </c>
      <c r="D38" s="28" t="s">
        <v>49</v>
      </c>
      <c r="E38" s="37">
        <f t="shared" si="10"/>
        <v>2233.14</v>
      </c>
      <c r="F38" s="37">
        <v>638.04</v>
      </c>
      <c r="G38" s="37">
        <v>531.7</v>
      </c>
      <c r="H38" s="37">
        <v>531.7</v>
      </c>
      <c r="I38" s="37">
        <v>531.7</v>
      </c>
      <c r="J38" s="39">
        <v>15</v>
      </c>
      <c r="K38" s="38">
        <f t="shared" si="11"/>
        <v>21</v>
      </c>
      <c r="L38" s="39">
        <v>20</v>
      </c>
      <c r="M38" s="44">
        <v>0.05</v>
      </c>
      <c r="N38" s="38">
        <v>8</v>
      </c>
      <c r="O38" s="38">
        <f>(J38+K38+N38)*$O$5</f>
        <v>4.4</v>
      </c>
      <c r="P38" s="38">
        <f>(J38+K38+N38+O38)*$P$5</f>
        <v>4.356</v>
      </c>
      <c r="Q38" s="38">
        <f t="shared" si="12"/>
        <v>52.756</v>
      </c>
      <c r="R38" s="38">
        <f t="shared" si="13"/>
        <v>117811.53384</v>
      </c>
      <c r="S38" s="37"/>
      <c r="T38" s="41"/>
      <c r="U38" s="45"/>
      <c r="V38" s="45"/>
      <c r="W38" s="45"/>
      <c r="X38" s="45"/>
    </row>
    <row r="39" s="19" customFormat="1" spans="1:24">
      <c r="A39" s="28">
        <f>MAX($A$6:A38)+1</f>
        <v>34</v>
      </c>
      <c r="B39" s="32" t="s">
        <v>13</v>
      </c>
      <c r="C39" s="28"/>
      <c r="D39" s="28"/>
      <c r="E39" s="37"/>
      <c r="F39" s="37"/>
      <c r="G39" s="37"/>
      <c r="H39" s="37"/>
      <c r="I39" s="37"/>
      <c r="J39" s="39"/>
      <c r="K39" s="38"/>
      <c r="L39" s="39"/>
      <c r="M39" s="66"/>
      <c r="N39" s="38"/>
      <c r="O39" s="38"/>
      <c r="P39" s="38"/>
      <c r="Q39" s="38">
        <f>SUM(R41:R47)</f>
        <v>219841.18222</v>
      </c>
      <c r="R39" s="38"/>
      <c r="S39" s="37"/>
      <c r="T39" s="41"/>
      <c r="U39" s="45"/>
      <c r="V39" s="45"/>
      <c r="W39" s="45"/>
      <c r="X39" s="45"/>
    </row>
    <row r="40" s="19" customFormat="1" outlineLevel="1" spans="1:24">
      <c r="A40" s="28">
        <f>MAX($A$6:A39)+1</f>
        <v>35</v>
      </c>
      <c r="B40" s="32" t="s">
        <v>46</v>
      </c>
      <c r="C40" s="28"/>
      <c r="D40" s="28"/>
      <c r="E40" s="37"/>
      <c r="F40" s="37"/>
      <c r="G40" s="37"/>
      <c r="H40" s="37"/>
      <c r="I40" s="37"/>
      <c r="J40" s="39"/>
      <c r="K40" s="38"/>
      <c r="L40" s="39"/>
      <c r="M40" s="66"/>
      <c r="N40" s="38"/>
      <c r="O40" s="38"/>
      <c r="P40" s="38"/>
      <c r="Q40" s="38"/>
      <c r="R40" s="38"/>
      <c r="S40" s="37"/>
      <c r="T40" s="41"/>
      <c r="U40" s="45"/>
      <c r="V40" s="45"/>
      <c r="W40" s="45"/>
      <c r="X40" s="45"/>
    </row>
    <row r="41" s="19" customFormat="1" ht="101.25" outlineLevel="1" spans="1:24">
      <c r="A41" s="28">
        <f>MAX($A$6:A40)+1</f>
        <v>36</v>
      </c>
      <c r="B41" s="28" t="s">
        <v>83</v>
      </c>
      <c r="C41" s="28" t="s">
        <v>84</v>
      </c>
      <c r="D41" s="28" t="s">
        <v>49</v>
      </c>
      <c r="E41" s="37">
        <f>SUM(F41:I41)</f>
        <v>59.19</v>
      </c>
      <c r="F41" s="37">
        <v>17.17</v>
      </c>
      <c r="G41" s="37">
        <v>14.06</v>
      </c>
      <c r="H41" s="37">
        <v>15.08</v>
      </c>
      <c r="I41" s="37">
        <v>12.88</v>
      </c>
      <c r="J41" s="39">
        <v>55</v>
      </c>
      <c r="K41" s="38">
        <f t="shared" ref="K41:K44" si="14">(1+M41)*L41</f>
        <v>84</v>
      </c>
      <c r="L41" s="39">
        <v>80</v>
      </c>
      <c r="M41" s="44">
        <v>0.05</v>
      </c>
      <c r="N41" s="38">
        <v>20</v>
      </c>
      <c r="O41" s="38">
        <f>(J41+K41+N41)*$O$5</f>
        <v>15.9</v>
      </c>
      <c r="P41" s="38">
        <f>(J41+K41+N41+O41)*$P$5</f>
        <v>15.741</v>
      </c>
      <c r="Q41" s="38">
        <f t="shared" ref="Q41:Q44" si="15">J41+K41+N41+O41+P41</f>
        <v>190.641</v>
      </c>
      <c r="R41" s="38">
        <f t="shared" si="13"/>
        <v>11284.04079</v>
      </c>
      <c r="S41" s="37"/>
      <c r="T41" s="41"/>
      <c r="U41" s="45"/>
      <c r="V41" s="45"/>
      <c r="W41" s="45"/>
      <c r="X41" s="45"/>
    </row>
    <row r="42" s="19" customFormat="1" ht="78.75" outlineLevel="1" spans="1:24">
      <c r="A42" s="28">
        <f>MAX($A$6:A41)+1</f>
        <v>37</v>
      </c>
      <c r="B42" s="28" t="s">
        <v>85</v>
      </c>
      <c r="C42" s="28" t="s">
        <v>86</v>
      </c>
      <c r="D42" s="28" t="s">
        <v>49</v>
      </c>
      <c r="E42" s="37">
        <f>SUM(F42:I42)</f>
        <v>76.44</v>
      </c>
      <c r="F42" s="37">
        <v>15.51</v>
      </c>
      <c r="G42" s="37">
        <v>33.08</v>
      </c>
      <c r="H42" s="37">
        <v>13.35</v>
      </c>
      <c r="I42" s="37">
        <v>14.5</v>
      </c>
      <c r="J42" s="39">
        <v>55</v>
      </c>
      <c r="K42" s="38">
        <f t="shared" si="14"/>
        <v>204.75</v>
      </c>
      <c r="L42" s="39">
        <v>195</v>
      </c>
      <c r="M42" s="44">
        <v>0.05</v>
      </c>
      <c r="N42" s="38">
        <v>50</v>
      </c>
      <c r="O42" s="38">
        <f>(J42+K42+N42)*$O$5</f>
        <v>30.975</v>
      </c>
      <c r="P42" s="38">
        <f>(J42+K42+N42+O42)*$P$5</f>
        <v>30.66525</v>
      </c>
      <c r="Q42" s="38">
        <f t="shared" si="15"/>
        <v>371.39025</v>
      </c>
      <c r="R42" s="38">
        <f t="shared" si="13"/>
        <v>28389.07071</v>
      </c>
      <c r="S42" s="37"/>
      <c r="T42" s="41"/>
      <c r="U42" s="45"/>
      <c r="V42" s="45"/>
      <c r="W42" s="45"/>
      <c r="X42" s="45"/>
    </row>
    <row r="43" s="19" customFormat="1" outlineLevel="1" spans="1:24">
      <c r="A43" s="28">
        <f>MAX($A$6:A42)+1</f>
        <v>38</v>
      </c>
      <c r="B43" s="32" t="s">
        <v>52</v>
      </c>
      <c r="C43" s="28"/>
      <c r="D43" s="28"/>
      <c r="E43" s="37"/>
      <c r="F43" s="37"/>
      <c r="G43" s="37"/>
      <c r="H43" s="37"/>
      <c r="I43" s="37"/>
      <c r="J43" s="39"/>
      <c r="K43" s="38"/>
      <c r="L43" s="39"/>
      <c r="M43" s="66"/>
      <c r="N43" s="38"/>
      <c r="O43" s="38"/>
      <c r="P43" s="38"/>
      <c r="Q43" s="38"/>
      <c r="R43" s="38"/>
      <c r="S43" s="37"/>
      <c r="T43" s="41"/>
      <c r="U43" s="45"/>
      <c r="V43" s="45"/>
      <c r="W43" s="45"/>
      <c r="X43" s="45"/>
    </row>
    <row r="44" s="19" customFormat="1" ht="101.25" outlineLevel="1" spans="1:24">
      <c r="A44" s="28">
        <f>MAX($A$6:A43)+1</f>
        <v>39</v>
      </c>
      <c r="B44" s="28" t="s">
        <v>83</v>
      </c>
      <c r="C44" s="28" t="s">
        <v>84</v>
      </c>
      <c r="D44" s="28" t="s">
        <v>49</v>
      </c>
      <c r="E44" s="37">
        <f>SUM(F44:I44)</f>
        <v>121.76</v>
      </c>
      <c r="F44" s="37">
        <v>36.56</v>
      </c>
      <c r="G44" s="37">
        <v>28.4</v>
      </c>
      <c r="H44" s="37">
        <v>28.4</v>
      </c>
      <c r="I44" s="37">
        <v>28.4</v>
      </c>
      <c r="J44" s="39">
        <v>55</v>
      </c>
      <c r="K44" s="38">
        <f t="shared" si="14"/>
        <v>84</v>
      </c>
      <c r="L44" s="39">
        <v>80</v>
      </c>
      <c r="M44" s="44">
        <v>0.05</v>
      </c>
      <c r="N44" s="38">
        <v>20</v>
      </c>
      <c r="O44" s="38">
        <f>(J44+K44+N44)*$O$5</f>
        <v>15.9</v>
      </c>
      <c r="P44" s="38">
        <f>(J44+K44+N44+O44)*$P$5</f>
        <v>15.741</v>
      </c>
      <c r="Q44" s="38">
        <f t="shared" si="15"/>
        <v>190.641</v>
      </c>
      <c r="R44" s="38">
        <f t="shared" ref="R44:R47" si="16">E44*Q44</f>
        <v>23212.44816</v>
      </c>
      <c r="S44" s="37"/>
      <c r="T44" s="41"/>
      <c r="U44" s="45"/>
      <c r="V44" s="45"/>
      <c r="W44" s="45"/>
      <c r="X44" s="45"/>
    </row>
    <row r="45" s="19" customFormat="1" outlineLevel="1" spans="1:24">
      <c r="A45" s="28">
        <f>MAX($A$6:A44)+1</f>
        <v>40</v>
      </c>
      <c r="B45" s="32" t="s">
        <v>81</v>
      </c>
      <c r="C45" s="28"/>
      <c r="D45" s="28"/>
      <c r="E45" s="37"/>
      <c r="F45" s="37"/>
      <c r="G45" s="37"/>
      <c r="H45" s="37"/>
      <c r="I45" s="37"/>
      <c r="J45" s="39"/>
      <c r="K45" s="38"/>
      <c r="L45" s="39"/>
      <c r="M45" s="66"/>
      <c r="N45" s="38"/>
      <c r="O45" s="38"/>
      <c r="P45" s="38"/>
      <c r="Q45" s="38"/>
      <c r="R45" s="38"/>
      <c r="S45" s="37"/>
      <c r="T45" s="41"/>
      <c r="U45" s="45"/>
      <c r="V45" s="45"/>
      <c r="W45" s="45"/>
      <c r="X45" s="45"/>
    </row>
    <row r="46" s="19" customFormat="1" ht="101.25" outlineLevel="1" spans="1:24">
      <c r="A46" s="28">
        <f>MAX($A$6:A45)+1</f>
        <v>41</v>
      </c>
      <c r="B46" s="28" t="s">
        <v>83</v>
      </c>
      <c r="C46" s="28" t="s">
        <v>84</v>
      </c>
      <c r="D46" s="28" t="s">
        <v>49</v>
      </c>
      <c r="E46" s="37">
        <f>SUM(F46:I46)</f>
        <v>505.68</v>
      </c>
      <c r="F46" s="37">
        <v>144.48</v>
      </c>
      <c r="G46" s="37">
        <v>120.4</v>
      </c>
      <c r="H46" s="37">
        <v>120.4</v>
      </c>
      <c r="I46" s="37">
        <v>120.4</v>
      </c>
      <c r="J46" s="39">
        <v>55</v>
      </c>
      <c r="K46" s="38">
        <f t="shared" ref="K46:K50" si="17">(1+M46)*L46</f>
        <v>84</v>
      </c>
      <c r="L46" s="39">
        <v>80</v>
      </c>
      <c r="M46" s="44">
        <v>0.05</v>
      </c>
      <c r="N46" s="38">
        <v>20</v>
      </c>
      <c r="O46" s="38">
        <f>(J46+K46+N46)*$O$5</f>
        <v>15.9</v>
      </c>
      <c r="P46" s="38">
        <f>(J46+K46+N46+O46)*$P$5</f>
        <v>15.741</v>
      </c>
      <c r="Q46" s="38">
        <f t="shared" ref="Q46:Q50" si="18">J46+K46+N46+O46+P46</f>
        <v>190.641</v>
      </c>
      <c r="R46" s="38">
        <f t="shared" si="16"/>
        <v>96403.34088</v>
      </c>
      <c r="S46" s="37"/>
      <c r="T46" s="41"/>
      <c r="U46" s="45"/>
      <c r="V46" s="45"/>
      <c r="W46" s="45"/>
      <c r="X46" s="45"/>
    </row>
    <row r="47" s="19" customFormat="1" ht="45" outlineLevel="1" spans="1:24">
      <c r="A47" s="28">
        <f>MAX($A$6:A46)+1</f>
        <v>42</v>
      </c>
      <c r="B47" s="28" t="s">
        <v>66</v>
      </c>
      <c r="C47" s="28" t="s">
        <v>88</v>
      </c>
      <c r="D47" s="28" t="s">
        <v>49</v>
      </c>
      <c r="E47" s="37">
        <f>SUM(F47:I47)</f>
        <v>1147.78</v>
      </c>
      <c r="F47" s="37">
        <f>472.43-F46</f>
        <v>327.95</v>
      </c>
      <c r="G47" s="37">
        <f>393.69-G46</f>
        <v>273.29</v>
      </c>
      <c r="H47" s="37">
        <f>393.67-120.4</f>
        <v>273.27</v>
      </c>
      <c r="I47" s="37">
        <f>393.67-120.4</f>
        <v>273.27</v>
      </c>
      <c r="J47" s="39">
        <v>15</v>
      </c>
      <c r="K47" s="38">
        <f t="shared" si="17"/>
        <v>21</v>
      </c>
      <c r="L47" s="39">
        <v>20</v>
      </c>
      <c r="M47" s="44">
        <v>0.05</v>
      </c>
      <c r="N47" s="38">
        <v>8</v>
      </c>
      <c r="O47" s="38">
        <f>(J47+K47+N47)*$O$5</f>
        <v>4.4</v>
      </c>
      <c r="P47" s="38">
        <f>(J47+K47+N47+O47)*$P$5</f>
        <v>4.356</v>
      </c>
      <c r="Q47" s="38">
        <f t="shared" si="18"/>
        <v>52.756</v>
      </c>
      <c r="R47" s="38">
        <f t="shared" si="16"/>
        <v>60552.28168</v>
      </c>
      <c r="S47" s="37"/>
      <c r="T47" s="41"/>
      <c r="U47" s="45"/>
      <c r="V47" s="45"/>
      <c r="W47" s="45"/>
      <c r="X47" s="45"/>
    </row>
    <row r="48" s="19" customFormat="1" outlineLevel="1" spans="1:24">
      <c r="A48" s="28">
        <f>MAX($A$6:A47)+1</f>
        <v>43</v>
      </c>
      <c r="B48" s="32" t="s">
        <v>15</v>
      </c>
      <c r="C48" s="28"/>
      <c r="D48" s="28"/>
      <c r="E48" s="37"/>
      <c r="F48" s="37"/>
      <c r="G48" s="37"/>
      <c r="H48" s="37"/>
      <c r="I48" s="37"/>
      <c r="J48" s="39"/>
      <c r="K48" s="38"/>
      <c r="L48" s="39"/>
      <c r="M48" s="66"/>
      <c r="N48" s="38"/>
      <c r="O48" s="38"/>
      <c r="P48" s="38"/>
      <c r="Q48" s="38">
        <f>SUM(R49:R50)</f>
        <v>62715.163775</v>
      </c>
      <c r="R48" s="38"/>
      <c r="S48" s="37"/>
      <c r="T48" s="41"/>
      <c r="U48" s="45"/>
      <c r="V48" s="45"/>
      <c r="W48" s="45"/>
      <c r="X48" s="45"/>
    </row>
    <row r="49" s="19" customFormat="1" ht="56.25" outlineLevel="1" spans="1:24">
      <c r="A49" s="28">
        <f>MAX($A$6:A48)+1</f>
        <v>44</v>
      </c>
      <c r="B49" s="28" t="s">
        <v>90</v>
      </c>
      <c r="C49" s="28" t="s">
        <v>91</v>
      </c>
      <c r="D49" s="28" t="s">
        <v>92</v>
      </c>
      <c r="E49" s="37">
        <f>SUM(F49:I49)</f>
        <v>8.5</v>
      </c>
      <c r="F49" s="37">
        <v>2.2</v>
      </c>
      <c r="G49" s="37">
        <v>1.9</v>
      </c>
      <c r="H49" s="37">
        <v>2.2</v>
      </c>
      <c r="I49" s="37">
        <v>2.2</v>
      </c>
      <c r="J49" s="39">
        <v>155</v>
      </c>
      <c r="K49" s="38">
        <f t="shared" si="17"/>
        <v>0</v>
      </c>
      <c r="L49" s="39">
        <v>0</v>
      </c>
      <c r="M49" s="44">
        <v>0</v>
      </c>
      <c r="N49" s="38">
        <v>31.85</v>
      </c>
      <c r="O49" s="38">
        <f>(J49+K49+N49)*$O$5</f>
        <v>18.685</v>
      </c>
      <c r="P49" s="38">
        <f>(J49+K49+N49+O49)*$P$5</f>
        <v>18.49815</v>
      </c>
      <c r="Q49" s="38">
        <f t="shared" si="18"/>
        <v>224.03315</v>
      </c>
      <c r="R49" s="38">
        <f>E49*Q49</f>
        <v>1904.281775</v>
      </c>
      <c r="S49" s="37"/>
      <c r="T49" s="41"/>
      <c r="U49" s="45"/>
      <c r="V49" s="45"/>
      <c r="W49" s="45"/>
      <c r="X49" s="45"/>
    </row>
    <row r="50" s="19" customFormat="1" ht="67.5" outlineLevel="1" spans="1:24">
      <c r="A50" s="28">
        <f>MAX($A$6:A49)+1</f>
        <v>45</v>
      </c>
      <c r="B50" s="28" t="s">
        <v>93</v>
      </c>
      <c r="C50" s="28" t="s">
        <v>94</v>
      </c>
      <c r="D50" s="28" t="s">
        <v>49</v>
      </c>
      <c r="E50" s="37">
        <f>SUM(F50:I50)</f>
        <v>47.4</v>
      </c>
      <c r="F50" s="37">
        <v>11.85</v>
      </c>
      <c r="G50" s="37">
        <v>11.85</v>
      </c>
      <c r="H50" s="37">
        <v>11.85</v>
      </c>
      <c r="I50" s="37">
        <v>11.85</v>
      </c>
      <c r="J50" s="39">
        <v>120</v>
      </c>
      <c r="K50" s="38">
        <f t="shared" si="17"/>
        <v>900</v>
      </c>
      <c r="L50" s="39">
        <v>900</v>
      </c>
      <c r="M50" s="44">
        <v>0</v>
      </c>
      <c r="N50" s="38">
        <v>50</v>
      </c>
      <c r="O50" s="38">
        <f>(J50+K50+N50)*$O$5</f>
        <v>107</v>
      </c>
      <c r="P50" s="38">
        <f>(J50+K50+N50+O50)*$P$5</f>
        <v>105.93</v>
      </c>
      <c r="Q50" s="38">
        <f t="shared" si="18"/>
        <v>1282.93</v>
      </c>
      <c r="R50" s="38">
        <f>E50*Q50</f>
        <v>60810.882</v>
      </c>
      <c r="S50" s="37"/>
      <c r="T50" s="41"/>
      <c r="U50" s="45"/>
      <c r="V50" s="45"/>
      <c r="W50" s="45"/>
      <c r="X50" s="45"/>
    </row>
    <row r="51" s="20" customFormat="1" spans="1:24">
      <c r="A51" s="51"/>
      <c r="B51" s="28"/>
      <c r="C51" s="28" t="s">
        <v>95</v>
      </c>
      <c r="D51" s="28"/>
      <c r="E51" s="37"/>
      <c r="F51" s="37"/>
      <c r="G51" s="37"/>
      <c r="H51" s="37"/>
      <c r="I51" s="37"/>
      <c r="J51" s="28"/>
      <c r="K51" s="28"/>
      <c r="L51" s="28"/>
      <c r="M51" s="28"/>
      <c r="N51" s="28"/>
      <c r="O51" s="28"/>
      <c r="P51" s="28"/>
      <c r="Q51" s="28"/>
      <c r="R51" s="37">
        <f>SUM(R8:R50)</f>
        <v>1245241.731085</v>
      </c>
      <c r="S51" s="28"/>
      <c r="T51" s="41"/>
      <c r="U51" s="45"/>
      <c r="V51" s="45"/>
      <c r="W51" s="45"/>
      <c r="X51" s="45"/>
    </row>
    <row r="52" s="20" customFormat="1" ht="24" spans="1:24">
      <c r="A52" s="33" t="s">
        <v>96</v>
      </c>
      <c r="B52" s="34" t="s">
        <v>97</v>
      </c>
      <c r="C52" s="34"/>
      <c r="D52" s="34"/>
      <c r="E52" s="40"/>
      <c r="F52" s="40"/>
      <c r="G52" s="40"/>
      <c r="H52" s="40"/>
      <c r="I52" s="40"/>
      <c r="J52" s="34"/>
      <c r="K52" s="34"/>
      <c r="L52" s="34"/>
      <c r="M52" s="34"/>
      <c r="N52" s="34"/>
      <c r="O52" s="34"/>
      <c r="P52" s="34"/>
      <c r="Q52" s="34"/>
      <c r="R52" s="34"/>
      <c r="S52" s="34"/>
      <c r="T52" s="41"/>
      <c r="U52" s="45"/>
      <c r="V52" s="45"/>
      <c r="W52" s="45"/>
      <c r="X52" s="45"/>
    </row>
  </sheetData>
  <autoFilter xmlns:etc="http://www.wps.cn/officeDocument/2017/etCustomData" ref="A5:X52" etc:filterBottomFollowUsedRange="0">
    <extLst/>
  </autoFilter>
  <mergeCells count="20">
    <mergeCell ref="A1:S1"/>
    <mergeCell ref="A2:J2"/>
    <mergeCell ref="K2:Q2"/>
    <mergeCell ref="R2:S2"/>
    <mergeCell ref="J3:P3"/>
    <mergeCell ref="B52:S52"/>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66875" header="0.5" footer="0.5"/>
  <pageSetup paperSize="9" scale="88"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view="pageBreakPreview" zoomScaleNormal="100" topLeftCell="A28" workbookViewId="0">
      <selection activeCell="Q49" sqref="Q49"/>
    </sheetView>
  </sheetViews>
  <sheetFormatPr defaultColWidth="9" defaultRowHeight="11.25"/>
  <cols>
    <col min="1" max="1" width="5.28571428571429" style="20" customWidth="1"/>
    <col min="2" max="2" width="12.8571428571429" style="20" customWidth="1"/>
    <col min="3" max="3" width="31.1333333333333" style="20" customWidth="1"/>
    <col min="4" max="4" width="6.42857142857143" style="20" customWidth="1"/>
    <col min="5" max="5" width="9.16190476190476" style="22" customWidth="1"/>
    <col min="6" max="9" width="9.16190476190476" style="22" hidden="1" customWidth="1" outlineLevel="1"/>
    <col min="10" max="10" width="7.28571428571429" style="22" customWidth="1" collapsed="1"/>
    <col min="11" max="11" width="11.0857142857143" style="22" customWidth="1"/>
    <col min="12" max="12" width="7.37142857142857" style="22" customWidth="1"/>
    <col min="13" max="13" width="5.85714285714286" style="22" customWidth="1"/>
    <col min="14" max="14" width="8.69523809523809" style="22" customWidth="1"/>
    <col min="15" max="15" width="8.57142857142857" style="22" customWidth="1"/>
    <col min="16" max="16" width="8.14285714285714" style="22" customWidth="1"/>
    <col min="17" max="17" width="10.1142857142857" style="22" customWidth="1"/>
    <col min="18" max="18" width="11.1714285714286" style="22" customWidth="1"/>
    <col min="19" max="19" width="8.57142857142857" style="20" customWidth="1"/>
    <col min="20" max="20" width="12.2857142857143" style="23" customWidth="1"/>
    <col min="21" max="22" width="11" style="20"/>
    <col min="23" max="16384" width="9" style="20"/>
  </cols>
  <sheetData>
    <row r="1" s="19" customFormat="1" ht="25.5" spans="1:24">
      <c r="A1" s="24" t="s">
        <v>105</v>
      </c>
      <c r="B1" s="24"/>
      <c r="C1" s="24"/>
      <c r="D1" s="24"/>
      <c r="E1" s="25"/>
      <c r="F1" s="25"/>
      <c r="G1" s="25"/>
      <c r="H1" s="25"/>
      <c r="I1" s="25"/>
      <c r="J1" s="25"/>
      <c r="K1" s="25"/>
      <c r="L1" s="25"/>
      <c r="M1" s="25"/>
      <c r="N1" s="25"/>
      <c r="O1" s="25"/>
      <c r="P1" s="25"/>
      <c r="Q1" s="25"/>
      <c r="R1" s="25"/>
      <c r="S1" s="24"/>
      <c r="T1" s="41"/>
      <c r="U1" s="45"/>
      <c r="V1" s="45"/>
      <c r="W1" s="45"/>
      <c r="X1" s="45"/>
    </row>
    <row r="2" s="19" customFormat="1" spans="1:24">
      <c r="A2" s="26" t="s">
        <v>106</v>
      </c>
      <c r="B2" s="26"/>
      <c r="C2" s="26"/>
      <c r="D2" s="26"/>
      <c r="E2" s="36"/>
      <c r="F2" s="36"/>
      <c r="G2" s="36"/>
      <c r="H2" s="36"/>
      <c r="I2" s="36"/>
      <c r="J2" s="36"/>
      <c r="K2" s="36"/>
      <c r="L2" s="36"/>
      <c r="M2" s="36"/>
      <c r="N2" s="36"/>
      <c r="O2" s="36"/>
      <c r="P2" s="36"/>
      <c r="Q2" s="36"/>
      <c r="R2" s="36"/>
      <c r="S2" s="26"/>
      <c r="T2" s="41"/>
      <c r="U2" s="45"/>
      <c r="V2" s="45"/>
      <c r="W2" s="45"/>
      <c r="X2" s="45"/>
    </row>
    <row r="3" s="19" customFormat="1" spans="1:24">
      <c r="A3" s="28" t="s">
        <v>24</v>
      </c>
      <c r="B3" s="28" t="s">
        <v>25</v>
      </c>
      <c r="C3" s="28" t="s">
        <v>26</v>
      </c>
      <c r="D3" s="28" t="s">
        <v>3</v>
      </c>
      <c r="E3" s="37" t="s">
        <v>27</v>
      </c>
      <c r="F3" s="30" t="s">
        <v>28</v>
      </c>
      <c r="G3" s="30" t="s">
        <v>29</v>
      </c>
      <c r="H3" s="30" t="s">
        <v>30</v>
      </c>
      <c r="I3" s="30" t="s">
        <v>31</v>
      </c>
      <c r="J3" s="37" t="s">
        <v>32</v>
      </c>
      <c r="K3" s="37"/>
      <c r="L3" s="37"/>
      <c r="M3" s="37"/>
      <c r="N3" s="37"/>
      <c r="O3" s="37"/>
      <c r="P3" s="37"/>
      <c r="Q3" s="37" t="s">
        <v>33</v>
      </c>
      <c r="R3" s="37" t="s">
        <v>34</v>
      </c>
      <c r="S3" s="28" t="s">
        <v>35</v>
      </c>
      <c r="T3" s="41"/>
      <c r="U3" s="45"/>
      <c r="V3" s="45"/>
      <c r="W3" s="45"/>
      <c r="X3" s="45"/>
    </row>
    <row r="4" s="19" customFormat="1" ht="45" spans="1:24">
      <c r="A4" s="28"/>
      <c r="B4" s="28"/>
      <c r="C4" s="28"/>
      <c r="D4" s="28"/>
      <c r="E4" s="37"/>
      <c r="F4" s="31"/>
      <c r="G4" s="31"/>
      <c r="H4" s="31"/>
      <c r="I4" s="31"/>
      <c r="J4" s="37" t="s">
        <v>36</v>
      </c>
      <c r="K4" s="37" t="s">
        <v>37</v>
      </c>
      <c r="L4" s="37" t="s">
        <v>38</v>
      </c>
      <c r="M4" s="37" t="s">
        <v>39</v>
      </c>
      <c r="N4" s="37" t="s">
        <v>40</v>
      </c>
      <c r="O4" s="37" t="s">
        <v>41</v>
      </c>
      <c r="P4" s="37" t="s">
        <v>42</v>
      </c>
      <c r="Q4" s="37"/>
      <c r="R4" s="37"/>
      <c r="S4" s="28"/>
      <c r="T4" s="41"/>
      <c r="U4" s="45"/>
      <c r="V4" s="45"/>
      <c r="W4" s="45"/>
      <c r="X4" s="45"/>
    </row>
    <row r="5" s="19" customFormat="1" spans="1:24">
      <c r="A5" s="28"/>
      <c r="B5" s="28"/>
      <c r="C5" s="28"/>
      <c r="D5" s="28"/>
      <c r="E5" s="37"/>
      <c r="F5" s="37"/>
      <c r="G5" s="37"/>
      <c r="H5" s="37"/>
      <c r="I5" s="37"/>
      <c r="J5" s="37"/>
      <c r="K5" s="37" t="s">
        <v>43</v>
      </c>
      <c r="L5" s="37" t="s">
        <v>44</v>
      </c>
      <c r="M5" s="37" t="s">
        <v>45</v>
      </c>
      <c r="N5" s="37"/>
      <c r="O5" s="42">
        <v>0.1</v>
      </c>
      <c r="P5" s="42">
        <v>0.09</v>
      </c>
      <c r="Q5" s="37"/>
      <c r="R5" s="37"/>
      <c r="S5" s="28"/>
      <c r="T5" s="41"/>
      <c r="U5" s="45"/>
      <c r="V5" s="45"/>
      <c r="W5" s="45"/>
      <c r="X5" s="45"/>
    </row>
    <row r="6" s="19" customFormat="1" ht="20" customHeight="1" spans="1:24">
      <c r="A6" s="51">
        <v>1</v>
      </c>
      <c r="B6" s="32" t="s">
        <v>10</v>
      </c>
      <c r="C6" s="28"/>
      <c r="D6" s="28"/>
      <c r="E6" s="37"/>
      <c r="F6" s="37"/>
      <c r="G6" s="37"/>
      <c r="H6" s="37"/>
      <c r="I6" s="37"/>
      <c r="J6" s="38"/>
      <c r="K6" s="38"/>
      <c r="L6" s="38"/>
      <c r="M6" s="43"/>
      <c r="N6" s="38"/>
      <c r="O6" s="38"/>
      <c r="P6" s="38"/>
      <c r="Q6" s="38">
        <f>SUM(R8:R10)</f>
        <v>20138.81166</v>
      </c>
      <c r="R6" s="38"/>
      <c r="S6" s="37"/>
      <c r="T6" s="41"/>
      <c r="U6" s="45"/>
      <c r="V6" s="45"/>
      <c r="W6" s="45"/>
      <c r="X6" s="45"/>
    </row>
    <row r="7" s="19" customFormat="1" ht="20" customHeight="1" outlineLevel="1" spans="1:24">
      <c r="A7" s="51">
        <v>2</v>
      </c>
      <c r="B7" s="32" t="s">
        <v>107</v>
      </c>
      <c r="C7" s="28"/>
      <c r="D7" s="28"/>
      <c r="E7" s="37"/>
      <c r="F7" s="37"/>
      <c r="G7" s="37"/>
      <c r="H7" s="37"/>
      <c r="I7" s="37"/>
      <c r="J7" s="38"/>
      <c r="K7" s="38"/>
      <c r="L7" s="38"/>
      <c r="M7" s="43"/>
      <c r="N7" s="38"/>
      <c r="O7" s="38"/>
      <c r="P7" s="38"/>
      <c r="Q7" s="38"/>
      <c r="R7" s="38"/>
      <c r="S7" s="37"/>
      <c r="T7" s="41"/>
      <c r="U7" s="45"/>
      <c r="V7" s="45"/>
      <c r="W7" s="45"/>
      <c r="X7" s="45"/>
    </row>
    <row r="8" s="19" customFormat="1" ht="94" customHeight="1" outlineLevel="1" spans="1:24">
      <c r="A8" s="51">
        <v>3</v>
      </c>
      <c r="B8" s="28" t="s">
        <v>47</v>
      </c>
      <c r="C8" s="28" t="s">
        <v>108</v>
      </c>
      <c r="D8" s="51" t="s">
        <v>49</v>
      </c>
      <c r="E8" s="29">
        <v>12.68</v>
      </c>
      <c r="F8" s="38">
        <v>0</v>
      </c>
      <c r="G8" s="38">
        <v>12.68</v>
      </c>
      <c r="H8" s="38">
        <v>0</v>
      </c>
      <c r="I8" s="38">
        <v>0</v>
      </c>
      <c r="J8" s="39">
        <v>45</v>
      </c>
      <c r="K8" s="38">
        <f>(1+M8)*L8</f>
        <v>44</v>
      </c>
      <c r="L8" s="39">
        <v>40</v>
      </c>
      <c r="M8" s="44">
        <v>0.1</v>
      </c>
      <c r="N8" s="38">
        <v>10</v>
      </c>
      <c r="O8" s="38">
        <f>(J8+K8+N8)*$O$5</f>
        <v>9.9</v>
      </c>
      <c r="P8" s="38">
        <f>(J8+K8+N8+O8)*$P$5</f>
        <v>9.801</v>
      </c>
      <c r="Q8" s="38">
        <f t="shared" ref="Q8:Q10" si="0">J8+K8+N8+O8+P8</f>
        <v>118.701</v>
      </c>
      <c r="R8" s="38">
        <f t="shared" ref="R8:R10" si="1">E8*Q8</f>
        <v>1505.12868</v>
      </c>
      <c r="S8" s="37"/>
      <c r="T8" s="41"/>
      <c r="U8" s="45"/>
      <c r="V8" s="45"/>
      <c r="W8" s="45"/>
      <c r="X8" s="45"/>
    </row>
    <row r="9" s="19" customFormat="1" ht="94" customHeight="1" outlineLevel="1" spans="1:24">
      <c r="A9" s="51">
        <v>4</v>
      </c>
      <c r="B9" s="28" t="s">
        <v>47</v>
      </c>
      <c r="C9" s="28" t="s">
        <v>109</v>
      </c>
      <c r="D9" s="51" t="s">
        <v>49</v>
      </c>
      <c r="E9" s="29">
        <v>62.8</v>
      </c>
      <c r="F9" s="38">
        <v>0</v>
      </c>
      <c r="G9" s="38">
        <v>62.8</v>
      </c>
      <c r="H9" s="38">
        <v>0</v>
      </c>
      <c r="I9" s="38">
        <v>0</v>
      </c>
      <c r="J9" s="38">
        <v>75</v>
      </c>
      <c r="K9" s="38">
        <f t="shared" ref="K8:K10" si="2">(1+M9)*L9</f>
        <v>115.5</v>
      </c>
      <c r="L9" s="38">
        <v>105</v>
      </c>
      <c r="M9" s="42">
        <v>0.1</v>
      </c>
      <c r="N9" s="38">
        <v>20</v>
      </c>
      <c r="O9" s="38">
        <f>(J9+K9+N9)*$O$5</f>
        <v>21.05</v>
      </c>
      <c r="P9" s="38">
        <f>(J9+K9+N9+O9)*$P$5</f>
        <v>20.8395</v>
      </c>
      <c r="Q9" s="38">
        <f t="shared" si="0"/>
        <v>252.3895</v>
      </c>
      <c r="R9" s="38">
        <f t="shared" si="1"/>
        <v>15850.0606</v>
      </c>
      <c r="S9" s="37"/>
      <c r="T9" s="41"/>
      <c r="U9" s="45"/>
      <c r="V9" s="45"/>
      <c r="W9" s="45"/>
      <c r="X9" s="45"/>
    </row>
    <row r="10" s="19" customFormat="1" ht="94" customHeight="1" outlineLevel="1" spans="1:24">
      <c r="A10" s="51">
        <v>5</v>
      </c>
      <c r="B10" s="28" t="s">
        <v>110</v>
      </c>
      <c r="C10" s="28" t="s">
        <v>111</v>
      </c>
      <c r="D10" s="51" t="s">
        <v>65</v>
      </c>
      <c r="E10" s="29">
        <v>14.42</v>
      </c>
      <c r="F10" s="38">
        <v>0</v>
      </c>
      <c r="G10" s="38">
        <v>14.42</v>
      </c>
      <c r="H10" s="38">
        <v>0</v>
      </c>
      <c r="I10" s="38">
        <v>0</v>
      </c>
      <c r="J10" s="38">
        <v>20</v>
      </c>
      <c r="K10" s="38">
        <f t="shared" si="2"/>
        <v>126</v>
      </c>
      <c r="L10" s="38">
        <v>120</v>
      </c>
      <c r="M10" s="42">
        <v>0.05</v>
      </c>
      <c r="N10" s="38">
        <v>15</v>
      </c>
      <c r="O10" s="38">
        <f>(J10+K10+N10)*$O$5</f>
        <v>16.1</v>
      </c>
      <c r="P10" s="38">
        <f>(J10+K10+N10+O10)*$P$5</f>
        <v>15.939</v>
      </c>
      <c r="Q10" s="38">
        <f t="shared" si="0"/>
        <v>193.039</v>
      </c>
      <c r="R10" s="38">
        <f t="shared" si="1"/>
        <v>2783.62238</v>
      </c>
      <c r="S10" s="37"/>
      <c r="T10" s="41"/>
      <c r="U10" s="45"/>
      <c r="V10" s="45"/>
      <c r="W10" s="45"/>
      <c r="X10" s="45"/>
    </row>
    <row r="11" s="19" customFormat="1" ht="31" customHeight="1" spans="1:24">
      <c r="A11" s="51">
        <v>6</v>
      </c>
      <c r="B11" s="32" t="s">
        <v>12</v>
      </c>
      <c r="C11" s="28"/>
      <c r="D11" s="28"/>
      <c r="E11" s="37"/>
      <c r="F11" s="37"/>
      <c r="G11" s="37"/>
      <c r="H11" s="37"/>
      <c r="I11" s="37"/>
      <c r="J11" s="38"/>
      <c r="K11" s="38"/>
      <c r="L11" s="38"/>
      <c r="M11" s="42"/>
      <c r="N11" s="38"/>
      <c r="O11" s="38"/>
      <c r="P11" s="38"/>
      <c r="Q11" s="38">
        <f>SUM(R13:R21)</f>
        <v>53262.547525</v>
      </c>
      <c r="R11" s="38"/>
      <c r="S11" s="37"/>
      <c r="T11" s="41"/>
      <c r="U11" s="45"/>
      <c r="V11" s="45"/>
      <c r="W11" s="45"/>
      <c r="X11" s="45"/>
    </row>
    <row r="12" s="19" customFormat="1" ht="31" customHeight="1" outlineLevel="1" spans="1:24">
      <c r="A12" s="51">
        <v>7</v>
      </c>
      <c r="B12" s="32" t="s">
        <v>107</v>
      </c>
      <c r="C12" s="28"/>
      <c r="D12" s="28"/>
      <c r="E12" s="37"/>
      <c r="F12" s="37"/>
      <c r="G12" s="37"/>
      <c r="H12" s="37"/>
      <c r="I12" s="37"/>
      <c r="J12" s="38"/>
      <c r="K12" s="38"/>
      <c r="L12" s="38"/>
      <c r="M12" s="42"/>
      <c r="N12" s="38"/>
      <c r="O12" s="38"/>
      <c r="P12" s="38"/>
      <c r="Q12" s="38"/>
      <c r="R12" s="38"/>
      <c r="S12" s="37"/>
      <c r="T12" s="41"/>
      <c r="U12" s="45"/>
      <c r="V12" s="45"/>
      <c r="W12" s="45"/>
      <c r="X12" s="45"/>
    </row>
    <row r="13" s="19" customFormat="1" ht="124" customHeight="1" outlineLevel="1" spans="1:24">
      <c r="A13" s="51">
        <v>8</v>
      </c>
      <c r="B13" s="28" t="s">
        <v>58</v>
      </c>
      <c r="C13" s="28" t="s">
        <v>112</v>
      </c>
      <c r="D13" s="51" t="s">
        <v>49</v>
      </c>
      <c r="E13" s="29">
        <f t="shared" ref="E13:E21" si="3">SUM(F13:I13)</f>
        <v>75.79</v>
      </c>
      <c r="F13" s="38">
        <v>0</v>
      </c>
      <c r="G13" s="38">
        <v>75.79</v>
      </c>
      <c r="H13" s="38">
        <v>0</v>
      </c>
      <c r="I13" s="38">
        <v>0</v>
      </c>
      <c r="J13" s="39">
        <v>55</v>
      </c>
      <c r="K13" s="38">
        <f t="shared" ref="K13:K15" si="4">(1+M13)*L13</f>
        <v>44</v>
      </c>
      <c r="L13" s="39">
        <v>40</v>
      </c>
      <c r="M13" s="44">
        <v>0.1</v>
      </c>
      <c r="N13" s="38">
        <v>15</v>
      </c>
      <c r="O13" s="38">
        <f>(J13+K13+N13)*$O$5</f>
        <v>11.4</v>
      </c>
      <c r="P13" s="38">
        <f>(J13+K13+N13+O13)*$P$5</f>
        <v>11.286</v>
      </c>
      <c r="Q13" s="38">
        <f t="shared" ref="Q13:Q21" si="5">J13+K13+N13+O13+P13</f>
        <v>136.686</v>
      </c>
      <c r="R13" s="38">
        <f t="shared" ref="R13:R21" si="6">E13*Q13</f>
        <v>10359.43194</v>
      </c>
      <c r="S13" s="37"/>
      <c r="T13" s="41"/>
      <c r="U13" s="45"/>
      <c r="V13" s="45"/>
      <c r="W13" s="45"/>
      <c r="X13" s="45"/>
    </row>
    <row r="14" s="19" customFormat="1" ht="58" customHeight="1" outlineLevel="1" spans="1:24">
      <c r="A14" s="51">
        <v>9</v>
      </c>
      <c r="B14" s="28" t="s">
        <v>66</v>
      </c>
      <c r="C14" s="28" t="s">
        <v>104</v>
      </c>
      <c r="D14" s="51" t="s">
        <v>49</v>
      </c>
      <c r="E14" s="29">
        <f t="shared" si="3"/>
        <v>112.94</v>
      </c>
      <c r="F14" s="38">
        <v>0</v>
      </c>
      <c r="G14" s="38">
        <v>112.94</v>
      </c>
      <c r="H14" s="38">
        <v>0</v>
      </c>
      <c r="I14" s="38">
        <v>0</v>
      </c>
      <c r="J14" s="39">
        <v>15</v>
      </c>
      <c r="K14" s="38">
        <f t="shared" si="4"/>
        <v>21</v>
      </c>
      <c r="L14" s="39">
        <v>20</v>
      </c>
      <c r="M14" s="44">
        <v>0.05</v>
      </c>
      <c r="N14" s="38">
        <v>8</v>
      </c>
      <c r="O14" s="38">
        <f>(J14+K14+N14)*$O$5</f>
        <v>4.4</v>
      </c>
      <c r="P14" s="38">
        <f>(J14+K14+N14+O14)*$P$5</f>
        <v>4.356</v>
      </c>
      <c r="Q14" s="38">
        <f t="shared" si="5"/>
        <v>52.756</v>
      </c>
      <c r="R14" s="38">
        <f t="shared" si="6"/>
        <v>5958.26264</v>
      </c>
      <c r="S14" s="37"/>
      <c r="T14" s="41"/>
      <c r="U14" s="45"/>
      <c r="V14" s="45"/>
      <c r="W14" s="45"/>
      <c r="X14" s="45"/>
    </row>
    <row r="15" s="19" customFormat="1" ht="58" customHeight="1" outlineLevel="1" spans="1:24">
      <c r="A15" s="51">
        <v>10</v>
      </c>
      <c r="B15" s="28" t="s">
        <v>74</v>
      </c>
      <c r="C15" s="28" t="s">
        <v>113</v>
      </c>
      <c r="D15" s="51" t="s">
        <v>65</v>
      </c>
      <c r="E15" s="29">
        <f t="shared" si="3"/>
        <v>10.8</v>
      </c>
      <c r="F15" s="38">
        <v>0</v>
      </c>
      <c r="G15" s="38">
        <v>10.8</v>
      </c>
      <c r="H15" s="38">
        <v>0</v>
      </c>
      <c r="I15" s="38">
        <v>0</v>
      </c>
      <c r="J15" s="39">
        <v>20</v>
      </c>
      <c r="K15" s="38">
        <f t="shared" si="4"/>
        <v>73.5</v>
      </c>
      <c r="L15" s="39">
        <v>70</v>
      </c>
      <c r="M15" s="44">
        <v>0.05</v>
      </c>
      <c r="N15" s="38">
        <v>10</v>
      </c>
      <c r="O15" s="38">
        <f>(J15+K15+N15)*$O$5</f>
        <v>10.35</v>
      </c>
      <c r="P15" s="38">
        <f>(J15+K15+N15+O15)*$P$5</f>
        <v>10.2465</v>
      </c>
      <c r="Q15" s="38">
        <f t="shared" si="5"/>
        <v>124.0965</v>
      </c>
      <c r="R15" s="38">
        <f t="shared" si="6"/>
        <v>1340.2422</v>
      </c>
      <c r="S15" s="37"/>
      <c r="T15" s="41"/>
      <c r="U15" s="45"/>
      <c r="V15" s="45"/>
      <c r="W15" s="45"/>
      <c r="X15" s="45"/>
    </row>
    <row r="16" s="19" customFormat="1" ht="58" customHeight="1" outlineLevel="1" spans="1:24">
      <c r="A16" s="51">
        <v>11</v>
      </c>
      <c r="B16" s="28" t="s">
        <v>60</v>
      </c>
      <c r="C16" s="28" t="s">
        <v>114</v>
      </c>
      <c r="D16" s="51" t="s">
        <v>49</v>
      </c>
      <c r="E16" s="29">
        <f t="shared" si="3"/>
        <v>7.02</v>
      </c>
      <c r="F16" s="38">
        <v>0</v>
      </c>
      <c r="G16" s="38">
        <v>7.02</v>
      </c>
      <c r="H16" s="38">
        <v>0</v>
      </c>
      <c r="I16" s="38">
        <v>0</v>
      </c>
      <c r="J16" s="38">
        <v>105</v>
      </c>
      <c r="K16" s="38">
        <f t="shared" ref="K13:K21" si="7">(1+M16)*L16</f>
        <v>320.25</v>
      </c>
      <c r="L16" s="38">
        <v>305</v>
      </c>
      <c r="M16" s="42">
        <v>0.05</v>
      </c>
      <c r="N16" s="38">
        <v>10</v>
      </c>
      <c r="O16" s="38">
        <f>(J16+K16+N16)*$O$5</f>
        <v>43.525</v>
      </c>
      <c r="P16" s="38">
        <f>(J16+K16+N16+O16)*$P$5</f>
        <v>43.08975</v>
      </c>
      <c r="Q16" s="38">
        <f t="shared" si="5"/>
        <v>521.86475</v>
      </c>
      <c r="R16" s="38">
        <f t="shared" si="6"/>
        <v>3663.490545</v>
      </c>
      <c r="S16" s="37"/>
      <c r="T16" s="41"/>
      <c r="U16" s="45"/>
      <c r="V16" s="45"/>
      <c r="W16" s="45"/>
      <c r="X16" s="45"/>
    </row>
    <row r="17" s="19" customFormat="1" ht="58" customHeight="1" outlineLevel="1" spans="1:24">
      <c r="A17" s="51">
        <v>12</v>
      </c>
      <c r="B17" s="28" t="s">
        <v>115</v>
      </c>
      <c r="C17" s="28" t="s">
        <v>116</v>
      </c>
      <c r="D17" s="51" t="s">
        <v>117</v>
      </c>
      <c r="E17" s="29">
        <f t="shared" si="3"/>
        <v>2</v>
      </c>
      <c r="F17" s="38">
        <v>0</v>
      </c>
      <c r="G17" s="38">
        <v>2</v>
      </c>
      <c r="H17" s="38">
        <v>0</v>
      </c>
      <c r="I17" s="38">
        <v>0</v>
      </c>
      <c r="J17" s="38">
        <v>60</v>
      </c>
      <c r="K17" s="38">
        <f t="shared" si="7"/>
        <v>252</v>
      </c>
      <c r="L17" s="38">
        <v>240</v>
      </c>
      <c r="M17" s="42">
        <v>0.05</v>
      </c>
      <c r="N17" s="38">
        <v>20</v>
      </c>
      <c r="O17" s="38">
        <f>(J17+K17+N17)*$O$5</f>
        <v>33.2</v>
      </c>
      <c r="P17" s="38">
        <f>(J17+K17+N17+O17)*$P$5</f>
        <v>32.868</v>
      </c>
      <c r="Q17" s="38">
        <f t="shared" si="5"/>
        <v>398.068</v>
      </c>
      <c r="R17" s="38">
        <f t="shared" si="6"/>
        <v>796.136</v>
      </c>
      <c r="S17" s="37"/>
      <c r="T17" s="41"/>
      <c r="U17" s="45"/>
      <c r="V17" s="45"/>
      <c r="W17" s="45"/>
      <c r="X17" s="45"/>
    </row>
    <row r="18" s="19" customFormat="1" ht="58" customHeight="1" outlineLevel="1" spans="1:24">
      <c r="A18" s="51">
        <v>13</v>
      </c>
      <c r="B18" s="28" t="s">
        <v>118</v>
      </c>
      <c r="C18" s="28" t="s">
        <v>119</v>
      </c>
      <c r="D18" s="51" t="s">
        <v>49</v>
      </c>
      <c r="E18" s="29">
        <f t="shared" si="3"/>
        <v>14.4</v>
      </c>
      <c r="F18" s="38">
        <v>0</v>
      </c>
      <c r="G18" s="38">
        <v>14.4</v>
      </c>
      <c r="H18" s="38">
        <v>0</v>
      </c>
      <c r="I18" s="38">
        <v>0</v>
      </c>
      <c r="J18" s="38">
        <v>45</v>
      </c>
      <c r="K18" s="38">
        <f t="shared" si="7"/>
        <v>157.5</v>
      </c>
      <c r="L18" s="38">
        <v>150</v>
      </c>
      <c r="M18" s="42">
        <v>0.05</v>
      </c>
      <c r="N18" s="38">
        <v>20</v>
      </c>
      <c r="O18" s="38">
        <f>(J18+K18+N18)*$O$5</f>
        <v>22.25</v>
      </c>
      <c r="P18" s="38">
        <f>(J18+K18+N18+O18)*$P$5</f>
        <v>22.0275</v>
      </c>
      <c r="Q18" s="38">
        <f t="shared" si="5"/>
        <v>266.7775</v>
      </c>
      <c r="R18" s="38">
        <f t="shared" si="6"/>
        <v>3841.596</v>
      </c>
      <c r="S18" s="37"/>
      <c r="T18" s="41"/>
      <c r="U18" s="45"/>
      <c r="V18" s="45"/>
      <c r="W18" s="45"/>
      <c r="X18" s="45"/>
    </row>
    <row r="19" s="19" customFormat="1" ht="58" customHeight="1" outlineLevel="1" spans="1:24">
      <c r="A19" s="51">
        <v>14</v>
      </c>
      <c r="B19" s="28" t="s">
        <v>120</v>
      </c>
      <c r="C19" s="28" t="s">
        <v>121</v>
      </c>
      <c r="D19" s="51" t="s">
        <v>49</v>
      </c>
      <c r="E19" s="29">
        <f t="shared" si="3"/>
        <v>29.67</v>
      </c>
      <c r="F19" s="38">
        <v>0</v>
      </c>
      <c r="G19" s="38">
        <v>29.67</v>
      </c>
      <c r="H19" s="38">
        <v>0</v>
      </c>
      <c r="I19" s="38">
        <v>0</v>
      </c>
      <c r="J19" s="38">
        <v>50</v>
      </c>
      <c r="K19" s="38">
        <f t="shared" si="7"/>
        <v>150</v>
      </c>
      <c r="L19" s="38">
        <v>150</v>
      </c>
      <c r="M19" s="42">
        <v>0</v>
      </c>
      <c r="N19" s="38">
        <v>30</v>
      </c>
      <c r="O19" s="38">
        <f>(J19+K19+N19)*$O$5</f>
        <v>23</v>
      </c>
      <c r="P19" s="38">
        <f>(J19+K19+N19+O19)*$P$5</f>
        <v>22.77</v>
      </c>
      <c r="Q19" s="38">
        <f t="shared" si="5"/>
        <v>275.77</v>
      </c>
      <c r="R19" s="38">
        <f t="shared" si="6"/>
        <v>8182.0959</v>
      </c>
      <c r="S19" s="37"/>
      <c r="T19" s="41"/>
      <c r="U19" s="45"/>
      <c r="V19" s="45"/>
      <c r="W19" s="45"/>
      <c r="X19" s="45"/>
    </row>
    <row r="20" s="19" customFormat="1" ht="58" customHeight="1" outlineLevel="1" spans="1:24">
      <c r="A20" s="51">
        <v>15</v>
      </c>
      <c r="B20" s="28" t="s">
        <v>122</v>
      </c>
      <c r="C20" s="28" t="s">
        <v>123</v>
      </c>
      <c r="D20" s="51" t="s">
        <v>49</v>
      </c>
      <c r="E20" s="29">
        <f t="shared" si="3"/>
        <v>1.66</v>
      </c>
      <c r="F20" s="38">
        <v>0</v>
      </c>
      <c r="G20" s="38">
        <v>1.66</v>
      </c>
      <c r="H20" s="38">
        <v>0</v>
      </c>
      <c r="I20" s="38">
        <v>0</v>
      </c>
      <c r="J20" s="38">
        <v>150</v>
      </c>
      <c r="K20" s="38">
        <f t="shared" si="7"/>
        <v>350</v>
      </c>
      <c r="L20" s="38">
        <v>350</v>
      </c>
      <c r="M20" s="42">
        <v>0</v>
      </c>
      <c r="N20" s="38">
        <v>95</v>
      </c>
      <c r="O20" s="38">
        <f>(J20+K20+N20)*$O$5</f>
        <v>59.5</v>
      </c>
      <c r="P20" s="38">
        <f>(J20+K20+N20+O20)*$P$5</f>
        <v>58.905</v>
      </c>
      <c r="Q20" s="38">
        <f t="shared" si="5"/>
        <v>713.405</v>
      </c>
      <c r="R20" s="38">
        <f t="shared" si="6"/>
        <v>1184.2523</v>
      </c>
      <c r="S20" s="37"/>
      <c r="T20" s="41"/>
      <c r="U20" s="45"/>
      <c r="V20" s="45"/>
      <c r="W20" s="45"/>
      <c r="X20" s="45"/>
    </row>
    <row r="21" s="19" customFormat="1" ht="131" customHeight="1" outlineLevel="1" spans="1:24">
      <c r="A21" s="51">
        <v>16</v>
      </c>
      <c r="B21" s="28" t="s">
        <v>124</v>
      </c>
      <c r="C21" s="28" t="s">
        <v>125</v>
      </c>
      <c r="D21" s="51" t="s">
        <v>65</v>
      </c>
      <c r="E21" s="29">
        <f t="shared" si="3"/>
        <v>2.2</v>
      </c>
      <c r="F21" s="38">
        <v>0</v>
      </c>
      <c r="G21" s="38">
        <v>2.2</v>
      </c>
      <c r="H21" s="38">
        <v>0</v>
      </c>
      <c r="I21" s="38">
        <v>0</v>
      </c>
      <c r="J21" s="38">
        <v>200</v>
      </c>
      <c r="K21" s="38">
        <f t="shared" si="7"/>
        <v>6500</v>
      </c>
      <c r="L21" s="38">
        <v>6500</v>
      </c>
      <c r="M21" s="42">
        <v>0</v>
      </c>
      <c r="N21" s="38">
        <v>100</v>
      </c>
      <c r="O21" s="38">
        <f>(J21+K21+N21)*$O$5</f>
        <v>680</v>
      </c>
      <c r="P21" s="38">
        <f>(J21+K21+N21+O21)*$P$5</f>
        <v>673.2</v>
      </c>
      <c r="Q21" s="38">
        <f t="shared" si="5"/>
        <v>8153.2</v>
      </c>
      <c r="R21" s="38">
        <f t="shared" si="6"/>
        <v>17937.04</v>
      </c>
      <c r="S21" s="37"/>
      <c r="T21" s="41"/>
      <c r="U21" s="45"/>
      <c r="V21" s="45"/>
      <c r="W21" s="45"/>
      <c r="X21" s="45"/>
    </row>
    <row r="22" s="19" customFormat="1" spans="1:24">
      <c r="A22" s="51">
        <v>17</v>
      </c>
      <c r="B22" s="32" t="s">
        <v>13</v>
      </c>
      <c r="C22" s="28"/>
      <c r="D22" s="28"/>
      <c r="E22" s="37"/>
      <c r="F22" s="37"/>
      <c r="G22" s="37"/>
      <c r="H22" s="37"/>
      <c r="I22" s="37"/>
      <c r="J22" s="38"/>
      <c r="K22" s="38"/>
      <c r="L22" s="38"/>
      <c r="M22" s="42"/>
      <c r="N22" s="38"/>
      <c r="O22" s="38"/>
      <c r="P22" s="38"/>
      <c r="Q22" s="38">
        <f>SUM(R24:R26)</f>
        <v>17724.0538365</v>
      </c>
      <c r="R22" s="38"/>
      <c r="S22" s="37"/>
      <c r="T22" s="41"/>
      <c r="U22" s="45"/>
      <c r="V22" s="45"/>
      <c r="W22" s="45"/>
      <c r="X22" s="45"/>
    </row>
    <row r="23" s="19" customFormat="1" outlineLevel="1" spans="1:24">
      <c r="A23" s="51">
        <v>18</v>
      </c>
      <c r="B23" s="32" t="s">
        <v>107</v>
      </c>
      <c r="C23" s="28"/>
      <c r="D23" s="28"/>
      <c r="E23" s="37"/>
      <c r="F23" s="37"/>
      <c r="G23" s="37"/>
      <c r="H23" s="37"/>
      <c r="I23" s="37"/>
      <c r="J23" s="38"/>
      <c r="K23" s="38"/>
      <c r="L23" s="38"/>
      <c r="M23" s="42"/>
      <c r="N23" s="38"/>
      <c r="O23" s="38"/>
      <c r="P23" s="38"/>
      <c r="Q23" s="38"/>
      <c r="R23" s="38"/>
      <c r="S23" s="37"/>
      <c r="T23" s="41"/>
      <c r="U23" s="45"/>
      <c r="V23" s="45"/>
      <c r="W23" s="45"/>
      <c r="X23" s="45"/>
    </row>
    <row r="24" s="19" customFormat="1" ht="102" customHeight="1" outlineLevel="1" spans="1:24">
      <c r="A24" s="51">
        <v>19</v>
      </c>
      <c r="B24" s="28" t="s">
        <v>83</v>
      </c>
      <c r="C24" s="28" t="s">
        <v>126</v>
      </c>
      <c r="D24" s="51" t="s">
        <v>49</v>
      </c>
      <c r="E24" s="29">
        <f t="shared" ref="E24:E26" si="8">SUM(F24:I24)</f>
        <v>4.76</v>
      </c>
      <c r="F24" s="38">
        <v>0</v>
      </c>
      <c r="G24" s="38">
        <v>4.76</v>
      </c>
      <c r="H24" s="38">
        <v>0</v>
      </c>
      <c r="I24" s="38">
        <v>0</v>
      </c>
      <c r="J24" s="39">
        <v>55</v>
      </c>
      <c r="K24" s="38">
        <f>(1+M24)*L24</f>
        <v>84</v>
      </c>
      <c r="L24" s="39">
        <v>80</v>
      </c>
      <c r="M24" s="44">
        <v>0.05</v>
      </c>
      <c r="N24" s="38">
        <v>20</v>
      </c>
      <c r="O24" s="38">
        <f>(J24+K24+N24)*$O$5</f>
        <v>15.9</v>
      </c>
      <c r="P24" s="38">
        <f>(J24+K24+N24+O24)*$P$5</f>
        <v>15.741</v>
      </c>
      <c r="Q24" s="38">
        <f t="shared" ref="Q24:Q26" si="9">J24+K24+N24+O24+P24</f>
        <v>190.641</v>
      </c>
      <c r="R24" s="38">
        <f t="shared" ref="R24:R26" si="10">E24*Q24</f>
        <v>907.45116</v>
      </c>
      <c r="S24" s="37"/>
      <c r="T24" s="41"/>
      <c r="U24" s="45"/>
      <c r="V24" s="45"/>
      <c r="W24" s="45"/>
      <c r="X24" s="45"/>
    </row>
    <row r="25" s="19" customFormat="1" ht="102" customHeight="1" outlineLevel="1" spans="1:24">
      <c r="A25" s="51">
        <v>20</v>
      </c>
      <c r="B25" s="28" t="s">
        <v>85</v>
      </c>
      <c r="C25" s="28" t="s">
        <v>127</v>
      </c>
      <c r="D25" s="51" t="s">
        <v>49</v>
      </c>
      <c r="E25" s="29">
        <f t="shared" si="8"/>
        <v>7.56</v>
      </c>
      <c r="F25" s="38">
        <v>0</v>
      </c>
      <c r="G25" s="38">
        <v>7.56</v>
      </c>
      <c r="H25" s="38">
        <v>0</v>
      </c>
      <c r="I25" s="38">
        <v>0</v>
      </c>
      <c r="J25" s="38">
        <v>135</v>
      </c>
      <c r="K25" s="38">
        <f t="shared" ref="K24:K26" si="11">(1+M25)*L25</f>
        <v>420</v>
      </c>
      <c r="L25" s="38">
        <v>400</v>
      </c>
      <c r="M25" s="42">
        <v>0.05</v>
      </c>
      <c r="N25" s="38">
        <v>45</v>
      </c>
      <c r="O25" s="38">
        <f>(J25+K25+N25)*$O$5</f>
        <v>60</v>
      </c>
      <c r="P25" s="38">
        <f>(J25+K25+N25+O25)*$P$5</f>
        <v>59.4</v>
      </c>
      <c r="Q25" s="38">
        <f t="shared" si="9"/>
        <v>719.4</v>
      </c>
      <c r="R25" s="38">
        <f t="shared" si="10"/>
        <v>5438.664</v>
      </c>
      <c r="S25" s="37"/>
      <c r="T25" s="41"/>
      <c r="U25" s="45"/>
      <c r="V25" s="45"/>
      <c r="W25" s="45"/>
      <c r="X25" s="45"/>
    </row>
    <row r="26" s="19" customFormat="1" ht="102" customHeight="1" outlineLevel="1" spans="1:24">
      <c r="A26" s="51">
        <v>21</v>
      </c>
      <c r="B26" s="28" t="s">
        <v>83</v>
      </c>
      <c r="C26" s="28" t="s">
        <v>128</v>
      </c>
      <c r="D26" s="51" t="s">
        <v>49</v>
      </c>
      <c r="E26" s="29">
        <f t="shared" si="8"/>
        <v>61.821</v>
      </c>
      <c r="F26" s="38">
        <v>0</v>
      </c>
      <c r="G26" s="38">
        <v>61.821</v>
      </c>
      <c r="H26" s="38">
        <v>0</v>
      </c>
      <c r="I26" s="38">
        <v>0</v>
      </c>
      <c r="J26" s="39">
        <v>50</v>
      </c>
      <c r="K26" s="38">
        <f t="shared" si="11"/>
        <v>73.5</v>
      </c>
      <c r="L26" s="39">
        <v>70</v>
      </c>
      <c r="M26" s="44">
        <v>0.05</v>
      </c>
      <c r="N26" s="38">
        <v>30</v>
      </c>
      <c r="O26" s="38">
        <f>(J26+K26+N26)*$O$5</f>
        <v>15.35</v>
      </c>
      <c r="P26" s="38">
        <f>(J26+K26+N26+O26)*$P$5</f>
        <v>15.1965</v>
      </c>
      <c r="Q26" s="38">
        <f t="shared" si="9"/>
        <v>184.0465</v>
      </c>
      <c r="R26" s="38">
        <f t="shared" si="10"/>
        <v>11377.9386765</v>
      </c>
      <c r="S26" s="37"/>
      <c r="T26" s="41"/>
      <c r="U26" s="45"/>
      <c r="V26" s="45"/>
      <c r="W26" s="45"/>
      <c r="X26" s="45"/>
    </row>
    <row r="27" s="19" customFormat="1" outlineLevel="1" spans="1:24">
      <c r="A27" s="51">
        <v>22</v>
      </c>
      <c r="B27" s="32" t="s">
        <v>15</v>
      </c>
      <c r="C27" s="28"/>
      <c r="D27" s="28"/>
      <c r="E27" s="38"/>
      <c r="F27" s="38"/>
      <c r="G27" s="38"/>
      <c r="H27" s="38"/>
      <c r="I27" s="38"/>
      <c r="J27" s="38"/>
      <c r="K27" s="38"/>
      <c r="L27" s="38"/>
      <c r="M27" s="42"/>
      <c r="N27" s="38"/>
      <c r="O27" s="38"/>
      <c r="P27" s="38"/>
      <c r="Q27" s="38">
        <f>SUM(R28:R30)</f>
        <v>5650.94695</v>
      </c>
      <c r="R27" s="38"/>
      <c r="S27" s="37"/>
      <c r="T27" s="41"/>
      <c r="U27" s="45"/>
      <c r="V27" s="45"/>
      <c r="W27" s="45"/>
      <c r="X27" s="45"/>
    </row>
    <row r="28" s="19" customFormat="1" ht="56.25" outlineLevel="1" spans="1:24">
      <c r="A28" s="51">
        <v>23</v>
      </c>
      <c r="B28" s="28" t="s">
        <v>90</v>
      </c>
      <c r="C28" s="28" t="s">
        <v>91</v>
      </c>
      <c r="D28" s="51" t="s">
        <v>92</v>
      </c>
      <c r="E28" s="29">
        <f t="shared" ref="E28:E30" si="12">SUM(F28:I28)</f>
        <v>2.59</v>
      </c>
      <c r="F28" s="38">
        <v>0</v>
      </c>
      <c r="G28" s="38">
        <v>2.59</v>
      </c>
      <c r="H28" s="38">
        <v>0</v>
      </c>
      <c r="I28" s="38">
        <v>0</v>
      </c>
      <c r="J28" s="39">
        <v>120</v>
      </c>
      <c r="K28" s="38">
        <f>(1+M28)*L28</f>
        <v>0</v>
      </c>
      <c r="L28" s="39">
        <v>0</v>
      </c>
      <c r="M28" s="44">
        <v>0</v>
      </c>
      <c r="N28" s="38">
        <v>20</v>
      </c>
      <c r="O28" s="38">
        <f>(J28+K28+N28)*$O$5</f>
        <v>14</v>
      </c>
      <c r="P28" s="38">
        <f>(J28+K28+N28+O28)*$P$5</f>
        <v>13.86</v>
      </c>
      <c r="Q28" s="38">
        <f t="shared" ref="Q28:Q30" si="13">J28+K28+N28+O28+P28</f>
        <v>167.86</v>
      </c>
      <c r="R28" s="38">
        <f t="shared" ref="R28:R30" si="14">E28*Q28</f>
        <v>434.7574</v>
      </c>
      <c r="S28" s="37"/>
      <c r="T28" s="41"/>
      <c r="U28" s="45"/>
      <c r="V28" s="45"/>
      <c r="W28" s="45"/>
      <c r="X28" s="45"/>
    </row>
    <row r="29" s="19" customFormat="1" ht="56.25" outlineLevel="1" spans="1:24">
      <c r="A29" s="51">
        <v>24</v>
      </c>
      <c r="B29" s="28" t="s">
        <v>129</v>
      </c>
      <c r="C29" s="28" t="s">
        <v>130</v>
      </c>
      <c r="D29" s="51" t="s">
        <v>92</v>
      </c>
      <c r="E29" s="29">
        <f t="shared" si="12"/>
        <v>2.34</v>
      </c>
      <c r="F29" s="38">
        <v>0</v>
      </c>
      <c r="G29" s="38">
        <v>2.34</v>
      </c>
      <c r="H29" s="38">
        <v>0</v>
      </c>
      <c r="I29" s="38">
        <v>0</v>
      </c>
      <c r="J29" s="38">
        <v>360</v>
      </c>
      <c r="K29" s="38">
        <f t="shared" ref="K28:K30" si="15">(1+M29)*L29</f>
        <v>367.5</v>
      </c>
      <c r="L29" s="38">
        <v>350</v>
      </c>
      <c r="M29" s="42">
        <v>0.05</v>
      </c>
      <c r="N29" s="38">
        <v>20</v>
      </c>
      <c r="O29" s="38">
        <f>(J29+K29+N29)*$O$5</f>
        <v>74.75</v>
      </c>
      <c r="P29" s="38">
        <f>(J29+K29+N29+O29)*$P$5</f>
        <v>74.0025</v>
      </c>
      <c r="Q29" s="38">
        <f t="shared" si="13"/>
        <v>896.2525</v>
      </c>
      <c r="R29" s="38">
        <f t="shared" si="14"/>
        <v>2097.23085</v>
      </c>
      <c r="S29" s="37"/>
      <c r="T29" s="41"/>
      <c r="U29" s="45"/>
      <c r="V29" s="45"/>
      <c r="W29" s="45"/>
      <c r="X29" s="45"/>
    </row>
    <row r="30" s="19" customFormat="1" ht="56.25" outlineLevel="1" spans="1:24">
      <c r="A30" s="51">
        <v>25</v>
      </c>
      <c r="B30" s="28" t="s">
        <v>129</v>
      </c>
      <c r="C30" s="28" t="s">
        <v>131</v>
      </c>
      <c r="D30" s="51" t="s">
        <v>92</v>
      </c>
      <c r="E30" s="29">
        <f t="shared" si="12"/>
        <v>3.48</v>
      </c>
      <c r="F30" s="38">
        <v>0</v>
      </c>
      <c r="G30" s="38">
        <v>3.48</v>
      </c>
      <c r="H30" s="38">
        <v>0</v>
      </c>
      <c r="I30" s="38">
        <v>0</v>
      </c>
      <c r="J30" s="38">
        <v>360</v>
      </c>
      <c r="K30" s="38">
        <f t="shared" si="15"/>
        <v>367.5</v>
      </c>
      <c r="L30" s="38">
        <v>350</v>
      </c>
      <c r="M30" s="42">
        <v>0.05</v>
      </c>
      <c r="N30" s="38">
        <v>20</v>
      </c>
      <c r="O30" s="38">
        <f>(J30+K30+N30)*$O$5</f>
        <v>74.75</v>
      </c>
      <c r="P30" s="38">
        <f>(J30+K30+N30+O30)*$P$5</f>
        <v>74.0025</v>
      </c>
      <c r="Q30" s="38">
        <f t="shared" si="13"/>
        <v>896.2525</v>
      </c>
      <c r="R30" s="38">
        <f t="shared" si="14"/>
        <v>3118.9587</v>
      </c>
      <c r="S30" s="37"/>
      <c r="T30" s="41"/>
      <c r="U30" s="45"/>
      <c r="V30" s="45"/>
      <c r="W30" s="45"/>
      <c r="X30" s="45"/>
    </row>
    <row r="31" s="20" customFormat="1" ht="16" customHeight="1" spans="1:24">
      <c r="A31" s="51">
        <v>26</v>
      </c>
      <c r="B31" s="28"/>
      <c r="C31" s="28" t="s">
        <v>95</v>
      </c>
      <c r="D31" s="28"/>
      <c r="E31" s="37"/>
      <c r="F31" s="37"/>
      <c r="G31" s="37"/>
      <c r="H31" s="37"/>
      <c r="I31" s="37"/>
      <c r="J31" s="37"/>
      <c r="K31" s="37"/>
      <c r="L31" s="37"/>
      <c r="M31" s="37"/>
      <c r="N31" s="37"/>
      <c r="O31" s="37"/>
      <c r="P31" s="37"/>
      <c r="Q31" s="37"/>
      <c r="R31" s="37">
        <f>SUM(R8:R30)</f>
        <v>96776.3599715</v>
      </c>
      <c r="S31" s="28"/>
      <c r="T31" s="41"/>
      <c r="U31" s="45"/>
      <c r="V31" s="45"/>
      <c r="W31" s="45"/>
      <c r="X31" s="45"/>
    </row>
    <row r="32" s="20" customFormat="1" ht="36" customHeight="1" spans="1:24">
      <c r="A32" s="33" t="s">
        <v>96</v>
      </c>
      <c r="B32" s="34" t="s">
        <v>97</v>
      </c>
      <c r="C32" s="34"/>
      <c r="D32" s="34"/>
      <c r="E32" s="40"/>
      <c r="F32" s="40"/>
      <c r="G32" s="40"/>
      <c r="H32" s="40"/>
      <c r="I32" s="40"/>
      <c r="J32" s="40"/>
      <c r="K32" s="40"/>
      <c r="L32" s="40"/>
      <c r="M32" s="40"/>
      <c r="N32" s="40"/>
      <c r="O32" s="40"/>
      <c r="P32" s="40"/>
      <c r="Q32" s="40"/>
      <c r="R32" s="40"/>
      <c r="S32" s="34"/>
      <c r="T32" s="41"/>
      <c r="U32" s="45"/>
      <c r="V32" s="45"/>
      <c r="W32" s="45"/>
      <c r="X32" s="45"/>
    </row>
  </sheetData>
  <mergeCells count="20">
    <mergeCell ref="A1:S1"/>
    <mergeCell ref="A2:J2"/>
    <mergeCell ref="K2:Q2"/>
    <mergeCell ref="R2:S2"/>
    <mergeCell ref="J3:P3"/>
    <mergeCell ref="B32:S32"/>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 right="0.75" top="1" bottom="1" header="0.5" footer="0.5"/>
  <pageSetup paperSize="9" scale="8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view="pageBreakPreview" zoomScaleNormal="100" topLeftCell="A8" workbookViewId="0">
      <selection activeCell="N15" sqref="N15"/>
    </sheetView>
  </sheetViews>
  <sheetFormatPr defaultColWidth="9" defaultRowHeight="11.25"/>
  <cols>
    <col min="1" max="1" width="8" style="60" customWidth="1"/>
    <col min="2" max="2" width="16.7142857142857" style="45" customWidth="1"/>
    <col min="3" max="3" width="34.5714285714286" style="45" customWidth="1"/>
    <col min="4" max="4" width="6.42857142857143" style="60" customWidth="1"/>
    <col min="5" max="5" width="6.71428571428571" style="60" customWidth="1"/>
    <col min="6" max="9" width="6.71428571428571" style="60" hidden="1" customWidth="1" outlineLevel="1"/>
    <col min="10" max="10" width="8.42857142857143" style="61" customWidth="1" collapsed="1"/>
    <col min="11" max="11" width="8.66666666666667" style="61" customWidth="1"/>
    <col min="12" max="12" width="10.3142857142857" style="61" customWidth="1"/>
    <col min="13" max="13" width="7.57142857142857" style="61" customWidth="1"/>
    <col min="14" max="14" width="9" style="61" customWidth="1"/>
    <col min="15" max="15" width="10.4285714285714" style="61" customWidth="1"/>
    <col min="16" max="16" width="9.85714285714286" style="61" customWidth="1"/>
    <col min="17" max="17" width="9.28571428571429" style="61" customWidth="1"/>
    <col min="18" max="18" width="11.7142857142857" style="61" customWidth="1"/>
    <col min="19" max="19" width="11.1714285714286" style="41" customWidth="1"/>
    <col min="20" max="20" width="9" style="45"/>
    <col min="21" max="22" width="11" style="45"/>
    <col min="23" max="16384" width="9" style="45"/>
  </cols>
  <sheetData>
    <row r="1" s="45" customFormat="1" ht="35" customHeight="1" spans="1:19">
      <c r="A1" s="24" t="s">
        <v>132</v>
      </c>
      <c r="B1" s="24"/>
      <c r="C1" s="24"/>
      <c r="D1" s="24"/>
      <c r="E1" s="24"/>
      <c r="F1" s="24"/>
      <c r="G1" s="24"/>
      <c r="H1" s="24"/>
      <c r="I1" s="24"/>
      <c r="J1" s="25"/>
      <c r="K1" s="25"/>
      <c r="L1" s="25"/>
      <c r="M1" s="25"/>
      <c r="N1" s="25"/>
      <c r="O1" s="25"/>
      <c r="P1" s="25"/>
      <c r="Q1" s="25"/>
      <c r="R1" s="25"/>
      <c r="S1" s="24"/>
    </row>
    <row r="2" s="45" customFormat="1" ht="19" customHeight="1" spans="1:19">
      <c r="A2" s="26" t="s">
        <v>133</v>
      </c>
      <c r="B2" s="26"/>
      <c r="C2" s="26"/>
      <c r="D2" s="26"/>
      <c r="E2" s="26"/>
      <c r="F2" s="26"/>
      <c r="G2" s="26"/>
      <c r="H2" s="26"/>
      <c r="I2" s="26"/>
      <c r="J2" s="27"/>
      <c r="K2" s="27"/>
      <c r="L2" s="27"/>
      <c r="M2" s="27"/>
      <c r="N2" s="27"/>
      <c r="O2" s="27"/>
      <c r="P2" s="27"/>
      <c r="Q2" s="27"/>
      <c r="R2" s="27"/>
      <c r="S2" s="63"/>
    </row>
    <row r="3" s="45" customFormat="1" spans="1:19">
      <c r="A3" s="51" t="s">
        <v>24</v>
      </c>
      <c r="B3" s="28" t="s">
        <v>25</v>
      </c>
      <c r="C3" s="28" t="s">
        <v>26</v>
      </c>
      <c r="D3" s="51" t="s">
        <v>3</v>
      </c>
      <c r="E3" s="51" t="s">
        <v>27</v>
      </c>
      <c r="F3" s="30" t="s">
        <v>28</v>
      </c>
      <c r="G3" s="30" t="s">
        <v>29</v>
      </c>
      <c r="H3" s="30" t="s">
        <v>30</v>
      </c>
      <c r="I3" s="30" t="s">
        <v>31</v>
      </c>
      <c r="J3" s="29" t="s">
        <v>32</v>
      </c>
      <c r="K3" s="29"/>
      <c r="L3" s="29"/>
      <c r="M3" s="29"/>
      <c r="N3" s="29"/>
      <c r="O3" s="29"/>
      <c r="P3" s="29"/>
      <c r="Q3" s="29" t="s">
        <v>33</v>
      </c>
      <c r="R3" s="29" t="s">
        <v>34</v>
      </c>
      <c r="S3" s="51" t="s">
        <v>35</v>
      </c>
    </row>
    <row r="4" s="45" customFormat="1" ht="51" customHeight="1" spans="1:19">
      <c r="A4" s="51"/>
      <c r="B4" s="28"/>
      <c r="C4" s="28"/>
      <c r="D4" s="51"/>
      <c r="E4" s="51"/>
      <c r="F4" s="31"/>
      <c r="G4" s="31"/>
      <c r="H4" s="31"/>
      <c r="I4" s="31"/>
      <c r="J4" s="29" t="s">
        <v>36</v>
      </c>
      <c r="K4" s="29" t="s">
        <v>37</v>
      </c>
      <c r="L4" s="29" t="s">
        <v>38</v>
      </c>
      <c r="M4" s="29" t="s">
        <v>39</v>
      </c>
      <c r="N4" s="29" t="s">
        <v>40</v>
      </c>
      <c r="O4" s="29" t="s">
        <v>41</v>
      </c>
      <c r="P4" s="29" t="s">
        <v>42</v>
      </c>
      <c r="Q4" s="29"/>
      <c r="R4" s="29"/>
      <c r="S4" s="51"/>
    </row>
    <row r="5" s="45" customFormat="1" ht="22.5" spans="1:19">
      <c r="A5" s="51"/>
      <c r="B5" s="28"/>
      <c r="C5" s="28"/>
      <c r="D5" s="51"/>
      <c r="E5" s="51"/>
      <c r="F5" s="51"/>
      <c r="G5" s="51"/>
      <c r="H5" s="51"/>
      <c r="I5" s="51"/>
      <c r="J5" s="29"/>
      <c r="K5" s="29" t="s">
        <v>43</v>
      </c>
      <c r="L5" s="29" t="s">
        <v>44</v>
      </c>
      <c r="M5" s="29" t="s">
        <v>45</v>
      </c>
      <c r="N5" s="29"/>
      <c r="O5" s="42">
        <v>0.1</v>
      </c>
      <c r="P5" s="42">
        <v>0.09</v>
      </c>
      <c r="Q5" s="29"/>
      <c r="R5" s="29"/>
      <c r="S5" s="51"/>
    </row>
    <row r="6" s="46" customFormat="1" ht="22" customHeight="1" spans="1:19">
      <c r="A6" s="48" t="s">
        <v>7</v>
      </c>
      <c r="B6" s="62" t="s">
        <v>18</v>
      </c>
      <c r="C6" s="50"/>
      <c r="D6" s="48"/>
      <c r="E6" s="51"/>
      <c r="F6" s="51"/>
      <c r="G6" s="51"/>
      <c r="H6" s="51"/>
      <c r="I6" s="51"/>
      <c r="J6" s="56"/>
      <c r="K6" s="56"/>
      <c r="L6" s="56"/>
      <c r="M6" s="43"/>
      <c r="N6" s="56"/>
      <c r="O6" s="56"/>
      <c r="P6" s="56"/>
      <c r="Q6" s="56"/>
      <c r="R6" s="56"/>
      <c r="S6" s="58"/>
    </row>
    <row r="7" s="46" customFormat="1" ht="60" spans="1:19">
      <c r="A7" s="48">
        <v>1</v>
      </c>
      <c r="B7" s="50" t="s">
        <v>134</v>
      </c>
      <c r="C7" s="50" t="s">
        <v>135</v>
      </c>
      <c r="D7" s="48" t="s">
        <v>65</v>
      </c>
      <c r="E7" s="51">
        <f t="shared" ref="E7:E21" si="0">SUM(F7:I7)</f>
        <v>6194.6</v>
      </c>
      <c r="F7" s="52">
        <v>1795.8</v>
      </c>
      <c r="G7" s="52">
        <v>1542.63</v>
      </c>
      <c r="H7" s="52">
        <v>1821.19</v>
      </c>
      <c r="I7" s="52">
        <v>1034.98</v>
      </c>
      <c r="J7" s="56">
        <v>4.73</v>
      </c>
      <c r="K7" s="38">
        <f t="shared" ref="K7:K21" si="1">L7*(1+M7)</f>
        <v>3.15</v>
      </c>
      <c r="L7" s="56">
        <v>3</v>
      </c>
      <c r="M7" s="44">
        <v>0.05</v>
      </c>
      <c r="N7" s="38">
        <v>1.41</v>
      </c>
      <c r="O7" s="38">
        <f>(J7+K7+N7)*$O$5</f>
        <v>0.929</v>
      </c>
      <c r="P7" s="38">
        <f>(J7+K7+N7+O7)*$P$5</f>
        <v>0.91971</v>
      </c>
      <c r="Q7" s="38">
        <f t="shared" ref="Q7:Q21" si="2">J7+K7+N7+O7+P7</f>
        <v>11.13871</v>
      </c>
      <c r="R7" s="29">
        <f t="shared" ref="R7:R21" si="3">E7*Q7</f>
        <v>68999.852966</v>
      </c>
      <c r="S7" s="58"/>
    </row>
    <row r="8" s="46" customFormat="1" ht="49" customHeight="1" spans="1:19">
      <c r="A8" s="48">
        <v>2</v>
      </c>
      <c r="B8" s="53" t="s">
        <v>136</v>
      </c>
      <c r="C8" s="53" t="s">
        <v>137</v>
      </c>
      <c r="D8" s="48" t="s">
        <v>65</v>
      </c>
      <c r="E8" s="51">
        <f t="shared" si="0"/>
        <v>18583.8</v>
      </c>
      <c r="F8" s="52">
        <v>5387.4</v>
      </c>
      <c r="G8" s="52">
        <v>4627.89</v>
      </c>
      <c r="H8" s="52">
        <v>5463.57</v>
      </c>
      <c r="I8" s="52">
        <v>3104.94</v>
      </c>
      <c r="J8" s="56">
        <v>5</v>
      </c>
      <c r="K8" s="38">
        <f t="shared" si="1"/>
        <v>2.2</v>
      </c>
      <c r="L8" s="56">
        <v>2</v>
      </c>
      <c r="M8" s="44">
        <v>0.1</v>
      </c>
      <c r="N8" s="38">
        <v>0.5</v>
      </c>
      <c r="O8" s="38">
        <f>(J8+K8+N8)*$O$5</f>
        <v>0.77</v>
      </c>
      <c r="P8" s="38">
        <f>(J8+K8+N8+O8)*$P$5</f>
        <v>0.7623</v>
      </c>
      <c r="Q8" s="38">
        <f t="shared" si="2"/>
        <v>9.2323</v>
      </c>
      <c r="R8" s="29">
        <f t="shared" si="3"/>
        <v>171571.21674</v>
      </c>
      <c r="S8" s="58"/>
    </row>
    <row r="9" s="46" customFormat="1" ht="49" customHeight="1" spans="1:19">
      <c r="A9" s="48">
        <v>3</v>
      </c>
      <c r="B9" s="50" t="s">
        <v>138</v>
      </c>
      <c r="C9" s="50" t="s">
        <v>139</v>
      </c>
      <c r="D9" s="48" t="s">
        <v>70</v>
      </c>
      <c r="E9" s="51">
        <f t="shared" si="0"/>
        <v>10</v>
      </c>
      <c r="F9" s="52"/>
      <c r="G9" s="52"/>
      <c r="H9" s="52"/>
      <c r="I9" s="52">
        <v>10</v>
      </c>
      <c r="J9" s="56">
        <v>15</v>
      </c>
      <c r="K9" s="38">
        <f t="shared" si="1"/>
        <v>25</v>
      </c>
      <c r="L9" s="56">
        <v>25</v>
      </c>
      <c r="M9" s="44">
        <v>0</v>
      </c>
      <c r="N9" s="38">
        <v>12</v>
      </c>
      <c r="O9" s="38">
        <f>(J9+K9+N9)*$O$5</f>
        <v>5.2</v>
      </c>
      <c r="P9" s="38">
        <f>(J9+K9+N9+O9)*$P$5</f>
        <v>5.148</v>
      </c>
      <c r="Q9" s="38">
        <f t="shared" si="2"/>
        <v>62.348</v>
      </c>
      <c r="R9" s="29">
        <f t="shared" si="3"/>
        <v>623.48</v>
      </c>
      <c r="S9" s="58"/>
    </row>
    <row r="10" s="46" customFormat="1" ht="49" customHeight="1" spans="1:19">
      <c r="A10" s="48">
        <v>4</v>
      </c>
      <c r="B10" s="50" t="s">
        <v>138</v>
      </c>
      <c r="C10" s="50" t="s">
        <v>140</v>
      </c>
      <c r="D10" s="48" t="s">
        <v>70</v>
      </c>
      <c r="E10" s="51">
        <f t="shared" si="0"/>
        <v>3024</v>
      </c>
      <c r="F10" s="52">
        <v>950</v>
      </c>
      <c r="G10" s="52">
        <v>642</v>
      </c>
      <c r="H10" s="52">
        <v>941</v>
      </c>
      <c r="I10" s="52">
        <v>491</v>
      </c>
      <c r="J10" s="56">
        <v>15</v>
      </c>
      <c r="K10" s="38">
        <f t="shared" si="1"/>
        <v>20</v>
      </c>
      <c r="L10" s="56">
        <v>20</v>
      </c>
      <c r="M10" s="44">
        <v>0</v>
      </c>
      <c r="N10" s="38">
        <v>12</v>
      </c>
      <c r="O10" s="38">
        <f>(J10+K10+N10)*$O$5</f>
        <v>4.7</v>
      </c>
      <c r="P10" s="38">
        <f>(J10+K10+N10+O10)*$P$5</f>
        <v>4.653</v>
      </c>
      <c r="Q10" s="38">
        <f t="shared" si="2"/>
        <v>56.353</v>
      </c>
      <c r="R10" s="29">
        <f t="shared" si="3"/>
        <v>170411.472</v>
      </c>
      <c r="S10" s="58"/>
    </row>
    <row r="11" s="46" customFormat="1" ht="49" customHeight="1" spans="1:19">
      <c r="A11" s="48">
        <v>5</v>
      </c>
      <c r="B11" s="50" t="s">
        <v>141</v>
      </c>
      <c r="C11" s="50" t="s">
        <v>142</v>
      </c>
      <c r="D11" s="48" t="s">
        <v>70</v>
      </c>
      <c r="E11" s="51">
        <f t="shared" si="0"/>
        <v>18</v>
      </c>
      <c r="F11" s="52">
        <v>3</v>
      </c>
      <c r="G11" s="52">
        <v>6</v>
      </c>
      <c r="H11" s="52">
        <v>3</v>
      </c>
      <c r="I11" s="52">
        <v>6</v>
      </c>
      <c r="J11" s="56">
        <v>15</v>
      </c>
      <c r="K11" s="38">
        <f t="shared" si="1"/>
        <v>30</v>
      </c>
      <c r="L11" s="56">
        <v>30</v>
      </c>
      <c r="M11" s="44">
        <v>0</v>
      </c>
      <c r="N11" s="38">
        <v>8.5</v>
      </c>
      <c r="O11" s="38">
        <f>(J11+K11+N11)*$O$5</f>
        <v>5.35</v>
      </c>
      <c r="P11" s="38">
        <f>(J11+K11+N11+O11)*$P$5</f>
        <v>5.2965</v>
      </c>
      <c r="Q11" s="38">
        <f t="shared" si="2"/>
        <v>64.1465</v>
      </c>
      <c r="R11" s="29">
        <f t="shared" si="3"/>
        <v>1154.637</v>
      </c>
      <c r="S11" s="58"/>
    </row>
    <row r="12" s="46" customFormat="1" ht="57" customHeight="1" spans="1:19">
      <c r="A12" s="48">
        <v>6</v>
      </c>
      <c r="B12" s="50" t="s">
        <v>138</v>
      </c>
      <c r="C12" s="50" t="s">
        <v>143</v>
      </c>
      <c r="D12" s="48" t="s">
        <v>65</v>
      </c>
      <c r="E12" s="51">
        <f t="shared" si="0"/>
        <v>141.98</v>
      </c>
      <c r="F12" s="52">
        <v>22.47</v>
      </c>
      <c r="G12" s="52">
        <v>34.93</v>
      </c>
      <c r="H12" s="52">
        <v>31.54</v>
      </c>
      <c r="I12" s="52">
        <v>53.04</v>
      </c>
      <c r="J12" s="56">
        <v>10</v>
      </c>
      <c r="K12" s="38">
        <f t="shared" si="1"/>
        <v>5.25</v>
      </c>
      <c r="L12" s="56">
        <v>5</v>
      </c>
      <c r="M12" s="44">
        <v>0.05</v>
      </c>
      <c r="N12" s="38">
        <v>7.5</v>
      </c>
      <c r="O12" s="38">
        <f>(J12+K12+N12)*$O$5</f>
        <v>2.275</v>
      </c>
      <c r="P12" s="38">
        <f>(J12+K12+N12+O12)*$P$5</f>
        <v>2.25225</v>
      </c>
      <c r="Q12" s="38">
        <f t="shared" si="2"/>
        <v>27.27725</v>
      </c>
      <c r="R12" s="29">
        <f t="shared" si="3"/>
        <v>3872.823955</v>
      </c>
      <c r="S12" s="58"/>
    </row>
    <row r="13" s="46" customFormat="1" ht="49" customHeight="1" spans="1:19">
      <c r="A13" s="48">
        <v>7</v>
      </c>
      <c r="B13" s="50" t="s">
        <v>138</v>
      </c>
      <c r="C13" s="53" t="s">
        <v>144</v>
      </c>
      <c r="D13" s="48" t="s">
        <v>70</v>
      </c>
      <c r="E13" s="51">
        <f t="shared" si="0"/>
        <v>211</v>
      </c>
      <c r="F13" s="52">
        <v>53</v>
      </c>
      <c r="G13" s="52">
        <v>56</v>
      </c>
      <c r="H13" s="52">
        <v>51</v>
      </c>
      <c r="I13" s="52">
        <v>51</v>
      </c>
      <c r="J13" s="56">
        <v>15</v>
      </c>
      <c r="K13" s="38">
        <f t="shared" si="1"/>
        <v>50</v>
      </c>
      <c r="L13" s="56">
        <v>50</v>
      </c>
      <c r="M13" s="44">
        <v>0</v>
      </c>
      <c r="N13" s="38">
        <v>12.5</v>
      </c>
      <c r="O13" s="38">
        <f>(J13+K13+N13)*$O$5</f>
        <v>7.75</v>
      </c>
      <c r="P13" s="38">
        <f>(J13+K13+N13+O13)*$P$5</f>
        <v>7.6725</v>
      </c>
      <c r="Q13" s="38">
        <f t="shared" si="2"/>
        <v>92.9225</v>
      </c>
      <c r="R13" s="29">
        <f t="shared" si="3"/>
        <v>19606.6475</v>
      </c>
      <c r="S13" s="58"/>
    </row>
    <row r="14" s="46" customFormat="1" ht="49" customHeight="1" spans="1:19">
      <c r="A14" s="48">
        <v>8</v>
      </c>
      <c r="B14" s="50" t="s">
        <v>141</v>
      </c>
      <c r="C14" s="53" t="s">
        <v>145</v>
      </c>
      <c r="D14" s="48" t="s">
        <v>70</v>
      </c>
      <c r="E14" s="51">
        <f t="shared" si="0"/>
        <v>33</v>
      </c>
      <c r="F14" s="52">
        <v>4</v>
      </c>
      <c r="G14" s="52">
        <v>15</v>
      </c>
      <c r="H14" s="52">
        <v>6</v>
      </c>
      <c r="I14" s="52">
        <v>8</v>
      </c>
      <c r="J14" s="56">
        <v>15</v>
      </c>
      <c r="K14" s="38">
        <f t="shared" si="1"/>
        <v>50</v>
      </c>
      <c r="L14" s="56">
        <v>50</v>
      </c>
      <c r="M14" s="44">
        <v>0</v>
      </c>
      <c r="N14" s="38">
        <v>12.5</v>
      </c>
      <c r="O14" s="38">
        <f>(J14+K14+N14)*$O$5</f>
        <v>7.75</v>
      </c>
      <c r="P14" s="38">
        <f>(J14+K14+N14+O14)*$P$5</f>
        <v>7.6725</v>
      </c>
      <c r="Q14" s="38">
        <f t="shared" si="2"/>
        <v>92.9225</v>
      </c>
      <c r="R14" s="29">
        <f t="shared" si="3"/>
        <v>3066.4425</v>
      </c>
      <c r="S14" s="58"/>
    </row>
    <row r="15" s="46" customFormat="1" ht="49" customHeight="1" spans="1:19">
      <c r="A15" s="48">
        <v>9</v>
      </c>
      <c r="B15" s="50" t="s">
        <v>146</v>
      </c>
      <c r="C15" s="50" t="s">
        <v>147</v>
      </c>
      <c r="D15" s="48" t="s">
        <v>70</v>
      </c>
      <c r="E15" s="51">
        <f t="shared" si="0"/>
        <v>4</v>
      </c>
      <c r="F15" s="52"/>
      <c r="G15" s="52">
        <v>1</v>
      </c>
      <c r="H15" s="52"/>
      <c r="I15" s="52">
        <v>3</v>
      </c>
      <c r="J15" s="56">
        <v>12</v>
      </c>
      <c r="K15" s="38">
        <f t="shared" si="1"/>
        <v>10</v>
      </c>
      <c r="L15" s="56">
        <v>10</v>
      </c>
      <c r="M15" s="44">
        <v>0</v>
      </c>
      <c r="N15" s="38">
        <v>2.5</v>
      </c>
      <c r="O15" s="38">
        <f>(J15+K15+N15)*$O$5</f>
        <v>2.45</v>
      </c>
      <c r="P15" s="38">
        <f>(J15+K15+N15+O15)*$P$5</f>
        <v>2.4255</v>
      </c>
      <c r="Q15" s="38">
        <f t="shared" si="2"/>
        <v>29.3755</v>
      </c>
      <c r="R15" s="29">
        <f t="shared" si="3"/>
        <v>117.502</v>
      </c>
      <c r="S15" s="58"/>
    </row>
    <row r="16" s="46" customFormat="1" ht="54" customHeight="1" spans="1:19">
      <c r="A16" s="48">
        <v>10</v>
      </c>
      <c r="B16" s="50" t="s">
        <v>146</v>
      </c>
      <c r="C16" s="50" t="s">
        <v>148</v>
      </c>
      <c r="D16" s="48" t="s">
        <v>70</v>
      </c>
      <c r="E16" s="51">
        <f t="shared" si="0"/>
        <v>8</v>
      </c>
      <c r="F16" s="52">
        <v>3</v>
      </c>
      <c r="G16" s="52">
        <v>2</v>
      </c>
      <c r="H16" s="52">
        <v>1</v>
      </c>
      <c r="I16" s="52">
        <v>2</v>
      </c>
      <c r="J16" s="56">
        <v>12</v>
      </c>
      <c r="K16" s="38">
        <f t="shared" si="1"/>
        <v>10</v>
      </c>
      <c r="L16" s="56">
        <v>10</v>
      </c>
      <c r="M16" s="44">
        <v>0</v>
      </c>
      <c r="N16" s="38">
        <v>2.5</v>
      </c>
      <c r="O16" s="38">
        <f>(J16+K16+N16)*$O$5</f>
        <v>2.45</v>
      </c>
      <c r="P16" s="38">
        <f>(J16+K16+N16+O16)*$P$5</f>
        <v>2.4255</v>
      </c>
      <c r="Q16" s="38">
        <f t="shared" si="2"/>
        <v>29.3755</v>
      </c>
      <c r="R16" s="29">
        <f t="shared" si="3"/>
        <v>235.004</v>
      </c>
      <c r="S16" s="58"/>
    </row>
    <row r="17" s="46" customFormat="1" ht="49" customHeight="1" spans="1:19">
      <c r="A17" s="48">
        <v>11</v>
      </c>
      <c r="B17" s="50" t="s">
        <v>146</v>
      </c>
      <c r="C17" s="50" t="s">
        <v>149</v>
      </c>
      <c r="D17" s="48" t="s">
        <v>70</v>
      </c>
      <c r="E17" s="51">
        <f t="shared" si="0"/>
        <v>6</v>
      </c>
      <c r="F17" s="52"/>
      <c r="G17" s="52">
        <v>2</v>
      </c>
      <c r="H17" s="52">
        <v>2</v>
      </c>
      <c r="I17" s="52">
        <v>2</v>
      </c>
      <c r="J17" s="56">
        <v>12</v>
      </c>
      <c r="K17" s="38">
        <f t="shared" si="1"/>
        <v>10</v>
      </c>
      <c r="L17" s="56">
        <v>10</v>
      </c>
      <c r="M17" s="44">
        <v>0</v>
      </c>
      <c r="N17" s="38">
        <v>2.5</v>
      </c>
      <c r="O17" s="38">
        <f>(J17+K17+N17)*$O$5</f>
        <v>2.45</v>
      </c>
      <c r="P17" s="38">
        <f>(J17+K17+N17+O17)*$P$5</f>
        <v>2.4255</v>
      </c>
      <c r="Q17" s="38">
        <f t="shared" si="2"/>
        <v>29.3755</v>
      </c>
      <c r="R17" s="29">
        <f t="shared" si="3"/>
        <v>176.253</v>
      </c>
      <c r="S17" s="58"/>
    </row>
    <row r="18" s="46" customFormat="1" ht="49" customHeight="1" spans="1:19">
      <c r="A18" s="48">
        <v>12</v>
      </c>
      <c r="B18" s="50" t="s">
        <v>146</v>
      </c>
      <c r="C18" s="50" t="s">
        <v>150</v>
      </c>
      <c r="D18" s="48" t="s">
        <v>70</v>
      </c>
      <c r="E18" s="64">
        <f t="shared" si="0"/>
        <v>4</v>
      </c>
      <c r="F18" s="52">
        <v>1</v>
      </c>
      <c r="G18" s="52">
        <v>2</v>
      </c>
      <c r="H18" s="52"/>
      <c r="I18" s="52">
        <v>1</v>
      </c>
      <c r="J18" s="56">
        <v>12</v>
      </c>
      <c r="K18" s="38">
        <f t="shared" si="1"/>
        <v>10</v>
      </c>
      <c r="L18" s="56">
        <v>10</v>
      </c>
      <c r="M18" s="44">
        <v>0</v>
      </c>
      <c r="N18" s="38">
        <v>2.5</v>
      </c>
      <c r="O18" s="38">
        <f>(J18+K18+N18)*$O$5</f>
        <v>2.45</v>
      </c>
      <c r="P18" s="38">
        <f>(J18+K18+N18+O18)*$P$5</f>
        <v>2.4255</v>
      </c>
      <c r="Q18" s="38">
        <f t="shared" si="2"/>
        <v>29.3755</v>
      </c>
      <c r="R18" s="29">
        <f t="shared" si="3"/>
        <v>117.502</v>
      </c>
      <c r="S18" s="58"/>
    </row>
    <row r="19" s="46" customFormat="1" ht="49" customHeight="1" spans="1:19">
      <c r="A19" s="48">
        <v>13</v>
      </c>
      <c r="B19" s="50" t="s">
        <v>146</v>
      </c>
      <c r="C19" s="50" t="s">
        <v>151</v>
      </c>
      <c r="D19" s="48" t="s">
        <v>70</v>
      </c>
      <c r="E19" s="51">
        <f t="shared" si="0"/>
        <v>13</v>
      </c>
      <c r="F19" s="52">
        <f>1+7</f>
        <v>8</v>
      </c>
      <c r="G19" s="52">
        <v>2</v>
      </c>
      <c r="H19" s="52">
        <v>1</v>
      </c>
      <c r="I19" s="52">
        <v>2</v>
      </c>
      <c r="J19" s="56">
        <v>12</v>
      </c>
      <c r="K19" s="38">
        <f t="shared" si="1"/>
        <v>10</v>
      </c>
      <c r="L19" s="56">
        <v>10</v>
      </c>
      <c r="M19" s="44">
        <v>0</v>
      </c>
      <c r="N19" s="38">
        <v>7.5</v>
      </c>
      <c r="O19" s="38">
        <f>(J19+K19+N19)*$O$5</f>
        <v>2.95</v>
      </c>
      <c r="P19" s="38">
        <f>(J19+K19+N19+O19)*$P$5</f>
        <v>2.9205</v>
      </c>
      <c r="Q19" s="38">
        <f t="shared" si="2"/>
        <v>35.3705</v>
      </c>
      <c r="R19" s="29">
        <f t="shared" si="3"/>
        <v>459.8165</v>
      </c>
      <c r="S19" s="58"/>
    </row>
    <row r="20" s="46" customFormat="1" ht="49" customHeight="1" spans="1:19">
      <c r="A20" s="48">
        <v>14</v>
      </c>
      <c r="B20" s="50" t="s">
        <v>152</v>
      </c>
      <c r="C20" s="50" t="s">
        <v>153</v>
      </c>
      <c r="D20" s="48" t="s">
        <v>70</v>
      </c>
      <c r="E20" s="51">
        <f t="shared" si="0"/>
        <v>3300</v>
      </c>
      <c r="F20" s="52">
        <f t="shared" ref="F20:I20" si="4">F10+F11+F13+F14+1+F9</f>
        <v>1011</v>
      </c>
      <c r="G20" s="52">
        <f t="shared" si="4"/>
        <v>720</v>
      </c>
      <c r="H20" s="52">
        <f t="shared" si="4"/>
        <v>1002</v>
      </c>
      <c r="I20" s="52">
        <f t="shared" si="4"/>
        <v>567</v>
      </c>
      <c r="J20" s="56">
        <v>2.88</v>
      </c>
      <c r="K20" s="38">
        <f t="shared" si="1"/>
        <v>1.54</v>
      </c>
      <c r="L20" s="56">
        <v>1.54</v>
      </c>
      <c r="M20" s="44">
        <v>0</v>
      </c>
      <c r="N20" s="38">
        <v>2.58</v>
      </c>
      <c r="O20" s="38">
        <f>(J20+K20+N20)*$O$5</f>
        <v>0.7</v>
      </c>
      <c r="P20" s="38">
        <f>(J20+K20+N20+O20)*$P$5</f>
        <v>0.693</v>
      </c>
      <c r="Q20" s="38">
        <f t="shared" si="2"/>
        <v>8.393</v>
      </c>
      <c r="R20" s="29">
        <f t="shared" si="3"/>
        <v>27696.9</v>
      </c>
      <c r="S20" s="58"/>
    </row>
    <row r="21" s="46" customFormat="1" ht="49" customHeight="1" spans="1:19">
      <c r="A21" s="48">
        <v>15</v>
      </c>
      <c r="B21" s="50" t="s">
        <v>152</v>
      </c>
      <c r="C21" s="50" t="s">
        <v>154</v>
      </c>
      <c r="D21" s="48" t="s">
        <v>70</v>
      </c>
      <c r="E21" s="51">
        <f t="shared" si="0"/>
        <v>36</v>
      </c>
      <c r="F21" s="52">
        <f t="shared" ref="F21:H21" si="5">F15+F16+F17+F18+F19</f>
        <v>12</v>
      </c>
      <c r="G21" s="52">
        <f t="shared" si="5"/>
        <v>9</v>
      </c>
      <c r="H21" s="52">
        <f t="shared" si="5"/>
        <v>4</v>
      </c>
      <c r="I21" s="52">
        <f>I15+I16+I17+I18+I19+1</f>
        <v>11</v>
      </c>
      <c r="J21" s="56">
        <v>2.88</v>
      </c>
      <c r="K21" s="38">
        <f t="shared" si="1"/>
        <v>1.54</v>
      </c>
      <c r="L21" s="56">
        <v>1.54</v>
      </c>
      <c r="M21" s="44">
        <v>0</v>
      </c>
      <c r="N21" s="38">
        <v>2.58</v>
      </c>
      <c r="O21" s="38">
        <f>(J21+K21+N21)*$O$5</f>
        <v>0.7</v>
      </c>
      <c r="P21" s="38">
        <f>(J21+K21+N21+O21)*$P$5</f>
        <v>0.693</v>
      </c>
      <c r="Q21" s="38">
        <f t="shared" si="2"/>
        <v>8.393</v>
      </c>
      <c r="R21" s="29">
        <f t="shared" si="3"/>
        <v>302.148</v>
      </c>
      <c r="S21" s="58"/>
    </row>
    <row r="22" s="47" customFormat="1" ht="21" customHeight="1" spans="1:19">
      <c r="A22" s="54" t="s">
        <v>16</v>
      </c>
      <c r="B22" s="55" t="s">
        <v>155</v>
      </c>
      <c r="C22" s="55"/>
      <c r="D22" s="54"/>
      <c r="E22" s="54"/>
      <c r="F22" s="54"/>
      <c r="G22" s="54"/>
      <c r="H22" s="54"/>
      <c r="I22" s="54"/>
      <c r="J22" s="57"/>
      <c r="K22" s="57"/>
      <c r="L22" s="56"/>
      <c r="M22" s="57"/>
      <c r="N22" s="57"/>
      <c r="O22" s="57"/>
      <c r="P22" s="57"/>
      <c r="Q22" s="57"/>
      <c r="R22" s="57">
        <f>SUM(R7:R21)</f>
        <v>468411.698161</v>
      </c>
      <c r="S22" s="59"/>
    </row>
    <row r="23" s="20" customFormat="1" ht="36" customHeight="1" spans="1:24">
      <c r="A23" s="33" t="s">
        <v>96</v>
      </c>
      <c r="B23" s="34" t="s">
        <v>97</v>
      </c>
      <c r="C23" s="34"/>
      <c r="D23" s="34"/>
      <c r="E23" s="40"/>
      <c r="F23" s="40"/>
      <c r="G23" s="40"/>
      <c r="H23" s="40"/>
      <c r="I23" s="40"/>
      <c r="J23" s="40"/>
      <c r="K23" s="40"/>
      <c r="L23" s="40"/>
      <c r="M23" s="40"/>
      <c r="N23" s="40"/>
      <c r="O23" s="40"/>
      <c r="P23" s="40"/>
      <c r="Q23" s="40"/>
      <c r="R23" s="40"/>
      <c r="S23" s="34"/>
      <c r="T23" s="41"/>
      <c r="U23" s="45"/>
      <c r="V23" s="45"/>
      <c r="W23" s="45"/>
      <c r="X23" s="45"/>
    </row>
    <row r="24" s="46" customFormat="1" ht="12" spans="1:22">
      <c r="A24" s="60"/>
      <c r="B24" s="45"/>
      <c r="C24" s="45"/>
      <c r="D24" s="60"/>
      <c r="E24" s="60"/>
      <c r="F24" s="60"/>
      <c r="G24" s="60"/>
      <c r="H24" s="60"/>
      <c r="I24" s="60"/>
      <c r="J24" s="61"/>
      <c r="K24" s="61"/>
      <c r="L24" s="61"/>
      <c r="M24" s="61"/>
      <c r="N24" s="61"/>
      <c r="O24" s="61"/>
      <c r="P24" s="61"/>
      <c r="Q24" s="61"/>
      <c r="R24" s="61"/>
      <c r="S24" s="41"/>
      <c r="T24" s="45"/>
      <c r="U24" s="45"/>
      <c r="V24" s="45"/>
    </row>
    <row r="25" s="46" customFormat="1" ht="12" spans="1:22">
      <c r="A25" s="60"/>
      <c r="B25" s="45"/>
      <c r="C25" s="45"/>
      <c r="D25" s="60"/>
      <c r="E25" s="60"/>
      <c r="F25" s="60"/>
      <c r="G25" s="60"/>
      <c r="H25" s="60"/>
      <c r="I25" s="60"/>
      <c r="J25" s="61"/>
      <c r="K25" s="61"/>
      <c r="L25" s="61"/>
      <c r="M25" s="61"/>
      <c r="N25" s="61"/>
      <c r="O25" s="61"/>
      <c r="P25" s="61"/>
      <c r="Q25" s="61"/>
      <c r="R25" s="61"/>
      <c r="S25" s="41"/>
      <c r="T25" s="45"/>
      <c r="U25" s="45"/>
      <c r="V25" s="45"/>
    </row>
    <row r="26" s="46" customFormat="1" ht="12" spans="1:22">
      <c r="A26" s="60"/>
      <c r="B26" s="45"/>
      <c r="C26" s="45"/>
      <c r="D26" s="60"/>
      <c r="E26" s="60"/>
      <c r="F26" s="60"/>
      <c r="G26" s="60"/>
      <c r="H26" s="60"/>
      <c r="I26" s="60"/>
      <c r="J26" s="61"/>
      <c r="K26" s="61"/>
      <c r="L26" s="61"/>
      <c r="M26" s="61"/>
      <c r="N26" s="61"/>
      <c r="O26" s="61"/>
      <c r="P26" s="61"/>
      <c r="Q26" s="61"/>
      <c r="R26" s="61"/>
      <c r="S26" s="41"/>
      <c r="T26" s="45"/>
      <c r="U26" s="45"/>
      <c r="V26" s="45"/>
    </row>
    <row r="27" s="46" customFormat="1" ht="12" spans="1:22">
      <c r="A27" s="60"/>
      <c r="B27" s="45"/>
      <c r="C27" s="45"/>
      <c r="D27" s="60"/>
      <c r="E27" s="60"/>
      <c r="F27" s="60"/>
      <c r="G27" s="60"/>
      <c r="H27" s="60"/>
      <c r="I27" s="60"/>
      <c r="J27" s="61"/>
      <c r="K27" s="61"/>
      <c r="L27" s="61"/>
      <c r="M27" s="61"/>
      <c r="N27" s="61"/>
      <c r="O27" s="61"/>
      <c r="P27" s="61"/>
      <c r="Q27" s="61"/>
      <c r="R27" s="61"/>
      <c r="S27" s="41"/>
      <c r="T27" s="45"/>
      <c r="U27" s="45"/>
      <c r="V27" s="45"/>
    </row>
    <row r="28" s="46" customFormat="1" ht="12" spans="1:22">
      <c r="A28" s="60"/>
      <c r="B28" s="45"/>
      <c r="C28" s="45"/>
      <c r="D28" s="60"/>
      <c r="E28" s="60"/>
      <c r="F28" s="60"/>
      <c r="G28" s="60"/>
      <c r="H28" s="60"/>
      <c r="I28" s="60"/>
      <c r="J28" s="61"/>
      <c r="K28" s="61"/>
      <c r="L28" s="61"/>
      <c r="M28" s="61"/>
      <c r="N28" s="61"/>
      <c r="O28" s="61"/>
      <c r="P28" s="61"/>
      <c r="Q28" s="61"/>
      <c r="R28" s="61"/>
      <c r="S28" s="41"/>
      <c r="T28" s="45"/>
      <c r="U28" s="45"/>
      <c r="V28" s="45"/>
    </row>
    <row r="29" s="46" customFormat="1" ht="12" spans="1:22">
      <c r="A29" s="60"/>
      <c r="B29" s="45"/>
      <c r="C29" s="45"/>
      <c r="D29" s="60"/>
      <c r="E29" s="60"/>
      <c r="F29" s="60"/>
      <c r="G29" s="60"/>
      <c r="H29" s="60"/>
      <c r="I29" s="60"/>
      <c r="J29" s="61"/>
      <c r="K29" s="61"/>
      <c r="L29" s="61"/>
      <c r="M29" s="61"/>
      <c r="N29" s="61"/>
      <c r="O29" s="61"/>
      <c r="P29" s="61"/>
      <c r="Q29" s="61"/>
      <c r="R29" s="61"/>
      <c r="S29" s="41"/>
      <c r="T29" s="45"/>
      <c r="U29" s="45"/>
      <c r="V29" s="45"/>
    </row>
    <row r="30" s="46" customFormat="1" ht="12" spans="1:22">
      <c r="A30" s="60"/>
      <c r="B30" s="45"/>
      <c r="C30" s="45"/>
      <c r="D30" s="60"/>
      <c r="E30" s="60"/>
      <c r="F30" s="60"/>
      <c r="G30" s="60"/>
      <c r="H30" s="60"/>
      <c r="I30" s="60"/>
      <c r="J30" s="61"/>
      <c r="K30" s="61"/>
      <c r="L30" s="61"/>
      <c r="M30" s="61"/>
      <c r="N30" s="61"/>
      <c r="O30" s="61"/>
      <c r="P30" s="61"/>
      <c r="Q30" s="61"/>
      <c r="R30" s="61"/>
      <c r="S30" s="41"/>
      <c r="T30" s="45"/>
      <c r="U30" s="45"/>
      <c r="V30" s="45"/>
    </row>
    <row r="31" s="46" customFormat="1" ht="12" spans="1:22">
      <c r="A31" s="60"/>
      <c r="B31" s="45"/>
      <c r="C31" s="45"/>
      <c r="D31" s="60"/>
      <c r="E31" s="60"/>
      <c r="F31" s="60"/>
      <c r="G31" s="60"/>
      <c r="H31" s="60"/>
      <c r="I31" s="60"/>
      <c r="J31" s="61"/>
      <c r="K31" s="61"/>
      <c r="L31" s="61"/>
      <c r="M31" s="61"/>
      <c r="N31" s="61"/>
      <c r="O31" s="61"/>
      <c r="P31" s="61"/>
      <c r="Q31" s="61"/>
      <c r="R31" s="61"/>
      <c r="S31" s="41"/>
      <c r="T31" s="45"/>
      <c r="U31" s="45"/>
      <c r="V31" s="45"/>
    </row>
    <row r="32" s="47" customFormat="1" spans="1:22">
      <c r="A32" s="60"/>
      <c r="B32" s="45"/>
      <c r="C32" s="45"/>
      <c r="D32" s="60"/>
      <c r="E32" s="60"/>
      <c r="F32" s="60"/>
      <c r="G32" s="60"/>
      <c r="H32" s="60"/>
      <c r="I32" s="60"/>
      <c r="J32" s="61"/>
      <c r="K32" s="61"/>
      <c r="L32" s="61"/>
      <c r="M32" s="61"/>
      <c r="N32" s="61"/>
      <c r="O32" s="61"/>
      <c r="P32" s="61"/>
      <c r="Q32" s="61"/>
      <c r="R32" s="61"/>
      <c r="S32" s="41"/>
      <c r="T32" s="45"/>
      <c r="U32" s="45"/>
      <c r="V32" s="45"/>
    </row>
  </sheetData>
  <mergeCells count="21">
    <mergeCell ref="A1:S1"/>
    <mergeCell ref="A2:J2"/>
    <mergeCell ref="K2:Q2"/>
    <mergeCell ref="R2:S2"/>
    <mergeCell ref="J3:P3"/>
    <mergeCell ref="B22:C22"/>
    <mergeCell ref="B23:S23"/>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5" header="0.5" footer="0.5"/>
  <pageSetup paperSize="9" scale="7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8"/>
  <sheetViews>
    <sheetView view="pageBreakPreview" zoomScaleNormal="100" workbookViewId="0">
      <selection activeCell="O20" sqref="O20"/>
    </sheetView>
  </sheetViews>
  <sheetFormatPr defaultColWidth="9" defaultRowHeight="11.25"/>
  <cols>
    <col min="1" max="1" width="6.14285714285714" style="60" customWidth="1"/>
    <col min="2" max="2" width="15.152380952381" style="45" customWidth="1"/>
    <col min="3" max="3" width="36.1428571428571" style="45" customWidth="1"/>
    <col min="4" max="4" width="6.42857142857143" style="60" customWidth="1"/>
    <col min="5" max="5" width="6.71428571428571" style="60" customWidth="1"/>
    <col min="6" max="6" width="6.71428571428571" style="60" hidden="1" customWidth="1" outlineLevel="1"/>
    <col min="7" max="7" width="6.28571428571429" style="60" hidden="1" customWidth="1" outlineLevel="1"/>
    <col min="8" max="9" width="6.71428571428571" style="60" hidden="1" customWidth="1" outlineLevel="1"/>
    <col min="10" max="10" width="8.42857142857143" style="61" customWidth="1" collapsed="1"/>
    <col min="11" max="11" width="8.66666666666667" style="61" customWidth="1"/>
    <col min="12" max="12" width="10.3142857142857" style="61" customWidth="1"/>
    <col min="13" max="13" width="7.57142857142857" style="61" customWidth="1"/>
    <col min="14" max="14" width="9" style="61" customWidth="1"/>
    <col min="15" max="15" width="10.4285714285714" style="61" customWidth="1"/>
    <col min="16" max="16" width="9.85714285714286" style="61" customWidth="1"/>
    <col min="17" max="17" width="9.28571428571429" style="61" customWidth="1"/>
    <col min="18" max="18" width="11.7142857142857" style="61" customWidth="1"/>
    <col min="19" max="19" width="11.1714285714286" style="41" customWidth="1"/>
    <col min="20" max="20" width="9" style="45"/>
    <col min="21" max="22" width="11" style="45"/>
    <col min="23" max="16384" width="9" style="45"/>
  </cols>
  <sheetData>
    <row r="1" s="45" customFormat="1" ht="35" customHeight="1" spans="1:19">
      <c r="A1" s="24" t="s">
        <v>156</v>
      </c>
      <c r="B1" s="24"/>
      <c r="C1" s="24"/>
      <c r="D1" s="24"/>
      <c r="E1" s="24"/>
      <c r="F1" s="24"/>
      <c r="G1" s="24"/>
      <c r="H1" s="24"/>
      <c r="I1" s="24"/>
      <c r="J1" s="25"/>
      <c r="K1" s="25"/>
      <c r="L1" s="25"/>
      <c r="M1" s="25"/>
      <c r="N1" s="25"/>
      <c r="O1" s="25"/>
      <c r="P1" s="25"/>
      <c r="Q1" s="25"/>
      <c r="R1" s="25"/>
      <c r="S1" s="24"/>
    </row>
    <row r="2" s="45" customFormat="1" ht="19" customHeight="1" spans="1:19">
      <c r="A2" s="26" t="s">
        <v>157</v>
      </c>
      <c r="B2" s="26"/>
      <c r="C2" s="26"/>
      <c r="D2" s="26"/>
      <c r="E2" s="26"/>
      <c r="F2" s="26"/>
      <c r="G2" s="26"/>
      <c r="H2" s="26"/>
      <c r="I2" s="26"/>
      <c r="J2" s="27"/>
      <c r="K2" s="27"/>
      <c r="L2" s="27"/>
      <c r="M2" s="27"/>
      <c r="N2" s="27"/>
      <c r="O2" s="27"/>
      <c r="P2" s="27"/>
      <c r="Q2" s="27"/>
      <c r="R2" s="27"/>
      <c r="S2" s="63"/>
    </row>
    <row r="3" s="45" customFormat="1" spans="1:19">
      <c r="A3" s="51" t="s">
        <v>24</v>
      </c>
      <c r="B3" s="28" t="s">
        <v>25</v>
      </c>
      <c r="C3" s="28" t="s">
        <v>26</v>
      </c>
      <c r="D3" s="51" t="s">
        <v>3</v>
      </c>
      <c r="E3" s="51" t="s">
        <v>27</v>
      </c>
      <c r="F3" s="30" t="s">
        <v>100</v>
      </c>
      <c r="G3" s="30" t="s">
        <v>101</v>
      </c>
      <c r="H3" s="30" t="s">
        <v>102</v>
      </c>
      <c r="I3" s="30" t="s">
        <v>103</v>
      </c>
      <c r="J3" s="29" t="s">
        <v>32</v>
      </c>
      <c r="K3" s="29"/>
      <c r="L3" s="29"/>
      <c r="M3" s="29"/>
      <c r="N3" s="29"/>
      <c r="O3" s="29"/>
      <c r="P3" s="29"/>
      <c r="Q3" s="29" t="s">
        <v>33</v>
      </c>
      <c r="R3" s="29" t="s">
        <v>34</v>
      </c>
      <c r="S3" s="51" t="s">
        <v>35</v>
      </c>
    </row>
    <row r="4" s="45" customFormat="1" ht="51" customHeight="1" spans="1:19">
      <c r="A4" s="51"/>
      <c r="B4" s="28"/>
      <c r="C4" s="28"/>
      <c r="D4" s="51"/>
      <c r="E4" s="51"/>
      <c r="F4" s="31"/>
      <c r="G4" s="31"/>
      <c r="H4" s="31"/>
      <c r="I4" s="31"/>
      <c r="J4" s="29" t="s">
        <v>36</v>
      </c>
      <c r="K4" s="29" t="s">
        <v>37</v>
      </c>
      <c r="L4" s="29" t="s">
        <v>38</v>
      </c>
      <c r="M4" s="29" t="s">
        <v>39</v>
      </c>
      <c r="N4" s="29" t="s">
        <v>40</v>
      </c>
      <c r="O4" s="29" t="s">
        <v>41</v>
      </c>
      <c r="P4" s="29" t="s">
        <v>42</v>
      </c>
      <c r="Q4" s="29"/>
      <c r="R4" s="29"/>
      <c r="S4" s="51"/>
    </row>
    <row r="5" s="45" customFormat="1" ht="22.5" spans="1:19">
      <c r="A5" s="51"/>
      <c r="B5" s="28"/>
      <c r="C5" s="28"/>
      <c r="D5" s="51"/>
      <c r="E5" s="51"/>
      <c r="F5" s="51"/>
      <c r="G5" s="51"/>
      <c r="H5" s="51"/>
      <c r="I5" s="51"/>
      <c r="J5" s="29"/>
      <c r="K5" s="29" t="s">
        <v>43</v>
      </c>
      <c r="L5" s="29" t="s">
        <v>44</v>
      </c>
      <c r="M5" s="29" t="s">
        <v>45</v>
      </c>
      <c r="N5" s="29"/>
      <c r="O5" s="42">
        <v>0.1</v>
      </c>
      <c r="P5" s="42">
        <v>0.09</v>
      </c>
      <c r="Q5" s="29"/>
      <c r="R5" s="29"/>
      <c r="S5" s="51"/>
    </row>
    <row r="6" s="46" customFormat="1" ht="22" customHeight="1" spans="1:19">
      <c r="A6" s="48" t="s">
        <v>7</v>
      </c>
      <c r="B6" s="62" t="s">
        <v>18</v>
      </c>
      <c r="C6" s="50"/>
      <c r="D6" s="48"/>
      <c r="E6" s="51"/>
      <c r="F6" s="51"/>
      <c r="G6" s="51"/>
      <c r="H6" s="51"/>
      <c r="I6" s="51"/>
      <c r="J6" s="56"/>
      <c r="K6" s="56"/>
      <c r="L6" s="56"/>
      <c r="M6" s="43"/>
      <c r="N6" s="56"/>
      <c r="O6" s="56"/>
      <c r="P6" s="56"/>
      <c r="Q6" s="56"/>
      <c r="R6" s="56"/>
      <c r="S6" s="58"/>
    </row>
    <row r="7" s="46" customFormat="1" ht="60" spans="1:19">
      <c r="A7" s="48">
        <v>1</v>
      </c>
      <c r="B7" s="50" t="s">
        <v>134</v>
      </c>
      <c r="C7" s="50" t="s">
        <v>135</v>
      </c>
      <c r="D7" s="48" t="s">
        <v>65</v>
      </c>
      <c r="E7" s="51">
        <f t="shared" ref="E7:E20" si="0">SUM(F7:I7)</f>
        <v>970.76</v>
      </c>
      <c r="F7" s="52">
        <v>266.3</v>
      </c>
      <c r="G7" s="52">
        <v>225.26</v>
      </c>
      <c r="H7" s="52">
        <v>247.2</v>
      </c>
      <c r="I7" s="52">
        <v>232</v>
      </c>
      <c r="J7" s="56">
        <v>4.73</v>
      </c>
      <c r="K7" s="38">
        <f t="shared" ref="K7:K14" si="1">L7*(1+M7)</f>
        <v>3.15</v>
      </c>
      <c r="L7" s="56">
        <v>3</v>
      </c>
      <c r="M7" s="44">
        <v>0.05</v>
      </c>
      <c r="N7" s="38">
        <v>1.41</v>
      </c>
      <c r="O7" s="38">
        <f>(J7+K7+N7)*$O$5</f>
        <v>0.929</v>
      </c>
      <c r="P7" s="38">
        <f>(J7+K7+N7+O7)*$P$5</f>
        <v>0.91971</v>
      </c>
      <c r="Q7" s="38">
        <f t="shared" ref="Q7:Q20" si="2">J7+K7+N7+O7+P7</f>
        <v>11.13871</v>
      </c>
      <c r="R7" s="29">
        <f t="shared" ref="R7:R20" si="3">E7*Q7</f>
        <v>10813.0141196</v>
      </c>
      <c r="S7" s="58"/>
    </row>
    <row r="8" s="46" customFormat="1" ht="43" customHeight="1" spans="1:19">
      <c r="A8" s="48">
        <v>2</v>
      </c>
      <c r="B8" s="53" t="s">
        <v>136</v>
      </c>
      <c r="C8" s="53" t="s">
        <v>137</v>
      </c>
      <c r="D8" s="48" t="s">
        <v>65</v>
      </c>
      <c r="E8" s="51">
        <f t="shared" si="0"/>
        <v>2912.28</v>
      </c>
      <c r="F8" s="52">
        <v>798.9</v>
      </c>
      <c r="G8" s="52">
        <v>675.78</v>
      </c>
      <c r="H8" s="52">
        <v>741.6</v>
      </c>
      <c r="I8" s="52">
        <v>696</v>
      </c>
      <c r="J8" s="56">
        <v>5</v>
      </c>
      <c r="K8" s="38">
        <f t="shared" si="1"/>
        <v>2.2</v>
      </c>
      <c r="L8" s="56">
        <v>2</v>
      </c>
      <c r="M8" s="44">
        <v>0.1</v>
      </c>
      <c r="N8" s="38">
        <v>0.5</v>
      </c>
      <c r="O8" s="38">
        <f>(J8+K8+N8)*$O$5</f>
        <v>0.77</v>
      </c>
      <c r="P8" s="38">
        <f>(J8+K8+N8+O8)*$P$5</f>
        <v>0.7623</v>
      </c>
      <c r="Q8" s="38">
        <f t="shared" si="2"/>
        <v>9.2323</v>
      </c>
      <c r="R8" s="29">
        <f t="shared" si="3"/>
        <v>26887.042644</v>
      </c>
      <c r="S8" s="58"/>
    </row>
    <row r="9" s="46" customFormat="1" ht="43" customHeight="1" spans="1:19">
      <c r="A9" s="48">
        <v>3</v>
      </c>
      <c r="B9" s="50" t="s">
        <v>138</v>
      </c>
      <c r="C9" s="50" t="s">
        <v>139</v>
      </c>
      <c r="D9" s="48" t="s">
        <v>70</v>
      </c>
      <c r="E9" s="51">
        <f t="shared" si="0"/>
        <v>80</v>
      </c>
      <c r="F9" s="52">
        <v>20</v>
      </c>
      <c r="G9" s="52">
        <v>20</v>
      </c>
      <c r="H9" s="52">
        <v>20</v>
      </c>
      <c r="I9" s="52">
        <v>20</v>
      </c>
      <c r="J9" s="56">
        <v>15</v>
      </c>
      <c r="K9" s="38">
        <f t="shared" si="1"/>
        <v>25</v>
      </c>
      <c r="L9" s="56">
        <v>25</v>
      </c>
      <c r="M9" s="44">
        <v>0</v>
      </c>
      <c r="N9" s="38">
        <v>12</v>
      </c>
      <c r="O9" s="38">
        <f>(J9+K9+N9)*$O$5</f>
        <v>5.2</v>
      </c>
      <c r="P9" s="38">
        <f>(J9+K9+N9+O9)*$P$5</f>
        <v>5.148</v>
      </c>
      <c r="Q9" s="38">
        <f t="shared" si="2"/>
        <v>62.348</v>
      </c>
      <c r="R9" s="29">
        <f t="shared" si="3"/>
        <v>4987.84</v>
      </c>
      <c r="S9" s="58"/>
    </row>
    <row r="10" s="46" customFormat="1" ht="57" customHeight="1" spans="1:19">
      <c r="A10" s="48">
        <v>4</v>
      </c>
      <c r="B10" s="50" t="s">
        <v>138</v>
      </c>
      <c r="C10" s="50" t="s">
        <v>158</v>
      </c>
      <c r="D10" s="48" t="s">
        <v>70</v>
      </c>
      <c r="E10" s="51">
        <f t="shared" si="0"/>
        <v>280</v>
      </c>
      <c r="F10" s="52">
        <v>80</v>
      </c>
      <c r="G10" s="52">
        <v>67</v>
      </c>
      <c r="H10" s="52">
        <v>67</v>
      </c>
      <c r="I10" s="52">
        <v>66</v>
      </c>
      <c r="J10" s="56">
        <v>15</v>
      </c>
      <c r="K10" s="38">
        <f t="shared" si="1"/>
        <v>25</v>
      </c>
      <c r="L10" s="56">
        <v>25</v>
      </c>
      <c r="M10" s="44">
        <v>0</v>
      </c>
      <c r="N10" s="38">
        <v>12</v>
      </c>
      <c r="O10" s="38">
        <f>(J10+K10+N10)*$O$5</f>
        <v>5.2</v>
      </c>
      <c r="P10" s="38">
        <f>(J10+K10+N10+O10)*$P$5</f>
        <v>5.148</v>
      </c>
      <c r="Q10" s="38">
        <f t="shared" si="2"/>
        <v>62.348</v>
      </c>
      <c r="R10" s="29">
        <f t="shared" si="3"/>
        <v>17457.44</v>
      </c>
      <c r="S10" s="58"/>
    </row>
    <row r="11" s="46" customFormat="1" ht="49" customHeight="1" spans="1:19">
      <c r="A11" s="48">
        <v>5</v>
      </c>
      <c r="B11" s="50" t="s">
        <v>141</v>
      </c>
      <c r="C11" s="50" t="s">
        <v>142</v>
      </c>
      <c r="D11" s="48" t="s">
        <v>70</v>
      </c>
      <c r="E11" s="51">
        <f t="shared" si="0"/>
        <v>6</v>
      </c>
      <c r="F11" s="52"/>
      <c r="G11" s="52">
        <v>2</v>
      </c>
      <c r="H11" s="52">
        <v>2</v>
      </c>
      <c r="I11" s="52">
        <v>2</v>
      </c>
      <c r="J11" s="56">
        <v>15</v>
      </c>
      <c r="K11" s="38">
        <f t="shared" si="1"/>
        <v>50</v>
      </c>
      <c r="L11" s="56">
        <v>50</v>
      </c>
      <c r="M11" s="44">
        <v>0</v>
      </c>
      <c r="N11" s="38">
        <v>8.5</v>
      </c>
      <c r="O11" s="38">
        <f>(J11+K11+N11)*$O$5</f>
        <v>7.35</v>
      </c>
      <c r="P11" s="38">
        <f>(J11+K11+N11+O11)*$P$5</f>
        <v>7.2765</v>
      </c>
      <c r="Q11" s="38">
        <f t="shared" si="2"/>
        <v>88.1265</v>
      </c>
      <c r="R11" s="29">
        <f t="shared" si="3"/>
        <v>528.759</v>
      </c>
      <c r="S11" s="58"/>
    </row>
    <row r="12" s="46" customFormat="1" ht="62" customHeight="1" spans="1:19">
      <c r="A12" s="48">
        <v>6</v>
      </c>
      <c r="B12" s="50" t="s">
        <v>138</v>
      </c>
      <c r="C12" s="50" t="s">
        <v>143</v>
      </c>
      <c r="D12" s="48" t="s">
        <v>65</v>
      </c>
      <c r="E12" s="51">
        <f t="shared" si="0"/>
        <v>125.64</v>
      </c>
      <c r="F12" s="52">
        <v>34.65</v>
      </c>
      <c r="G12" s="52">
        <v>30.24</v>
      </c>
      <c r="H12" s="52">
        <v>31.29</v>
      </c>
      <c r="I12" s="52">
        <v>29.46</v>
      </c>
      <c r="J12" s="56">
        <v>10</v>
      </c>
      <c r="K12" s="38">
        <f t="shared" si="1"/>
        <v>5.25</v>
      </c>
      <c r="L12" s="56">
        <v>5</v>
      </c>
      <c r="M12" s="44">
        <v>0.05</v>
      </c>
      <c r="N12" s="38">
        <v>7.5</v>
      </c>
      <c r="O12" s="38">
        <f>(J12+K12+N12)*$O$5</f>
        <v>2.275</v>
      </c>
      <c r="P12" s="38">
        <f>(J12+K12+N12+O12)*$P$5</f>
        <v>2.25225</v>
      </c>
      <c r="Q12" s="38">
        <f t="shared" si="2"/>
        <v>27.27725</v>
      </c>
      <c r="R12" s="29">
        <f t="shared" si="3"/>
        <v>3427.11369</v>
      </c>
      <c r="S12" s="58"/>
    </row>
    <row r="13" s="46" customFormat="1" ht="49" customHeight="1" spans="1:19">
      <c r="A13" s="48">
        <v>7</v>
      </c>
      <c r="B13" s="50" t="s">
        <v>138</v>
      </c>
      <c r="C13" s="53" t="s">
        <v>144</v>
      </c>
      <c r="D13" s="48" t="s">
        <v>70</v>
      </c>
      <c r="E13" s="51">
        <f t="shared" si="0"/>
        <v>2</v>
      </c>
      <c r="F13" s="52">
        <v>2</v>
      </c>
      <c r="G13" s="52"/>
      <c r="H13" s="52"/>
      <c r="I13" s="52"/>
      <c r="J13" s="56">
        <v>15</v>
      </c>
      <c r="K13" s="38">
        <f t="shared" si="1"/>
        <v>50</v>
      </c>
      <c r="L13" s="56">
        <v>50</v>
      </c>
      <c r="M13" s="44">
        <v>0</v>
      </c>
      <c r="N13" s="38">
        <v>12.5</v>
      </c>
      <c r="O13" s="38">
        <f>(J13+K13+N13)*$O$5</f>
        <v>7.75</v>
      </c>
      <c r="P13" s="38">
        <f>(J13+K13+N13+O13)*$P$5</f>
        <v>7.6725</v>
      </c>
      <c r="Q13" s="38">
        <f t="shared" si="2"/>
        <v>92.9225</v>
      </c>
      <c r="R13" s="29">
        <f t="shared" si="3"/>
        <v>185.845</v>
      </c>
      <c r="S13" s="58"/>
    </row>
    <row r="14" s="46" customFormat="1" ht="49" customHeight="1" spans="1:19">
      <c r="A14" s="48">
        <v>8</v>
      </c>
      <c r="B14" s="50" t="s">
        <v>141</v>
      </c>
      <c r="C14" s="53" t="s">
        <v>145</v>
      </c>
      <c r="D14" s="48" t="s">
        <v>70</v>
      </c>
      <c r="E14" s="51">
        <f t="shared" si="0"/>
        <v>29</v>
      </c>
      <c r="F14" s="52">
        <v>6</v>
      </c>
      <c r="G14" s="52">
        <v>12</v>
      </c>
      <c r="H14" s="52">
        <v>5</v>
      </c>
      <c r="I14" s="52">
        <v>6</v>
      </c>
      <c r="J14" s="56">
        <v>15</v>
      </c>
      <c r="K14" s="38">
        <f t="shared" si="1"/>
        <v>50</v>
      </c>
      <c r="L14" s="56">
        <v>50</v>
      </c>
      <c r="M14" s="44">
        <v>0</v>
      </c>
      <c r="N14" s="38">
        <v>12.5</v>
      </c>
      <c r="O14" s="38">
        <f>(J14+K14+N14)*$O$5</f>
        <v>7.75</v>
      </c>
      <c r="P14" s="38">
        <f>(J14+K14+N14+O14)*$P$5</f>
        <v>7.6725</v>
      </c>
      <c r="Q14" s="38">
        <f t="shared" si="2"/>
        <v>92.9225</v>
      </c>
      <c r="R14" s="29">
        <f t="shared" si="3"/>
        <v>2694.7525</v>
      </c>
      <c r="S14" s="58"/>
    </row>
    <row r="15" s="46" customFormat="1" ht="49" customHeight="1" spans="1:19">
      <c r="A15" s="48">
        <v>9</v>
      </c>
      <c r="B15" s="50" t="s">
        <v>138</v>
      </c>
      <c r="C15" s="53" t="s">
        <v>159</v>
      </c>
      <c r="D15" s="48" t="s">
        <v>70</v>
      </c>
      <c r="E15" s="51">
        <f t="shared" si="0"/>
        <v>6</v>
      </c>
      <c r="F15" s="52">
        <v>6</v>
      </c>
      <c r="G15" s="52"/>
      <c r="H15" s="52"/>
      <c r="I15" s="52"/>
      <c r="J15" s="56">
        <v>33</v>
      </c>
      <c r="K15" s="38">
        <f>(1+M15)*L15</f>
        <v>61.33</v>
      </c>
      <c r="L15" s="56">
        <v>61.33</v>
      </c>
      <c r="M15" s="44">
        <v>0</v>
      </c>
      <c r="N15" s="38">
        <v>5.46</v>
      </c>
      <c r="O15" s="38">
        <f>(J15+K15+N15)*$O$5</f>
        <v>9.979</v>
      </c>
      <c r="P15" s="38">
        <f>(J15+K15+N15+O15)*$P$5</f>
        <v>9.87921</v>
      </c>
      <c r="Q15" s="38">
        <f t="shared" si="2"/>
        <v>119.64821</v>
      </c>
      <c r="R15" s="29">
        <f t="shared" si="3"/>
        <v>717.88926</v>
      </c>
      <c r="S15" s="58"/>
    </row>
    <row r="16" s="46" customFormat="1" ht="49" customHeight="1" spans="1:19">
      <c r="A16" s="48">
        <v>10</v>
      </c>
      <c r="B16" s="50" t="s">
        <v>146</v>
      </c>
      <c r="C16" s="50" t="s">
        <v>147</v>
      </c>
      <c r="D16" s="48" t="s">
        <v>70</v>
      </c>
      <c r="E16" s="51">
        <f t="shared" si="0"/>
        <v>1</v>
      </c>
      <c r="F16" s="52"/>
      <c r="G16" s="52">
        <v>1</v>
      </c>
      <c r="H16" s="52"/>
      <c r="I16" s="52"/>
      <c r="J16" s="56">
        <v>12</v>
      </c>
      <c r="K16" s="38">
        <f t="shared" ref="K16:K20" si="4">L16*(1+M16)</f>
        <v>10</v>
      </c>
      <c r="L16" s="56">
        <v>10</v>
      </c>
      <c r="M16" s="44">
        <v>0</v>
      </c>
      <c r="N16" s="38">
        <v>2.5</v>
      </c>
      <c r="O16" s="38">
        <f>(J16+K16+N16)*$O$5</f>
        <v>2.45</v>
      </c>
      <c r="P16" s="38">
        <f>(J16+K16+N16+O16)*$P$5</f>
        <v>2.4255</v>
      </c>
      <c r="Q16" s="38">
        <f t="shared" si="2"/>
        <v>29.3755</v>
      </c>
      <c r="R16" s="29">
        <f t="shared" si="3"/>
        <v>29.3755</v>
      </c>
      <c r="S16" s="58"/>
    </row>
    <row r="17" s="46" customFormat="1" ht="49" customHeight="1" spans="1:19">
      <c r="A17" s="48">
        <v>11</v>
      </c>
      <c r="B17" s="50" t="s">
        <v>146</v>
      </c>
      <c r="C17" s="50" t="s">
        <v>149</v>
      </c>
      <c r="D17" s="48" t="s">
        <v>70</v>
      </c>
      <c r="E17" s="51">
        <f t="shared" si="0"/>
        <v>18</v>
      </c>
      <c r="F17" s="52">
        <v>5</v>
      </c>
      <c r="G17" s="52">
        <v>5</v>
      </c>
      <c r="H17" s="52">
        <v>4</v>
      </c>
      <c r="I17" s="52">
        <v>4</v>
      </c>
      <c r="J17" s="56">
        <v>12</v>
      </c>
      <c r="K17" s="38">
        <f t="shared" si="4"/>
        <v>10</v>
      </c>
      <c r="L17" s="56">
        <v>10</v>
      </c>
      <c r="M17" s="44">
        <v>0</v>
      </c>
      <c r="N17" s="38">
        <v>2.5</v>
      </c>
      <c r="O17" s="38">
        <f>(J17+K17+N17)*$O$5</f>
        <v>2.45</v>
      </c>
      <c r="P17" s="38">
        <f>(J17+K17+N17+O17)*$P$5</f>
        <v>2.4255</v>
      </c>
      <c r="Q17" s="38">
        <f t="shared" si="2"/>
        <v>29.3755</v>
      </c>
      <c r="R17" s="29">
        <f t="shared" si="3"/>
        <v>528.759</v>
      </c>
      <c r="S17" s="58"/>
    </row>
    <row r="18" s="46" customFormat="1" ht="49" customHeight="1" spans="1:19">
      <c r="A18" s="48">
        <v>12</v>
      </c>
      <c r="B18" s="50" t="s">
        <v>146</v>
      </c>
      <c r="C18" s="50" t="s">
        <v>151</v>
      </c>
      <c r="D18" s="48" t="s">
        <v>70</v>
      </c>
      <c r="E18" s="51">
        <f t="shared" si="0"/>
        <v>8</v>
      </c>
      <c r="F18" s="52">
        <v>2</v>
      </c>
      <c r="G18" s="52">
        <v>2</v>
      </c>
      <c r="H18" s="52">
        <v>2</v>
      </c>
      <c r="I18" s="52">
        <v>2</v>
      </c>
      <c r="J18" s="56">
        <v>12</v>
      </c>
      <c r="K18" s="38">
        <f t="shared" si="4"/>
        <v>10</v>
      </c>
      <c r="L18" s="56">
        <v>10</v>
      </c>
      <c r="M18" s="44">
        <v>0</v>
      </c>
      <c r="N18" s="38">
        <v>7.5</v>
      </c>
      <c r="O18" s="38">
        <f>(J18+K18+N18)*$O$5</f>
        <v>2.95</v>
      </c>
      <c r="P18" s="38">
        <f>(J18+K18+N18+O18)*$P$5</f>
        <v>2.9205</v>
      </c>
      <c r="Q18" s="38">
        <f t="shared" si="2"/>
        <v>35.3705</v>
      </c>
      <c r="R18" s="29">
        <f t="shared" si="3"/>
        <v>282.964</v>
      </c>
      <c r="S18" s="58"/>
    </row>
    <row r="19" s="46" customFormat="1" ht="49" customHeight="1" spans="1:19">
      <c r="A19" s="48">
        <v>13</v>
      </c>
      <c r="B19" s="50" t="s">
        <v>152</v>
      </c>
      <c r="C19" s="50" t="s">
        <v>153</v>
      </c>
      <c r="D19" s="48" t="s">
        <v>70</v>
      </c>
      <c r="E19" s="51">
        <f t="shared" si="0"/>
        <v>403</v>
      </c>
      <c r="F19" s="52">
        <f t="shared" ref="F19:I19" si="5">F10+F13+F14+F15+F11+F9</f>
        <v>114</v>
      </c>
      <c r="G19" s="52">
        <f t="shared" si="5"/>
        <v>101</v>
      </c>
      <c r="H19" s="52">
        <f t="shared" si="5"/>
        <v>94</v>
      </c>
      <c r="I19" s="52">
        <f t="shared" si="5"/>
        <v>94</v>
      </c>
      <c r="J19" s="56">
        <v>2.88</v>
      </c>
      <c r="K19" s="38">
        <f t="shared" si="4"/>
        <v>1.54</v>
      </c>
      <c r="L19" s="56">
        <v>1.54</v>
      </c>
      <c r="M19" s="44">
        <v>0</v>
      </c>
      <c r="N19" s="38">
        <v>2.58</v>
      </c>
      <c r="O19" s="38">
        <f>(J19+K19+N19)*$O$5</f>
        <v>0.7</v>
      </c>
      <c r="P19" s="38">
        <f>(J19+K19+N19+O19)*$P$5</f>
        <v>0.693</v>
      </c>
      <c r="Q19" s="38">
        <f t="shared" si="2"/>
        <v>8.393</v>
      </c>
      <c r="R19" s="29">
        <f t="shared" si="3"/>
        <v>3382.379</v>
      </c>
      <c r="S19" s="58"/>
    </row>
    <row r="20" s="46" customFormat="1" ht="49" customHeight="1" spans="1:19">
      <c r="A20" s="48">
        <v>14</v>
      </c>
      <c r="B20" s="50" t="s">
        <v>152</v>
      </c>
      <c r="C20" s="50" t="s">
        <v>154</v>
      </c>
      <c r="D20" s="48" t="s">
        <v>70</v>
      </c>
      <c r="E20" s="51">
        <f t="shared" si="0"/>
        <v>27</v>
      </c>
      <c r="F20" s="52">
        <f t="shared" ref="F20:I20" si="6">F16+F17+F18</f>
        <v>7</v>
      </c>
      <c r="G20" s="52">
        <f t="shared" si="6"/>
        <v>8</v>
      </c>
      <c r="H20" s="52">
        <f t="shared" si="6"/>
        <v>6</v>
      </c>
      <c r="I20" s="52">
        <f t="shared" si="6"/>
        <v>6</v>
      </c>
      <c r="J20" s="56">
        <v>2.88</v>
      </c>
      <c r="K20" s="38">
        <f t="shared" si="4"/>
        <v>1.5</v>
      </c>
      <c r="L20" s="56">
        <v>1.5</v>
      </c>
      <c r="M20" s="44">
        <v>0</v>
      </c>
      <c r="N20" s="38">
        <v>2.58</v>
      </c>
      <c r="O20" s="38">
        <f>(J20+K20+N20)*$O$5</f>
        <v>0.696</v>
      </c>
      <c r="P20" s="38">
        <f>(J20+K20+N20+O20)*$P$5</f>
        <v>0.68904</v>
      </c>
      <c r="Q20" s="38">
        <f t="shared" si="2"/>
        <v>8.34504</v>
      </c>
      <c r="R20" s="29">
        <f t="shared" si="3"/>
        <v>225.31608</v>
      </c>
      <c r="S20" s="58"/>
    </row>
    <row r="21" s="46" customFormat="1" ht="22" customHeight="1" spans="1:19">
      <c r="A21" s="48" t="s">
        <v>16</v>
      </c>
      <c r="B21" s="62" t="s">
        <v>160</v>
      </c>
      <c r="C21" s="50"/>
      <c r="D21" s="48"/>
      <c r="E21" s="51"/>
      <c r="F21" s="51"/>
      <c r="G21" s="51"/>
      <c r="H21" s="51"/>
      <c r="I21" s="51"/>
      <c r="J21" s="56"/>
      <c r="K21" s="56"/>
      <c r="L21" s="56"/>
      <c r="M21" s="42"/>
      <c r="N21" s="56"/>
      <c r="O21" s="56"/>
      <c r="P21" s="56"/>
      <c r="Q21" s="56"/>
      <c r="R21" s="56"/>
      <c r="S21" s="58"/>
    </row>
    <row r="22" s="46" customFormat="1" ht="62" customHeight="1" spans="1:19">
      <c r="A22" s="48">
        <v>1</v>
      </c>
      <c r="B22" s="50" t="s">
        <v>134</v>
      </c>
      <c r="C22" s="50" t="s">
        <v>161</v>
      </c>
      <c r="D22" s="48" t="s">
        <v>65</v>
      </c>
      <c r="E22" s="51">
        <f t="shared" ref="E22:E25" si="7">SUM(F22:I22)</f>
        <v>200</v>
      </c>
      <c r="F22" s="51">
        <v>200</v>
      </c>
      <c r="G22" s="51">
        <v>0</v>
      </c>
      <c r="H22" s="51">
        <v>0</v>
      </c>
      <c r="I22" s="51">
        <v>0</v>
      </c>
      <c r="J22" s="56">
        <v>6.73</v>
      </c>
      <c r="K22" s="38">
        <f>L22*(1+M22)</f>
        <v>4.725</v>
      </c>
      <c r="L22" s="56">
        <v>4.5</v>
      </c>
      <c r="M22" s="44">
        <v>0.05</v>
      </c>
      <c r="N22" s="38">
        <v>0.41</v>
      </c>
      <c r="O22" s="38">
        <f>(J22+K22+N22)*$O$5</f>
        <v>1.1865</v>
      </c>
      <c r="P22" s="38">
        <f>(J22+K22+N22+O22)*$P$5</f>
        <v>1.174635</v>
      </c>
      <c r="Q22" s="29">
        <f t="shared" ref="Q22:Q25" si="8">J22+K22+N22+O22+P22</f>
        <v>14.226135</v>
      </c>
      <c r="R22" s="29">
        <f t="shared" ref="R22:R25" si="9">E22*Q22</f>
        <v>2845.227</v>
      </c>
      <c r="S22" s="58"/>
    </row>
    <row r="23" s="46" customFormat="1" ht="49" customHeight="1" spans="1:19">
      <c r="A23" s="48">
        <v>2</v>
      </c>
      <c r="B23" s="50" t="s">
        <v>136</v>
      </c>
      <c r="C23" s="50" t="s">
        <v>162</v>
      </c>
      <c r="D23" s="48" t="s">
        <v>65</v>
      </c>
      <c r="E23" s="51">
        <f t="shared" si="7"/>
        <v>228.4</v>
      </c>
      <c r="F23" s="52">
        <f>14+14.4+200</f>
        <v>228.4</v>
      </c>
      <c r="G23" s="51">
        <v>0</v>
      </c>
      <c r="H23" s="51">
        <v>0</v>
      </c>
      <c r="I23" s="51">
        <v>0</v>
      </c>
      <c r="J23" s="56">
        <v>1.5</v>
      </c>
      <c r="K23" s="38">
        <f>L23*(1+M23)</f>
        <v>3.48</v>
      </c>
      <c r="L23" s="56">
        <v>3</v>
      </c>
      <c r="M23" s="44">
        <v>0.16</v>
      </c>
      <c r="N23" s="38">
        <v>0.2</v>
      </c>
      <c r="O23" s="38">
        <f>(J23+K23+N23)*$O$5</f>
        <v>0.518</v>
      </c>
      <c r="P23" s="38">
        <f>(J23+K23+N23+O23)*$P$5</f>
        <v>0.51282</v>
      </c>
      <c r="Q23" s="29">
        <f t="shared" si="8"/>
        <v>6.21082</v>
      </c>
      <c r="R23" s="29">
        <f t="shared" si="9"/>
        <v>1418.551288</v>
      </c>
      <c r="S23" s="58"/>
    </row>
    <row r="24" s="46" customFormat="1" ht="49" customHeight="1" spans="1:19">
      <c r="A24" s="48">
        <v>3</v>
      </c>
      <c r="B24" s="50" t="s">
        <v>136</v>
      </c>
      <c r="C24" s="50" t="s">
        <v>163</v>
      </c>
      <c r="D24" s="48" t="s">
        <v>65</v>
      </c>
      <c r="E24" s="51">
        <f t="shared" si="7"/>
        <v>224.4</v>
      </c>
      <c r="F24" s="52">
        <f>10+14.4+200</f>
        <v>224.4</v>
      </c>
      <c r="G24" s="51">
        <v>0</v>
      </c>
      <c r="H24" s="51">
        <v>0</v>
      </c>
      <c r="I24" s="51">
        <v>0</v>
      </c>
      <c r="J24" s="56">
        <v>1.12</v>
      </c>
      <c r="K24" s="38">
        <f>(1+M24)*L24</f>
        <v>3.6308</v>
      </c>
      <c r="L24" s="56">
        <v>3.13</v>
      </c>
      <c r="M24" s="44">
        <v>0.16</v>
      </c>
      <c r="N24" s="38">
        <v>0.1</v>
      </c>
      <c r="O24" s="38">
        <f>(J24+K24+N24)*$O$5</f>
        <v>0.48508</v>
      </c>
      <c r="P24" s="38">
        <f>(J24+K24+N24+O24)*$P$5</f>
        <v>0.4802292</v>
      </c>
      <c r="Q24" s="29">
        <f t="shared" si="8"/>
        <v>5.8161092</v>
      </c>
      <c r="R24" s="29">
        <f t="shared" si="9"/>
        <v>1305.13490448</v>
      </c>
      <c r="S24" s="58"/>
    </row>
    <row r="25" s="46" customFormat="1" ht="49" customHeight="1" spans="1:19">
      <c r="A25" s="48">
        <v>4</v>
      </c>
      <c r="B25" s="50" t="s">
        <v>164</v>
      </c>
      <c r="C25" s="50" t="s">
        <v>165</v>
      </c>
      <c r="D25" s="48" t="s">
        <v>70</v>
      </c>
      <c r="E25" s="51">
        <f t="shared" si="7"/>
        <v>2</v>
      </c>
      <c r="F25" s="52">
        <v>2</v>
      </c>
      <c r="G25" s="51">
        <v>0</v>
      </c>
      <c r="H25" s="51">
        <v>0</v>
      </c>
      <c r="I25" s="51">
        <v>0</v>
      </c>
      <c r="J25" s="56">
        <v>74.48</v>
      </c>
      <c r="K25" s="38">
        <f>(1+M25)*L25</f>
        <v>530</v>
      </c>
      <c r="L25" s="56">
        <v>530</v>
      </c>
      <c r="M25" s="44">
        <v>0</v>
      </c>
      <c r="N25" s="38">
        <v>8.16</v>
      </c>
      <c r="O25" s="38">
        <f>(J25+K25+N25)*$O$5</f>
        <v>61.264</v>
      </c>
      <c r="P25" s="38">
        <f>(J25+K25+N25+O25)*$P$5</f>
        <v>60.65136</v>
      </c>
      <c r="Q25" s="29">
        <f t="shared" si="8"/>
        <v>734.55536</v>
      </c>
      <c r="R25" s="29">
        <f t="shared" si="9"/>
        <v>1469.11072</v>
      </c>
      <c r="S25" s="58"/>
    </row>
    <row r="26" s="47" customFormat="1" ht="21" customHeight="1" spans="1:19">
      <c r="A26" s="54" t="s">
        <v>19</v>
      </c>
      <c r="B26" s="55" t="s">
        <v>155</v>
      </c>
      <c r="C26" s="55"/>
      <c r="D26" s="54"/>
      <c r="E26" s="54"/>
      <c r="F26" s="54"/>
      <c r="G26" s="54"/>
      <c r="H26" s="54"/>
      <c r="I26" s="54"/>
      <c r="J26" s="57"/>
      <c r="K26" s="57"/>
      <c r="L26" s="56"/>
      <c r="M26" s="57"/>
      <c r="N26" s="57"/>
      <c r="O26" s="57"/>
      <c r="P26" s="57"/>
      <c r="Q26" s="57"/>
      <c r="R26" s="57">
        <f>SUM(R7:R25)</f>
        <v>79186.51370608</v>
      </c>
      <c r="S26" s="59"/>
    </row>
    <row r="27" s="46" customFormat="1" ht="36" customHeight="1" spans="1:22">
      <c r="A27" s="34" t="s">
        <v>97</v>
      </c>
      <c r="B27" s="34"/>
      <c r="C27" s="34"/>
      <c r="D27" s="40"/>
      <c r="E27" s="40"/>
      <c r="F27" s="40"/>
      <c r="G27" s="40"/>
      <c r="H27" s="40"/>
      <c r="I27" s="34"/>
      <c r="J27" s="40"/>
      <c r="K27" s="40"/>
      <c r="L27" s="40"/>
      <c r="M27" s="40"/>
      <c r="N27" s="40"/>
      <c r="O27" s="40"/>
      <c r="P27" s="40"/>
      <c r="Q27" s="40"/>
      <c r="R27" s="40"/>
      <c r="S27" s="41"/>
      <c r="T27" s="45"/>
      <c r="U27" s="45"/>
      <c r="V27" s="45"/>
    </row>
    <row r="28" s="46" customFormat="1" ht="12" spans="1:22">
      <c r="A28" s="60"/>
      <c r="B28" s="45"/>
      <c r="C28" s="45"/>
      <c r="D28" s="60"/>
      <c r="E28" s="60"/>
      <c r="F28" s="60"/>
      <c r="G28" s="60"/>
      <c r="H28" s="60"/>
      <c r="I28" s="60"/>
      <c r="J28" s="61"/>
      <c r="K28" s="61"/>
      <c r="L28" s="61"/>
      <c r="M28" s="61"/>
      <c r="N28" s="61"/>
      <c r="O28" s="61"/>
      <c r="P28" s="61"/>
      <c r="Q28" s="61"/>
      <c r="R28" s="61"/>
      <c r="S28" s="41"/>
      <c r="T28" s="45"/>
      <c r="U28" s="45"/>
      <c r="V28" s="45"/>
    </row>
    <row r="29" s="46" customFormat="1" ht="12" spans="1:22">
      <c r="A29" s="60"/>
      <c r="B29" s="45"/>
      <c r="C29" s="45"/>
      <c r="D29" s="60"/>
      <c r="E29" s="60"/>
      <c r="F29" s="60"/>
      <c r="G29" s="60"/>
      <c r="H29" s="60"/>
      <c r="I29" s="60"/>
      <c r="J29" s="61"/>
      <c r="K29" s="61"/>
      <c r="L29" s="61"/>
      <c r="M29" s="61"/>
      <c r="N29" s="61"/>
      <c r="O29" s="61"/>
      <c r="P29" s="61"/>
      <c r="Q29" s="61"/>
      <c r="R29" s="61"/>
      <c r="S29" s="41"/>
      <c r="T29" s="45"/>
      <c r="U29" s="45"/>
      <c r="V29" s="45"/>
    </row>
    <row r="30" s="46" customFormat="1" ht="12" spans="1:22">
      <c r="A30" s="60"/>
      <c r="B30" s="45"/>
      <c r="C30" s="45"/>
      <c r="D30" s="60"/>
      <c r="E30" s="60"/>
      <c r="F30" s="60"/>
      <c r="G30" s="60"/>
      <c r="H30" s="60"/>
      <c r="I30" s="60"/>
      <c r="J30" s="61"/>
      <c r="K30" s="61"/>
      <c r="L30" s="61"/>
      <c r="M30" s="61"/>
      <c r="N30" s="61"/>
      <c r="O30" s="61"/>
      <c r="P30" s="61"/>
      <c r="Q30" s="61"/>
      <c r="R30" s="61"/>
      <c r="S30" s="41"/>
      <c r="T30" s="45"/>
      <c r="U30" s="45"/>
      <c r="V30" s="45"/>
    </row>
    <row r="31" s="46" customFormat="1" ht="12" spans="1:22">
      <c r="A31" s="60"/>
      <c r="B31" s="45"/>
      <c r="C31" s="45"/>
      <c r="D31" s="60"/>
      <c r="E31" s="60"/>
      <c r="F31" s="60"/>
      <c r="G31" s="60"/>
      <c r="H31" s="60"/>
      <c r="I31" s="60"/>
      <c r="J31" s="61"/>
      <c r="K31" s="61"/>
      <c r="L31" s="61"/>
      <c r="M31" s="61"/>
      <c r="N31" s="61"/>
      <c r="O31" s="61"/>
      <c r="P31" s="61"/>
      <c r="Q31" s="61"/>
      <c r="R31" s="61"/>
      <c r="S31" s="41"/>
      <c r="T31" s="45"/>
      <c r="U31" s="45"/>
      <c r="V31" s="45"/>
    </row>
    <row r="32" s="46" customFormat="1" ht="12" spans="1:22">
      <c r="A32" s="60"/>
      <c r="B32" s="45"/>
      <c r="C32" s="45"/>
      <c r="D32" s="60"/>
      <c r="E32" s="60"/>
      <c r="F32" s="60"/>
      <c r="G32" s="60"/>
      <c r="H32" s="60"/>
      <c r="I32" s="60"/>
      <c r="J32" s="61"/>
      <c r="K32" s="61"/>
      <c r="L32" s="61"/>
      <c r="M32" s="61"/>
      <c r="N32" s="61"/>
      <c r="O32" s="61"/>
      <c r="P32" s="61"/>
      <c r="Q32" s="61"/>
      <c r="R32" s="61"/>
      <c r="S32" s="41"/>
      <c r="T32" s="45"/>
      <c r="U32" s="45"/>
      <c r="V32" s="45"/>
    </row>
    <row r="33" s="46" customFormat="1" ht="12" spans="1:22">
      <c r="A33" s="60"/>
      <c r="B33" s="45"/>
      <c r="C33" s="45"/>
      <c r="D33" s="60"/>
      <c r="E33" s="60"/>
      <c r="F33" s="60"/>
      <c r="G33" s="60"/>
      <c r="H33" s="60"/>
      <c r="I33" s="60"/>
      <c r="J33" s="61"/>
      <c r="K33" s="61"/>
      <c r="L33" s="61"/>
      <c r="M33" s="61"/>
      <c r="N33" s="61"/>
      <c r="O33" s="61"/>
      <c r="P33" s="61"/>
      <c r="Q33" s="61"/>
      <c r="R33" s="61"/>
      <c r="S33" s="41"/>
      <c r="T33" s="45"/>
      <c r="U33" s="45"/>
      <c r="V33" s="45"/>
    </row>
    <row r="34" s="46" customFormat="1" ht="12" spans="1:22">
      <c r="A34" s="60"/>
      <c r="B34" s="45"/>
      <c r="C34" s="45"/>
      <c r="D34" s="60"/>
      <c r="E34" s="60"/>
      <c r="F34" s="60"/>
      <c r="G34" s="60"/>
      <c r="H34" s="60"/>
      <c r="I34" s="60"/>
      <c r="J34" s="61"/>
      <c r="K34" s="61"/>
      <c r="L34" s="61"/>
      <c r="M34" s="61"/>
      <c r="N34" s="61"/>
      <c r="O34" s="61"/>
      <c r="P34" s="61"/>
      <c r="Q34" s="61"/>
      <c r="R34" s="61"/>
      <c r="S34" s="41"/>
      <c r="T34" s="45"/>
      <c r="U34" s="45"/>
      <c r="V34" s="45"/>
    </row>
    <row r="35" s="46" customFormat="1" ht="12" spans="1:22">
      <c r="A35" s="60"/>
      <c r="B35" s="45"/>
      <c r="C35" s="45"/>
      <c r="D35" s="60"/>
      <c r="E35" s="60"/>
      <c r="F35" s="60"/>
      <c r="G35" s="60"/>
      <c r="H35" s="60"/>
      <c r="I35" s="60"/>
      <c r="J35" s="61"/>
      <c r="K35" s="61"/>
      <c r="L35" s="61"/>
      <c r="M35" s="61"/>
      <c r="N35" s="61"/>
      <c r="O35" s="61"/>
      <c r="P35" s="61"/>
      <c r="Q35" s="61"/>
      <c r="R35" s="61"/>
      <c r="S35" s="41"/>
      <c r="T35" s="45"/>
      <c r="U35" s="45"/>
      <c r="V35" s="45"/>
    </row>
    <row r="36" s="46" customFormat="1" ht="12" spans="1:22">
      <c r="A36" s="60"/>
      <c r="B36" s="45"/>
      <c r="C36" s="45"/>
      <c r="D36" s="60"/>
      <c r="E36" s="60"/>
      <c r="F36" s="60"/>
      <c r="G36" s="60"/>
      <c r="H36" s="60"/>
      <c r="I36" s="60"/>
      <c r="J36" s="61"/>
      <c r="K36" s="61"/>
      <c r="L36" s="61"/>
      <c r="M36" s="61"/>
      <c r="N36" s="61"/>
      <c r="O36" s="61"/>
      <c r="P36" s="61"/>
      <c r="Q36" s="61"/>
      <c r="R36" s="61"/>
      <c r="S36" s="41"/>
      <c r="T36" s="45"/>
      <c r="U36" s="45"/>
      <c r="V36" s="45"/>
    </row>
    <row r="37" s="46" customFormat="1" ht="12" spans="1:22">
      <c r="A37" s="60"/>
      <c r="B37" s="45"/>
      <c r="C37" s="45"/>
      <c r="D37" s="60"/>
      <c r="E37" s="60"/>
      <c r="F37" s="60"/>
      <c r="G37" s="60"/>
      <c r="H37" s="60"/>
      <c r="I37" s="60"/>
      <c r="J37" s="61"/>
      <c r="K37" s="61"/>
      <c r="L37" s="61"/>
      <c r="M37" s="61"/>
      <c r="N37" s="61"/>
      <c r="O37" s="61"/>
      <c r="P37" s="61"/>
      <c r="Q37" s="61"/>
      <c r="R37" s="61"/>
      <c r="S37" s="41"/>
      <c r="T37" s="45"/>
      <c r="U37" s="45"/>
      <c r="V37" s="45"/>
    </row>
    <row r="38" s="47" customFormat="1" spans="1:22">
      <c r="A38" s="60"/>
      <c r="B38" s="45"/>
      <c r="C38" s="45"/>
      <c r="D38" s="60"/>
      <c r="E38" s="60"/>
      <c r="F38" s="60"/>
      <c r="G38" s="60"/>
      <c r="H38" s="60"/>
      <c r="I38" s="60"/>
      <c r="J38" s="61"/>
      <c r="K38" s="61"/>
      <c r="L38" s="61"/>
      <c r="M38" s="61"/>
      <c r="N38" s="61"/>
      <c r="O38" s="61"/>
      <c r="P38" s="61"/>
      <c r="Q38" s="61"/>
      <c r="R38" s="61"/>
      <c r="S38" s="41"/>
      <c r="T38" s="45"/>
      <c r="U38" s="45"/>
      <c r="V38" s="45"/>
    </row>
  </sheetData>
  <mergeCells count="21">
    <mergeCell ref="A1:S1"/>
    <mergeCell ref="A2:J2"/>
    <mergeCell ref="K2:Q2"/>
    <mergeCell ref="R2:S2"/>
    <mergeCell ref="J3:P3"/>
    <mergeCell ref="B26:C26"/>
    <mergeCell ref="A27:R27"/>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1388888888889" right="0.66875" top="0.786805555555556" bottom="0.5" header="0.5" footer="0.5"/>
  <pageSetup paperSize="9" scale="8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7"/>
  <sheetViews>
    <sheetView view="pageBreakPreview" zoomScaleNormal="100" topLeftCell="A11" workbookViewId="0">
      <selection activeCell="L15" sqref="L15"/>
    </sheetView>
  </sheetViews>
  <sheetFormatPr defaultColWidth="9" defaultRowHeight="11.25"/>
  <cols>
    <col min="1" max="1" width="5.28571428571429" style="20" customWidth="1"/>
    <col min="2" max="2" width="12.8571428571429" style="20" customWidth="1"/>
    <col min="3" max="3" width="31.1333333333333" style="20" customWidth="1"/>
    <col min="4" max="4" width="6.42857142857143" style="20" customWidth="1"/>
    <col min="5" max="5" width="9.16190476190476" style="22" customWidth="1"/>
    <col min="6" max="9" width="9.16190476190476" style="22" hidden="1" customWidth="1" outlineLevel="1"/>
    <col min="10" max="10" width="7.28571428571429" style="22" customWidth="1" collapsed="1"/>
    <col min="11" max="11" width="11.0857142857143" style="22" customWidth="1"/>
    <col min="12" max="12" width="7.37142857142857" style="22" customWidth="1"/>
    <col min="13" max="13" width="5.85714285714286" style="22" customWidth="1"/>
    <col min="14" max="14" width="8.69523809523809" style="22" customWidth="1"/>
    <col min="15" max="15" width="8.57142857142857" style="22" customWidth="1"/>
    <col min="16" max="16" width="9.78095238095238" style="22" customWidth="1"/>
    <col min="17" max="17" width="10.1142857142857" style="22" customWidth="1"/>
    <col min="18" max="18" width="11.1714285714286" style="22" customWidth="1"/>
    <col min="19" max="19" width="8.57142857142857" style="20" customWidth="1"/>
    <col min="20" max="20" width="12.2857142857143" style="23" customWidth="1"/>
    <col min="21" max="22" width="11" style="20"/>
    <col min="23" max="16384" width="9" style="20"/>
  </cols>
  <sheetData>
    <row r="1" s="19" customFormat="1" ht="25.5" spans="1:24">
      <c r="A1" s="24" t="s">
        <v>166</v>
      </c>
      <c r="B1" s="24"/>
      <c r="C1" s="24"/>
      <c r="D1" s="24"/>
      <c r="E1" s="25"/>
      <c r="F1" s="25"/>
      <c r="G1" s="25"/>
      <c r="H1" s="25"/>
      <c r="I1" s="25"/>
      <c r="J1" s="25"/>
      <c r="K1" s="25"/>
      <c r="L1" s="25"/>
      <c r="M1" s="25"/>
      <c r="N1" s="25"/>
      <c r="O1" s="25"/>
      <c r="P1" s="25"/>
      <c r="Q1" s="25"/>
      <c r="R1" s="25"/>
      <c r="S1" s="24"/>
      <c r="T1" s="41"/>
      <c r="U1" s="45"/>
      <c r="V1" s="45"/>
      <c r="W1" s="45"/>
      <c r="X1" s="45"/>
    </row>
    <row r="2" s="19" customFormat="1" spans="1:24">
      <c r="A2" s="26" t="s">
        <v>167</v>
      </c>
      <c r="B2" s="26"/>
      <c r="C2" s="26"/>
      <c r="D2" s="26"/>
      <c r="E2" s="36"/>
      <c r="F2" s="36"/>
      <c r="G2" s="36"/>
      <c r="H2" s="36"/>
      <c r="I2" s="36"/>
      <c r="J2" s="36"/>
      <c r="K2" s="36"/>
      <c r="L2" s="36"/>
      <c r="M2" s="36"/>
      <c r="N2" s="36"/>
      <c r="O2" s="36"/>
      <c r="P2" s="36"/>
      <c r="Q2" s="36"/>
      <c r="R2" s="36"/>
      <c r="S2" s="26"/>
      <c r="T2" s="41"/>
      <c r="U2" s="45"/>
      <c r="V2" s="45"/>
      <c r="W2" s="45"/>
      <c r="X2" s="45"/>
    </row>
    <row r="3" s="19" customFormat="1" spans="1:24">
      <c r="A3" s="28" t="s">
        <v>24</v>
      </c>
      <c r="B3" s="28" t="s">
        <v>25</v>
      </c>
      <c r="C3" s="28" t="s">
        <v>26</v>
      </c>
      <c r="D3" s="28" t="s">
        <v>3</v>
      </c>
      <c r="E3" s="37" t="s">
        <v>27</v>
      </c>
      <c r="F3" s="30" t="s">
        <v>28</v>
      </c>
      <c r="G3" s="30" t="s">
        <v>29</v>
      </c>
      <c r="H3" s="30" t="s">
        <v>30</v>
      </c>
      <c r="I3" s="30" t="s">
        <v>31</v>
      </c>
      <c r="J3" s="37" t="s">
        <v>32</v>
      </c>
      <c r="K3" s="37"/>
      <c r="L3" s="37"/>
      <c r="M3" s="37"/>
      <c r="N3" s="37"/>
      <c r="O3" s="37"/>
      <c r="P3" s="37"/>
      <c r="Q3" s="37" t="s">
        <v>33</v>
      </c>
      <c r="R3" s="37" t="s">
        <v>34</v>
      </c>
      <c r="S3" s="28" t="s">
        <v>35</v>
      </c>
      <c r="T3" s="41"/>
      <c r="U3" s="45"/>
      <c r="V3" s="45"/>
      <c r="W3" s="45"/>
      <c r="X3" s="45"/>
    </row>
    <row r="4" s="19" customFormat="1" ht="45" spans="1:24">
      <c r="A4" s="28"/>
      <c r="B4" s="28"/>
      <c r="C4" s="28"/>
      <c r="D4" s="28"/>
      <c r="E4" s="37"/>
      <c r="F4" s="31"/>
      <c r="G4" s="31"/>
      <c r="H4" s="31"/>
      <c r="I4" s="31"/>
      <c r="J4" s="37" t="s">
        <v>36</v>
      </c>
      <c r="K4" s="37" t="s">
        <v>37</v>
      </c>
      <c r="L4" s="37" t="s">
        <v>38</v>
      </c>
      <c r="M4" s="37" t="s">
        <v>39</v>
      </c>
      <c r="N4" s="37" t="s">
        <v>40</v>
      </c>
      <c r="O4" s="37" t="s">
        <v>41</v>
      </c>
      <c r="P4" s="37" t="s">
        <v>42</v>
      </c>
      <c r="Q4" s="37"/>
      <c r="R4" s="37"/>
      <c r="S4" s="28"/>
      <c r="T4" s="41"/>
      <c r="U4" s="45"/>
      <c r="V4" s="45"/>
      <c r="W4" s="45"/>
      <c r="X4" s="45"/>
    </row>
    <row r="5" s="19" customFormat="1" spans="1:24">
      <c r="A5" s="28"/>
      <c r="B5" s="28"/>
      <c r="C5" s="28"/>
      <c r="D5" s="28"/>
      <c r="E5" s="37"/>
      <c r="F5" s="37"/>
      <c r="G5" s="37"/>
      <c r="H5" s="37"/>
      <c r="I5" s="37"/>
      <c r="J5" s="37"/>
      <c r="K5" s="37" t="s">
        <v>43</v>
      </c>
      <c r="L5" s="37" t="s">
        <v>44</v>
      </c>
      <c r="M5" s="37" t="s">
        <v>45</v>
      </c>
      <c r="N5" s="37"/>
      <c r="O5" s="42">
        <v>0.1</v>
      </c>
      <c r="P5" s="42">
        <v>0.09</v>
      </c>
      <c r="Q5" s="37"/>
      <c r="R5" s="37"/>
      <c r="S5" s="28"/>
      <c r="T5" s="41"/>
      <c r="U5" s="45"/>
      <c r="V5" s="45"/>
      <c r="W5" s="45"/>
      <c r="X5" s="45"/>
    </row>
    <row r="6" s="46" customFormat="1" ht="22" customHeight="1" spans="1:19">
      <c r="A6" s="48" t="s">
        <v>7</v>
      </c>
      <c r="B6" s="49" t="s">
        <v>168</v>
      </c>
      <c r="C6" s="50"/>
      <c r="D6" s="48"/>
      <c r="E6" s="51"/>
      <c r="F6" s="51"/>
      <c r="G6" s="51"/>
      <c r="H6" s="51"/>
      <c r="I6" s="51"/>
      <c r="J6" s="56"/>
      <c r="K6" s="56"/>
      <c r="L6" s="56"/>
      <c r="M6" s="43"/>
      <c r="N6" s="56"/>
      <c r="O6" s="56"/>
      <c r="P6" s="56"/>
      <c r="Q6" s="56"/>
      <c r="R6" s="56"/>
      <c r="S6" s="58"/>
    </row>
    <row r="7" s="46" customFormat="1" ht="72" spans="1:19">
      <c r="A7" s="48">
        <v>1</v>
      </c>
      <c r="B7" s="50" t="s">
        <v>134</v>
      </c>
      <c r="C7" s="50" t="s">
        <v>135</v>
      </c>
      <c r="D7" s="48" t="s">
        <v>65</v>
      </c>
      <c r="E7" s="51">
        <f t="shared" ref="E7:E16" si="0">SUM(F7:I7)</f>
        <v>69.49</v>
      </c>
      <c r="F7" s="29">
        <v>0</v>
      </c>
      <c r="G7" s="52">
        <f>14.19+40.1+(3.5-1.5)+(3.5-1.3)*6</f>
        <v>69.49</v>
      </c>
      <c r="H7" s="29">
        <v>0</v>
      </c>
      <c r="I7" s="29">
        <v>0</v>
      </c>
      <c r="J7" s="56">
        <v>6.73</v>
      </c>
      <c r="K7" s="38">
        <f t="shared" ref="K7:K10" si="1">L7*(1+M7)</f>
        <v>4.725</v>
      </c>
      <c r="L7" s="56">
        <v>4.5</v>
      </c>
      <c r="M7" s="44">
        <v>0.05</v>
      </c>
      <c r="N7" s="38">
        <v>1.41</v>
      </c>
      <c r="O7" s="38">
        <f>(J7+K7+N7)*$O$5</f>
        <v>1.2865</v>
      </c>
      <c r="P7" s="38">
        <f>(J7+K7+N7+O7)*$P$5</f>
        <v>1.273635</v>
      </c>
      <c r="Q7" s="38">
        <f t="shared" ref="Q7:Q16" si="2">J7+K7+N7+O7+P7</f>
        <v>15.425135</v>
      </c>
      <c r="R7" s="38">
        <f t="shared" ref="R7:R16" si="3">E7*Q7</f>
        <v>1071.89263115</v>
      </c>
      <c r="S7" s="37"/>
    </row>
    <row r="8" s="46" customFormat="1" ht="49" customHeight="1" spans="1:19">
      <c r="A8" s="48">
        <v>2</v>
      </c>
      <c r="B8" s="53" t="s">
        <v>136</v>
      </c>
      <c r="C8" s="53" t="s">
        <v>137</v>
      </c>
      <c r="D8" s="48" t="s">
        <v>65</v>
      </c>
      <c r="E8" s="51">
        <f t="shared" si="0"/>
        <v>208.47</v>
      </c>
      <c r="F8" s="29">
        <v>0</v>
      </c>
      <c r="G8" s="52">
        <f>G7*3</f>
        <v>208.47</v>
      </c>
      <c r="H8" s="29">
        <v>0</v>
      </c>
      <c r="I8" s="29">
        <v>0</v>
      </c>
      <c r="J8" s="56">
        <v>5</v>
      </c>
      <c r="K8" s="38">
        <f t="shared" si="1"/>
        <v>2.2</v>
      </c>
      <c r="L8" s="56">
        <v>2</v>
      </c>
      <c r="M8" s="44">
        <v>0.1</v>
      </c>
      <c r="N8" s="38">
        <v>0.5</v>
      </c>
      <c r="O8" s="38">
        <f>(J8+K8+N8)*$O$5</f>
        <v>0.77</v>
      </c>
      <c r="P8" s="38">
        <f>(J8+K8+N8+O8)*$P$5</f>
        <v>0.7623</v>
      </c>
      <c r="Q8" s="38">
        <f t="shared" si="2"/>
        <v>9.2323</v>
      </c>
      <c r="R8" s="38">
        <f t="shared" si="3"/>
        <v>1924.657581</v>
      </c>
      <c r="S8" s="37"/>
    </row>
    <row r="9" s="46" customFormat="1" ht="49" customHeight="1" spans="1:19">
      <c r="A9" s="48">
        <v>3</v>
      </c>
      <c r="B9" s="50" t="s">
        <v>138</v>
      </c>
      <c r="C9" s="50" t="s">
        <v>140</v>
      </c>
      <c r="D9" s="48" t="s">
        <v>70</v>
      </c>
      <c r="E9" s="51">
        <f t="shared" si="0"/>
        <v>2</v>
      </c>
      <c r="F9" s="29">
        <v>0</v>
      </c>
      <c r="G9" s="52">
        <v>2</v>
      </c>
      <c r="H9" s="29">
        <v>0</v>
      </c>
      <c r="I9" s="29">
        <v>0</v>
      </c>
      <c r="J9" s="56">
        <v>15</v>
      </c>
      <c r="K9" s="38">
        <f t="shared" si="1"/>
        <v>20</v>
      </c>
      <c r="L9" s="56">
        <v>20</v>
      </c>
      <c r="M9" s="44">
        <v>0</v>
      </c>
      <c r="N9" s="38">
        <v>12</v>
      </c>
      <c r="O9" s="38">
        <f>(J9+K9+N9)*$O$5</f>
        <v>4.7</v>
      </c>
      <c r="P9" s="38">
        <f>(J9+K9+N9+O9)*$P$5</f>
        <v>4.653</v>
      </c>
      <c r="Q9" s="38">
        <f t="shared" si="2"/>
        <v>56.353</v>
      </c>
      <c r="R9" s="38">
        <f t="shared" si="3"/>
        <v>112.706</v>
      </c>
      <c r="S9" s="37"/>
    </row>
    <row r="10" s="46" customFormat="1" ht="49" customHeight="1" spans="1:19">
      <c r="A10" s="48">
        <v>4</v>
      </c>
      <c r="B10" s="50" t="s">
        <v>138</v>
      </c>
      <c r="C10" s="50" t="s">
        <v>169</v>
      </c>
      <c r="D10" s="48" t="s">
        <v>70</v>
      </c>
      <c r="E10" s="51">
        <f t="shared" si="0"/>
        <v>7</v>
      </c>
      <c r="F10" s="29">
        <v>0</v>
      </c>
      <c r="G10" s="52">
        <v>7</v>
      </c>
      <c r="H10" s="29">
        <v>0</v>
      </c>
      <c r="I10" s="29">
        <v>0</v>
      </c>
      <c r="J10" s="56">
        <v>25</v>
      </c>
      <c r="K10" s="38">
        <f t="shared" si="1"/>
        <v>115</v>
      </c>
      <c r="L10" s="56">
        <v>115</v>
      </c>
      <c r="M10" s="44">
        <v>0</v>
      </c>
      <c r="N10" s="38">
        <v>12.5</v>
      </c>
      <c r="O10" s="38">
        <f>(J10+K10+N10)*$O$5</f>
        <v>15.25</v>
      </c>
      <c r="P10" s="38">
        <f>(J10+K10+N10+O10)*$P$5</f>
        <v>15.0975</v>
      </c>
      <c r="Q10" s="38">
        <f t="shared" si="2"/>
        <v>182.8475</v>
      </c>
      <c r="R10" s="38">
        <f t="shared" si="3"/>
        <v>1279.9325</v>
      </c>
      <c r="S10" s="37"/>
    </row>
    <row r="11" s="46" customFormat="1" ht="57" customHeight="1" spans="1:19">
      <c r="A11" s="48">
        <v>5</v>
      </c>
      <c r="B11" s="50" t="s">
        <v>138</v>
      </c>
      <c r="C11" s="50" t="s">
        <v>143</v>
      </c>
      <c r="D11" s="48" t="s">
        <v>65</v>
      </c>
      <c r="E11" s="51">
        <f t="shared" si="0"/>
        <v>5.4</v>
      </c>
      <c r="F11" s="29">
        <v>0</v>
      </c>
      <c r="G11" s="52">
        <f>1.8*3</f>
        <v>5.4</v>
      </c>
      <c r="H11" s="29">
        <v>0</v>
      </c>
      <c r="I11" s="29">
        <v>0</v>
      </c>
      <c r="J11" s="56">
        <v>10</v>
      </c>
      <c r="K11" s="38">
        <f t="shared" ref="K11:K16" si="4">L11*(1+M11)</f>
        <v>5.25</v>
      </c>
      <c r="L11" s="56">
        <v>5</v>
      </c>
      <c r="M11" s="44">
        <v>0.05</v>
      </c>
      <c r="N11" s="38">
        <v>7.5</v>
      </c>
      <c r="O11" s="38">
        <f>(J11+K11+N11)*$O$5</f>
        <v>2.275</v>
      </c>
      <c r="P11" s="38">
        <f>(J11+K11+N11+O11)*$P$5</f>
        <v>2.25225</v>
      </c>
      <c r="Q11" s="38">
        <f t="shared" si="2"/>
        <v>27.27725</v>
      </c>
      <c r="R11" s="38">
        <f t="shared" si="3"/>
        <v>147.29715</v>
      </c>
      <c r="S11" s="37"/>
    </row>
    <row r="12" s="46" customFormat="1" ht="49" customHeight="1" spans="1:19">
      <c r="A12" s="48">
        <v>6</v>
      </c>
      <c r="B12" s="50" t="s">
        <v>146</v>
      </c>
      <c r="C12" s="50" t="s">
        <v>147</v>
      </c>
      <c r="D12" s="48" t="s">
        <v>70</v>
      </c>
      <c r="E12" s="51">
        <f t="shared" si="0"/>
        <v>2</v>
      </c>
      <c r="F12" s="29">
        <v>0</v>
      </c>
      <c r="G12" s="52">
        <v>2</v>
      </c>
      <c r="H12" s="29">
        <v>0</v>
      </c>
      <c r="I12" s="29">
        <v>0</v>
      </c>
      <c r="J12" s="56">
        <v>12</v>
      </c>
      <c r="K12" s="38">
        <f t="shared" si="4"/>
        <v>10</v>
      </c>
      <c r="L12" s="56">
        <v>10</v>
      </c>
      <c r="M12" s="44">
        <v>0</v>
      </c>
      <c r="N12" s="38">
        <v>2.5</v>
      </c>
      <c r="O12" s="38">
        <f>(J12+K12+N12)*$O$5</f>
        <v>2.45</v>
      </c>
      <c r="P12" s="38">
        <f>(J12+K12+N12+O12)*$P$5</f>
        <v>2.4255</v>
      </c>
      <c r="Q12" s="38">
        <f t="shared" si="2"/>
        <v>29.3755</v>
      </c>
      <c r="R12" s="38">
        <f t="shared" si="3"/>
        <v>58.751</v>
      </c>
      <c r="S12" s="37"/>
    </row>
    <row r="13" s="46" customFormat="1" ht="54" customHeight="1" spans="1:19">
      <c r="A13" s="48">
        <v>10</v>
      </c>
      <c r="B13" s="50" t="s">
        <v>146</v>
      </c>
      <c r="C13" s="50" t="s">
        <v>148</v>
      </c>
      <c r="D13" s="48" t="s">
        <v>70</v>
      </c>
      <c r="E13" s="51">
        <f t="shared" si="0"/>
        <v>1</v>
      </c>
      <c r="F13" s="29">
        <v>0</v>
      </c>
      <c r="G13" s="52">
        <v>1</v>
      </c>
      <c r="H13" s="29">
        <v>0</v>
      </c>
      <c r="I13" s="29">
        <v>0</v>
      </c>
      <c r="J13" s="56">
        <v>12</v>
      </c>
      <c r="K13" s="38">
        <f t="shared" si="4"/>
        <v>10</v>
      </c>
      <c r="L13" s="56">
        <v>10</v>
      </c>
      <c r="M13" s="44">
        <v>0</v>
      </c>
      <c r="N13" s="38">
        <v>2.5</v>
      </c>
      <c r="O13" s="38">
        <f>(J13+K13+N13)*$O$5</f>
        <v>2.45</v>
      </c>
      <c r="P13" s="38">
        <f>(J13+K13+N13+O13)*$P$5</f>
        <v>2.4255</v>
      </c>
      <c r="Q13" s="38">
        <f t="shared" si="2"/>
        <v>29.3755</v>
      </c>
      <c r="R13" s="38">
        <f t="shared" si="3"/>
        <v>29.3755</v>
      </c>
      <c r="S13" s="37"/>
    </row>
    <row r="14" s="46" customFormat="1" ht="49" customHeight="1" spans="1:19">
      <c r="A14" s="48">
        <v>7</v>
      </c>
      <c r="B14" s="50" t="s">
        <v>146</v>
      </c>
      <c r="C14" s="50" t="s">
        <v>151</v>
      </c>
      <c r="D14" s="48" t="s">
        <v>70</v>
      </c>
      <c r="E14" s="51">
        <f t="shared" si="0"/>
        <v>7</v>
      </c>
      <c r="F14" s="29">
        <v>0</v>
      </c>
      <c r="G14" s="52">
        <v>7</v>
      </c>
      <c r="H14" s="29">
        <v>0</v>
      </c>
      <c r="I14" s="29">
        <v>0</v>
      </c>
      <c r="J14" s="56">
        <v>12</v>
      </c>
      <c r="K14" s="38">
        <f t="shared" si="4"/>
        <v>10</v>
      </c>
      <c r="L14" s="56">
        <v>10</v>
      </c>
      <c r="M14" s="44">
        <v>0</v>
      </c>
      <c r="N14" s="38">
        <v>7.5</v>
      </c>
      <c r="O14" s="38">
        <f>(J14+K14+N14)*$O$5</f>
        <v>2.95</v>
      </c>
      <c r="P14" s="38">
        <f>(J14+K14+N14+O14)*$P$5</f>
        <v>2.9205</v>
      </c>
      <c r="Q14" s="38">
        <f t="shared" si="2"/>
        <v>35.3705</v>
      </c>
      <c r="R14" s="38">
        <f t="shared" si="3"/>
        <v>247.5935</v>
      </c>
      <c r="S14" s="37"/>
    </row>
    <row r="15" s="46" customFormat="1" ht="49" customHeight="1" spans="1:19">
      <c r="A15" s="48">
        <v>8</v>
      </c>
      <c r="B15" s="50" t="s">
        <v>152</v>
      </c>
      <c r="C15" s="50" t="s">
        <v>153</v>
      </c>
      <c r="D15" s="48" t="s">
        <v>70</v>
      </c>
      <c r="E15" s="51">
        <f t="shared" si="0"/>
        <v>13</v>
      </c>
      <c r="F15" s="29">
        <v>0</v>
      </c>
      <c r="G15" s="52">
        <f>7+4+2</f>
        <v>13</v>
      </c>
      <c r="H15" s="29">
        <v>0</v>
      </c>
      <c r="I15" s="29">
        <v>0</v>
      </c>
      <c r="J15" s="56">
        <v>2.88</v>
      </c>
      <c r="K15" s="38">
        <f t="shared" si="4"/>
        <v>1</v>
      </c>
      <c r="L15" s="56">
        <v>1</v>
      </c>
      <c r="M15" s="44">
        <v>0</v>
      </c>
      <c r="N15" s="38">
        <v>2.58</v>
      </c>
      <c r="O15" s="38">
        <f>(J15+K15+N15)*$O$5</f>
        <v>0.646</v>
      </c>
      <c r="P15" s="38">
        <f>(J15+K15+N15+O15)*$P$5</f>
        <v>0.63954</v>
      </c>
      <c r="Q15" s="38">
        <f t="shared" si="2"/>
        <v>7.74554</v>
      </c>
      <c r="R15" s="38">
        <f t="shared" si="3"/>
        <v>100.69202</v>
      </c>
      <c r="S15" s="37"/>
    </row>
    <row r="16" s="46" customFormat="1" ht="49" customHeight="1" spans="1:19">
      <c r="A16" s="48">
        <v>9</v>
      </c>
      <c r="B16" s="50" t="s">
        <v>152</v>
      </c>
      <c r="C16" s="50" t="s">
        <v>154</v>
      </c>
      <c r="D16" s="48" t="s">
        <v>70</v>
      </c>
      <c r="E16" s="51">
        <f t="shared" si="0"/>
        <v>10</v>
      </c>
      <c r="F16" s="29">
        <v>0</v>
      </c>
      <c r="G16" s="52">
        <f>G12+G13+G14</f>
        <v>10</v>
      </c>
      <c r="H16" s="29">
        <v>0</v>
      </c>
      <c r="I16" s="29">
        <v>0</v>
      </c>
      <c r="J16" s="56">
        <v>2.88</v>
      </c>
      <c r="K16" s="38">
        <f t="shared" si="4"/>
        <v>1</v>
      </c>
      <c r="L16" s="56">
        <v>1</v>
      </c>
      <c r="M16" s="44">
        <v>0</v>
      </c>
      <c r="N16" s="38">
        <v>2.58</v>
      </c>
      <c r="O16" s="38">
        <f>(J16+K16+N16)*$O$5</f>
        <v>0.646</v>
      </c>
      <c r="P16" s="38">
        <f>(J16+K16+N16+O16)*$P$5</f>
        <v>0.63954</v>
      </c>
      <c r="Q16" s="38">
        <f t="shared" si="2"/>
        <v>7.74554</v>
      </c>
      <c r="R16" s="38">
        <f t="shared" si="3"/>
        <v>77.4554</v>
      </c>
      <c r="S16" s="37"/>
    </row>
    <row r="17" s="47" customFormat="1" ht="21" customHeight="1" spans="1:19">
      <c r="A17" s="54" t="s">
        <v>16</v>
      </c>
      <c r="B17" s="55" t="s">
        <v>155</v>
      </c>
      <c r="C17" s="55"/>
      <c r="D17" s="54"/>
      <c r="E17" s="54"/>
      <c r="F17" s="54"/>
      <c r="G17" s="54"/>
      <c r="H17" s="54"/>
      <c r="I17" s="54"/>
      <c r="J17" s="57"/>
      <c r="K17" s="57"/>
      <c r="L17" s="56">
        <v>1</v>
      </c>
      <c r="M17" s="57"/>
      <c r="N17" s="57"/>
      <c r="O17" s="57"/>
      <c r="P17" s="57"/>
      <c r="Q17" s="57"/>
      <c r="R17" s="57">
        <f>SUM(R7:R16)</f>
        <v>5050.35328215</v>
      </c>
      <c r="S17" s="59"/>
    </row>
  </sheetData>
  <mergeCells count="20">
    <mergeCell ref="A1:S1"/>
    <mergeCell ref="A2:J2"/>
    <mergeCell ref="K2:Q2"/>
    <mergeCell ref="R2:S2"/>
    <mergeCell ref="J3:P3"/>
    <mergeCell ref="B17:C17"/>
    <mergeCell ref="A3:A5"/>
    <mergeCell ref="B3:B5"/>
    <mergeCell ref="C3:C5"/>
    <mergeCell ref="D3:D5"/>
    <mergeCell ref="E3:E5"/>
    <mergeCell ref="F3:F4"/>
    <mergeCell ref="G3:G4"/>
    <mergeCell ref="H3:H4"/>
    <mergeCell ref="I3:I4"/>
    <mergeCell ref="J4:J5"/>
    <mergeCell ref="N4:N5"/>
    <mergeCell ref="Q3:Q5"/>
    <mergeCell ref="R3:R5"/>
    <mergeCell ref="S3:S5"/>
  </mergeCells>
  <pageMargins left="0.75" right="0.75" top="1" bottom="1" header="0.5" footer="0.5"/>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11</vt:i4>
      </vt:variant>
    </vt:vector>
  </HeadingPairs>
  <TitlesOfParts>
    <vt:vector size="11" baseType="lpstr">
      <vt:lpstr>Sheet2</vt:lpstr>
      <vt:lpstr>01、汇总表</vt:lpstr>
      <vt:lpstr>Sheet1</vt:lpstr>
      <vt:lpstr>02、高层公区精装土建工程综合单价分析表</vt:lpstr>
      <vt:lpstr>03、洋房公区精装土建工程综合单价分析表</vt:lpstr>
      <vt:lpstr>04、架空层公区精装土建工程综合单价分析表</vt:lpstr>
      <vt:lpstr>05、高层安装工程综合单价分析表</vt:lpstr>
      <vt:lpstr>06、洋房安装工程综合单价分析表</vt:lpstr>
      <vt:lpstr>07、架空层安装工程综合单价分析表</vt:lpstr>
      <vt:lpstr>08、门头装饰工程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岳鹏</cp:lastModifiedBy>
  <dcterms:created xsi:type="dcterms:W3CDTF">2020-11-19T09:45:00Z</dcterms:created>
  <dcterms:modified xsi:type="dcterms:W3CDTF">2024-07-04T23:57:17Z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2052-12.1.0.17440</vt:lpwstr>
  </property>
  <property fmtid="{D5CDD505-2E9C-101B-9397-08002B2CF9AE}" pid="3" name="ICV">
    <vt:lpwstr>6D527FC5E6144FD193E78C6669736DD6_13</vt:lpwstr>
  </property>
</Properties>
</file>