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36" firstSheet="2" activeTab="1"/>
  </bookViews>
  <sheets>
    <sheet name="Sheet2" sheetId="20" state="hidden" r:id="rId1"/>
    <sheet name="01、汇总表" sheetId="9" r:id="rId2"/>
    <sheet name="Sheet1" sheetId="19" state="hidden" r:id="rId3"/>
    <sheet name="高层公区精装土建工程综合单价分析表" sheetId="12" r:id="rId4"/>
    <sheet name="洋房公区精装土建工程综合单价分析表" sheetId="23" r:id="rId5"/>
    <sheet name="门头钢结构工程量计算" sheetId="13" state="hidden" r:id="rId6"/>
  </sheets>
  <definedNames>
    <definedName name="_xlnm._FilterDatabase" localSheetId="5" hidden="1">门头钢结构工程量计算!$A$2:$G$22</definedName>
    <definedName name="_xlnm._FilterDatabase" localSheetId="4" hidden="1">洋房公区精装土建工程综合单价分析表!$A$5:$X$8</definedName>
    <definedName name="_xlnm._FilterDatabase" localSheetId="3" hidden="1">高层公区精装土建工程综合单价分析表!$A$5:$X$12</definedName>
    <definedName name="_xlnm.Print_Titles" localSheetId="3">高层公区精装土建工程综合单价分析表!$1:$5</definedName>
    <definedName name="_xlnm.Print_Area" localSheetId="3">高层公区精装土建工程综合单价分析表!$A$1:$S$12</definedName>
    <definedName name="_xlnm.Print_Area" localSheetId="1">'01、汇总表'!$A$1:$F$5</definedName>
    <definedName name="_xlnm.Print_Area" localSheetId="2">Sheet1!$A$1:$I$53</definedName>
    <definedName name="_xlnm.Print_Area" localSheetId="0">Sheet2!$A$1:$I$55</definedName>
    <definedName name="_xlnm.Print_Titles" localSheetId="4">洋房公区精装土建工程综合单价分析表!$1:$5</definedName>
    <definedName name="_xlnm.Print_Area" localSheetId="4">洋房公区精装土建工程综合单价分析表!$A$1:$S$8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<sst xmlns="http://schemas.openxmlformats.org/spreadsheetml/2006/main" count="227" uniqueCount="76">
  <si>
    <t>河南省洛阳市浩德地产造价汇总表</t>
  </si>
  <si>
    <t>序 号</t>
  </si>
  <si>
    <t>项目名称</t>
  </si>
  <si>
    <t>单位</t>
  </si>
  <si>
    <t>金额 (元)</t>
  </si>
  <si>
    <t>合计(元)</t>
  </si>
  <si>
    <t>备注</t>
  </si>
  <si>
    <t>一</t>
  </si>
  <si>
    <t>装修工程</t>
  </si>
  <si>
    <t>地面</t>
  </si>
  <si>
    <t>项</t>
  </si>
  <si>
    <t>价格清单（伊河湾项目高层公区精装装饰工程--土建）（装饰部分）</t>
  </si>
  <si>
    <t>工程名称：伊河湾项目高层公区精装装饰工程--土建</t>
  </si>
  <si>
    <t>序号</t>
  </si>
  <si>
    <t>工程项目名称</t>
  </si>
  <si>
    <t>工程内容</t>
  </si>
  <si>
    <t>工程量
g</t>
  </si>
  <si>
    <t>1#</t>
  </si>
  <si>
    <t>2#</t>
  </si>
  <si>
    <t>3#</t>
  </si>
  <si>
    <t>6#</t>
  </si>
  <si>
    <t>其中：各子项构成（元）</t>
  </si>
  <si>
    <t>含税综合单价(元)
f=(a+b+c+d+e)</t>
  </si>
  <si>
    <t>合价(元)=g*f</t>
  </si>
  <si>
    <t>备 注
（品牌/厂家）</t>
  </si>
  <si>
    <t>人工费
a</t>
  </si>
  <si>
    <t>含损耗主材费小计</t>
  </si>
  <si>
    <t>主材费</t>
  </si>
  <si>
    <t>主材损耗率</t>
  </si>
  <si>
    <t>机械、辅材及其他c</t>
  </si>
  <si>
    <t>管理费及利润
d=(a+b+c)*费率</t>
  </si>
  <si>
    <t>税金
e=(a+b+c+d)*费率</t>
  </si>
  <si>
    <t>b=x*（1+y）</t>
  </si>
  <si>
    <t>x</t>
  </si>
  <si>
    <t xml:space="preserve"> y</t>
  </si>
  <si>
    <t>负一层</t>
  </si>
  <si>
    <t>踢脚线</t>
  </si>
  <si>
    <t>1.10厚防滑玻化砖（按实际完成面积计取）
2.10厚专用粘接剂 
3.界面剂一道
4.具体要求及做法：详见设计图纸及建设单位要求</t>
  </si>
  <si>
    <t>㎡</t>
  </si>
  <si>
    <t>国标合格产品</t>
  </si>
  <si>
    <t>一层</t>
  </si>
  <si>
    <t>合计</t>
  </si>
  <si>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</si>
  <si>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所有一切与之相关的所需全部费用。</t>
  </si>
  <si>
    <t>价格清单（伊河湾项目洋房公区精装装饰工程--土建）（装饰部分）</t>
  </si>
  <si>
    <t>工程名称：伊河湾项目洋房公区精装装饰工程--土建</t>
  </si>
  <si>
    <t>5#</t>
  </si>
  <si>
    <t>7#</t>
  </si>
  <si>
    <t>8#</t>
  </si>
  <si>
    <t>9#</t>
  </si>
  <si>
    <r>
      <rPr>
        <sz val="20"/>
        <rFont val="Arial"/>
        <charset val="134"/>
      </rPr>
      <t>5#</t>
    </r>
    <r>
      <rPr>
        <sz val="20"/>
        <rFont val="宋体"/>
        <charset val="134"/>
      </rPr>
      <t>楼门计算工程量</t>
    </r>
  </si>
  <si>
    <r>
      <rPr>
        <sz val="20"/>
        <rFont val="Arial"/>
        <charset val="134"/>
      </rPr>
      <t>2#</t>
    </r>
    <r>
      <rPr>
        <sz val="20"/>
        <rFont val="宋体"/>
        <charset val="134"/>
      </rPr>
      <t>楼门计算工程量</t>
    </r>
  </si>
  <si>
    <r>
      <rPr>
        <sz val="20"/>
        <rFont val="Arial"/>
        <charset val="134"/>
      </rPr>
      <t>7#</t>
    </r>
    <r>
      <rPr>
        <sz val="20"/>
        <rFont val="宋体"/>
        <charset val="134"/>
      </rPr>
      <t>楼门计算工程量</t>
    </r>
  </si>
  <si>
    <r>
      <rPr>
        <sz val="20"/>
        <rFont val="Arial"/>
        <charset val="134"/>
      </rPr>
      <t>8#</t>
    </r>
    <r>
      <rPr>
        <sz val="20"/>
        <rFont val="宋体"/>
        <charset val="134"/>
      </rPr>
      <t>楼门计算工程量</t>
    </r>
  </si>
  <si>
    <t>工程量</t>
  </si>
  <si>
    <t>理论重量</t>
  </si>
  <si>
    <t>柱子及墙面</t>
  </si>
  <si>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</si>
  <si>
    <t>块</t>
  </si>
  <si>
    <r>
      <rPr>
        <sz val="10"/>
        <rFont val="Arial"/>
        <charset val="134"/>
      </rPr>
      <t>200*5</t>
    </r>
    <r>
      <rPr>
        <sz val="10"/>
        <rFont val="宋体"/>
        <charset val="134"/>
      </rPr>
      <t>热浸镀锌钢方管</t>
    </r>
  </si>
  <si>
    <t>m</t>
  </si>
  <si>
    <r>
      <rPr>
        <sz val="10"/>
        <rFont val="Arial"/>
        <charset val="134"/>
      </rPr>
      <t>8#</t>
    </r>
    <r>
      <rPr>
        <sz val="10"/>
        <rFont val="宋体"/>
        <charset val="134"/>
      </rPr>
      <t>热浸镀锌槽钢</t>
    </r>
  </si>
  <si>
    <r>
      <rPr>
        <sz val="10"/>
        <rFont val="Arial"/>
        <charset val="134"/>
      </rPr>
      <t>L50x4</t>
    </r>
    <r>
      <rPr>
        <sz val="10"/>
        <rFont val="宋体"/>
        <charset val="134"/>
      </rPr>
      <t>热浸镀锌角钢</t>
    </r>
  </si>
  <si>
    <r>
      <rPr>
        <sz val="10"/>
        <rFont val="Arial"/>
        <charset val="134"/>
      </rPr>
      <t>10#</t>
    </r>
    <r>
      <rPr>
        <sz val="10"/>
        <rFont val="宋体"/>
        <charset val="134"/>
      </rPr>
      <t>热浸镀锌槽钢</t>
    </r>
  </si>
  <si>
    <r>
      <rPr>
        <sz val="10"/>
        <rFont val="Arial"/>
        <charset val="134"/>
      </rPr>
      <t xml:space="preserve">300x200x8mm
</t>
    </r>
    <r>
      <rPr>
        <sz val="10"/>
        <rFont val="宋体"/>
        <charset val="134"/>
      </rPr>
      <t>热浸镀锌后置埋件</t>
    </r>
    <r>
      <rPr>
        <sz val="10"/>
        <rFont val="Arial"/>
        <charset val="134"/>
      </rPr>
      <t xml:space="preserve">M12
</t>
    </r>
    <r>
      <rPr>
        <sz val="10"/>
        <rFont val="宋体"/>
        <charset val="134"/>
      </rPr>
      <t>特殊倒锥型化学锚栓</t>
    </r>
  </si>
  <si>
    <r>
      <rPr>
        <sz val="10"/>
        <rFont val="Arial"/>
        <charset val="134"/>
      </rPr>
      <t>L50x4</t>
    </r>
    <r>
      <rPr>
        <sz val="10"/>
        <rFont val="宋体"/>
        <charset val="134"/>
      </rPr>
      <t>热浸镀锌角钢（墙岩口）</t>
    </r>
  </si>
  <si>
    <r>
      <rPr>
        <sz val="10"/>
        <rFont val="宋体"/>
        <charset val="134"/>
      </rPr>
      <t>（</t>
    </r>
    <r>
      <rPr>
        <sz val="10"/>
        <rFont val="Arial"/>
        <charset val="134"/>
      </rPr>
      <t>1-1</t>
    </r>
    <r>
      <rPr>
        <sz val="10"/>
        <rFont val="宋体"/>
        <charset val="134"/>
      </rPr>
      <t>）</t>
    </r>
  </si>
  <si>
    <r>
      <rPr>
        <sz val="10"/>
        <rFont val="Arial"/>
        <charset val="134"/>
      </rPr>
      <t>300x200x8mm</t>
    </r>
    <r>
      <rPr>
        <sz val="10"/>
        <rFont val="宋体"/>
        <charset val="134"/>
      </rPr>
      <t>热浸镀锌后置埋件</t>
    </r>
    <r>
      <rPr>
        <sz val="10"/>
        <rFont val="Arial"/>
        <charset val="134"/>
      </rPr>
      <t xml:space="preserve">
M12</t>
    </r>
    <r>
      <rPr>
        <sz val="10"/>
        <rFont val="宋体"/>
        <charset val="134"/>
      </rPr>
      <t>不锈钢对穿螺栓</t>
    </r>
  </si>
  <si>
    <t>（2-2）</t>
  </si>
  <si>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不锈钢对穿螺栓</t>
    </r>
  </si>
  <si>
    <t>顶钢架</t>
  </si>
  <si>
    <r>
      <rPr>
        <sz val="10"/>
        <rFont val="Arial"/>
        <charset val="134"/>
      </rPr>
      <t xml:space="preserve">80*60*5mm
</t>
    </r>
    <r>
      <rPr>
        <sz val="10"/>
        <rFont val="宋体"/>
        <charset val="134"/>
      </rPr>
      <t>镀锌钢管</t>
    </r>
  </si>
  <si>
    <r>
      <rPr>
        <sz val="10"/>
        <rFont val="Arial"/>
        <charset val="134"/>
      </rPr>
      <t xml:space="preserve">L50X4
</t>
    </r>
    <r>
      <rPr>
        <sz val="10"/>
        <rFont val="宋体"/>
        <charset val="134"/>
      </rPr>
      <t>镀锌角钢</t>
    </r>
  </si>
  <si>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特殊倒锥型化学锚栓</t>
    </r>
  </si>
  <si>
    <r>
      <rPr>
        <sz val="10"/>
        <rFont val="Arial"/>
        <charset val="134"/>
      </rPr>
      <t>l20*3</t>
    </r>
    <r>
      <rPr>
        <sz val="10"/>
        <rFont val="宋体"/>
        <charset val="134"/>
      </rPr>
      <t>封边角钢</t>
    </r>
  </si>
  <si>
    <t>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</si>
</sst>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Red]0.00"/>
  </numFmts>
  <fonts count="40">
    <font>
      <sz val="10"/>
      <name val="Arial"/>
      <charset val="1"/>
    </font>
    <font>
      <sz val="20"/>
      <name val="Arial"/>
      <charset val="1"/>
    </font>
    <font>
      <sz val="10"/>
      <name val="宋体"/>
      <charset val="134"/>
    </font>
    <font>
      <sz val="20"/>
      <name val="Arial"/>
      <charset val="134"/>
    </font>
    <font>
      <sz val="9"/>
      <color theme="1"/>
      <name val="宋体"/>
      <charset val="134"/>
      <scheme val="minor"/>
    </font>
    <font>
      <b/>
      <sz val="20"/>
      <name val="宋体"/>
      <charset val="134"/>
    </font>
    <font>
      <sz val="9"/>
      <name val="宋体"/>
      <charset val="134"/>
    </font>
    <font>
      <sz val="9"/>
      <name val="宋体"/>
      <charset val="134"/>
      <scheme val="minor"/>
    </font>
    <font>
      <b/>
      <sz val="9"/>
      <name val="宋体"/>
      <charset val="134"/>
    </font>
    <font>
      <sz val="12"/>
      <name val="宋体"/>
      <charset val="134"/>
    </font>
    <font>
      <b/>
      <sz val="16"/>
      <name val="宋体"/>
      <charset val="134"/>
    </font>
    <font>
      <sz val="10"/>
      <color theme="1"/>
      <name val="微软雅黑"/>
      <charset val="134"/>
    </font>
    <font>
      <sz val="10"/>
      <name val="微软雅黑"/>
      <charset val="134"/>
    </font>
    <font>
      <b/>
      <sz val="10"/>
      <color theme="1"/>
      <name val="微软雅黑"/>
      <charset val="134"/>
    </font>
    <font>
      <sz val="10"/>
      <color rgb="FFFF0000"/>
      <name val="微软雅黑"/>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rgb="FF000000"/>
      <name val="宋体"/>
      <charset val="134"/>
    </font>
    <font>
      <sz val="10"/>
      <name val="Arial"/>
      <charset val="134"/>
    </font>
    <font>
      <sz val="2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5">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9" fillId="0" borderId="0">
      <alignment vertical="center"/>
    </xf>
    <xf numFmtId="0" fontId="9" fillId="0" borderId="0">
      <alignment vertical="center"/>
    </xf>
    <xf numFmtId="0" fontId="16" fillId="0" borderId="0">
      <alignment vertical="center"/>
    </xf>
    <xf numFmtId="0" fontId="9" fillId="0" borderId="0">
      <alignment vertical="center"/>
    </xf>
    <xf numFmtId="0" fontId="16"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36" fillId="0" borderId="0">
      <alignment vertical="center"/>
    </xf>
    <xf numFmtId="176" fontId="37" fillId="0" borderId="1">
      <alignment horizontal="right" vertical="center" wrapText="1"/>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38" fillId="0" borderId="0"/>
    <xf numFmtId="0" fontId="16" fillId="0" borderId="0">
      <alignment vertical="center"/>
    </xf>
    <xf numFmtId="0" fontId="16"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36" fillId="0" borderId="0">
      <alignment vertical="center"/>
    </xf>
    <xf numFmtId="176" fontId="37" fillId="0" borderId="1">
      <alignment horizontal="right" vertical="center" wrapText="1"/>
    </xf>
    <xf numFmtId="0" fontId="16" fillId="0" borderId="0">
      <alignment vertical="center"/>
    </xf>
    <xf numFmtId="0" fontId="9" fillId="0" borderId="0"/>
    <xf numFmtId="0" fontId="37" fillId="0" borderId="0" applyProtection="0">
      <alignment vertical="center"/>
    </xf>
    <xf numFmtId="0" fontId="4" fillId="0" borderId="0"/>
    <xf numFmtId="0" fontId="9" fillId="0" borderId="0">
      <alignment vertical="center"/>
    </xf>
    <xf numFmtId="0" fontId="36" fillId="0" borderId="0"/>
    <xf numFmtId="0" fontId="9" fillId="0" borderId="0" applyBorder="0"/>
  </cellStyleXfs>
  <cellXfs count="56">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2" fillId="0" borderId="1" xfId="0" applyFont="1" applyBorder="1"/>
    <xf numFmtId="0" fontId="0" fillId="0" borderId="1" xfId="0" applyBorder="1"/>
    <xf numFmtId="0" fontId="0" fillId="0" borderId="1" xfId="0" applyFont="1" applyFill="1" applyBorder="1"/>
    <xf numFmtId="0" fontId="2" fillId="0" borderId="1" xfId="0" applyFont="1" applyFill="1" applyBorder="1" applyAlignment="1">
      <alignment wrapText="1"/>
    </xf>
    <xf numFmtId="0" fontId="2" fillId="0" borderId="1" xfId="0" applyFont="1" applyFill="1" applyBorder="1"/>
    <xf numFmtId="0" fontId="3" fillId="0" borderId="0" xfId="0" applyFont="1" applyAlignment="1">
      <alignment horizontal="center" vertical="center"/>
    </xf>
    <xf numFmtId="0" fontId="4" fillId="0" borderId="0" xfId="81" applyAlignment="1">
      <alignment horizontal="left"/>
    </xf>
    <xf numFmtId="0" fontId="4" fillId="0" borderId="0" xfId="81" applyFont="1" applyFill="1" applyAlignment="1">
      <alignment horizontal="left"/>
    </xf>
    <xf numFmtId="176" fontId="4" fillId="0" borderId="0" xfId="81" applyNumberFormat="1" applyFont="1" applyFill="1" applyAlignment="1">
      <alignment horizontal="left"/>
    </xf>
    <xf numFmtId="0" fontId="4" fillId="0" borderId="0" xfId="81" applyFont="1" applyFill="1" applyAlignment="1">
      <alignment horizontal="center" vertical="center" wrapText="1"/>
    </xf>
    <xf numFmtId="0" fontId="5" fillId="0" borderId="0" xfId="81" applyFont="1" applyFill="1" applyAlignment="1">
      <alignment horizontal="center" vertical="center" wrapText="1"/>
    </xf>
    <xf numFmtId="176" fontId="5" fillId="0" borderId="0" xfId="81" applyNumberFormat="1" applyFont="1" applyFill="1" applyAlignment="1">
      <alignment horizontal="left" vertical="center" wrapText="1"/>
    </xf>
    <xf numFmtId="0" fontId="6" fillId="0" borderId="0" xfId="81" applyFont="1" applyFill="1" applyAlignment="1">
      <alignment horizontal="left" vertical="center" wrapText="1"/>
    </xf>
    <xf numFmtId="176" fontId="6" fillId="0" borderId="0" xfId="81" applyNumberFormat="1" applyFont="1" applyFill="1" applyAlignment="1">
      <alignment horizontal="left" vertical="center" wrapText="1"/>
    </xf>
    <xf numFmtId="0" fontId="6" fillId="0" borderId="1" xfId="81" applyFont="1" applyFill="1" applyBorder="1" applyAlignment="1">
      <alignment horizontal="left" vertical="center" wrapText="1"/>
    </xf>
    <xf numFmtId="176" fontId="6" fillId="0" borderId="1" xfId="81" applyNumberFormat="1" applyFont="1" applyFill="1" applyBorder="1" applyAlignment="1">
      <alignment horizontal="left" vertical="center" wrapText="1"/>
    </xf>
    <xf numFmtId="176" fontId="6" fillId="0" borderId="2" xfId="81" applyNumberFormat="1" applyFont="1" applyFill="1" applyBorder="1" applyAlignment="1">
      <alignment horizontal="center" vertical="center" wrapText="1"/>
    </xf>
    <xf numFmtId="176" fontId="6" fillId="0" borderId="3" xfId="81" applyNumberFormat="1" applyFont="1" applyFill="1" applyBorder="1" applyAlignment="1">
      <alignment horizontal="center" vertical="center" wrapText="1"/>
    </xf>
    <xf numFmtId="176" fontId="6" fillId="0" borderId="1" xfId="81" applyNumberFormat="1" applyFont="1" applyFill="1" applyBorder="1" applyAlignment="1">
      <alignment horizontal="right"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176" fontId="2" fillId="0" borderId="1" xfId="0" applyNumberFormat="1" applyFont="1" applyFill="1" applyBorder="1" applyAlignment="1" applyProtection="1">
      <alignment horizontal="left" vertical="center" wrapText="1"/>
    </xf>
    <xf numFmtId="9" fontId="6" fillId="0" borderId="1" xfId="3" applyNumberFormat="1" applyFont="1" applyFill="1" applyBorder="1" applyAlignment="1" applyProtection="1">
      <alignment horizontal="center" vertical="center" wrapText="1"/>
    </xf>
    <xf numFmtId="177" fontId="6" fillId="0" borderId="1" xfId="81" applyNumberFormat="1" applyFont="1" applyFill="1" applyBorder="1" applyAlignment="1">
      <alignment horizontal="right" vertical="center" wrapText="1"/>
    </xf>
    <xf numFmtId="10" fontId="6" fillId="0" borderId="1" xfId="3" applyNumberFormat="1" applyFont="1" applyFill="1" applyBorder="1" applyAlignment="1" applyProtection="1">
      <alignment horizontal="center" vertical="center" wrapText="1"/>
    </xf>
    <xf numFmtId="0" fontId="7" fillId="0" borderId="0" xfId="81" applyFont="1" applyFill="1" applyAlignment="1">
      <alignment horizontal="center" vertical="center" wrapText="1"/>
    </xf>
    <xf numFmtId="0" fontId="7" fillId="0" borderId="0" xfId="81" applyFont="1" applyFill="1" applyAlignment="1">
      <alignment horizontal="left"/>
    </xf>
    <xf numFmtId="176" fontId="5" fillId="0" borderId="0" xfId="81" applyNumberFormat="1" applyFont="1" applyFill="1" applyAlignment="1">
      <alignment horizontal="center" vertical="center" wrapText="1"/>
    </xf>
    <xf numFmtId="0" fontId="8" fillId="0" borderId="1" xfId="81" applyFont="1" applyFill="1" applyBorder="1" applyAlignment="1">
      <alignment horizontal="left" vertical="center" wrapText="1"/>
    </xf>
    <xf numFmtId="0" fontId="6" fillId="0" borderId="1" xfId="81" applyFont="1" applyFill="1" applyBorder="1" applyAlignment="1">
      <alignment horizontal="center" vertical="center" wrapText="1"/>
    </xf>
    <xf numFmtId="9" fontId="6" fillId="0" borderId="1" xfId="3" applyFont="1" applyFill="1" applyBorder="1" applyAlignment="1" applyProtection="1">
      <alignment horizontal="center" vertical="center" wrapText="1"/>
    </xf>
    <xf numFmtId="0" fontId="9" fillId="0" borderId="0" xfId="0" applyFont="1" applyFill="1" applyBorder="1" applyAlignment="1">
      <alignment vertical="center"/>
    </xf>
    <xf numFmtId="0" fontId="0" fillId="0" borderId="0" xfId="0" applyFill="1" applyAlignment="1">
      <alignment horizontal="center"/>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176" fontId="14"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3232 2 2" xfId="49"/>
    <cellStyle name="常规 7 3" xfId="50"/>
    <cellStyle name="常规 5 2" xfId="51"/>
    <cellStyle name="常规 3 2 2" xfId="52"/>
    <cellStyle name="常规 5 2 2" xfId="53"/>
    <cellStyle name="3232 2" xfId="54"/>
    <cellStyle name="3232 3" xfId="55"/>
    <cellStyle name="常规 3 2" xfId="56"/>
    <cellStyle name="常规 3 3" xfId="57"/>
    <cellStyle name="常规 53 2" xfId="58"/>
    <cellStyle name="常规 3 4" xfId="59"/>
    <cellStyle name="常规 53 3" xfId="60"/>
    <cellStyle name="3232" xfId="61"/>
    <cellStyle name="常规 2" xfId="62"/>
    <cellStyle name="表体数字 3 2 6 5 3 2" xfId="63"/>
    <cellStyle name="常规 3" xfId="64"/>
    <cellStyle name="常规 3 2 2 2" xfId="65"/>
    <cellStyle name="常规 3 2 3" xfId="66"/>
    <cellStyle name="常规 3 3 2" xfId="67"/>
    <cellStyle name="常规 4" xfId="68"/>
    <cellStyle name="常规 5" xfId="69"/>
    <cellStyle name="常规 5 3" xfId="70"/>
    <cellStyle name="常规 53" xfId="71"/>
    <cellStyle name="常规 53 2 2" xfId="72"/>
    <cellStyle name="常规 7" xfId="73"/>
    <cellStyle name="常规 7 2" xfId="74"/>
    <cellStyle name="常规 7 2 2" xfId="75"/>
    <cellStyle name="常规 10" xfId="76"/>
    <cellStyle name="表体数字 3 2 6 6" xfId="77"/>
    <cellStyle name="常规 144 4" xfId="78"/>
    <cellStyle name="常规 11" xfId="79"/>
    <cellStyle name="?餑_x005f_x005f_x005f_x000c_睨_x005f_x005f_x005f_x0017__x005f_x005f_x005f_x000d_帼U_x005f_x005f_x005f_x0001_0_x005f_x005f_x005f_x0005_j'_x005f_x005f_x005f_x0007__x005f_x005f_x005f_x0001__x005f_x005f_x005f_x0001_ 3" xfId="80"/>
    <cellStyle name="Normal" xfId="81"/>
    <cellStyle name="常规 2 3" xfId="82"/>
    <cellStyle name="常规 2 2 2" xfId="83"/>
    <cellStyle name="常规_Sheet2" xfId="84"/>
  </cellStyles>
  <tableStyles count="0" defaultTableStyle="Table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95250</xdr:rowOff>
    </xdr:from>
    <xdr:to>
      <xdr:col>9</xdr:col>
      <xdr:colOff>130810</xdr:colOff>
      <xdr:row>52</xdr:row>
      <xdr:rowOff>114300</xdr:rowOff>
    </xdr:to>
    <xdr:pic>
      <xdr:nvPicPr>
        <xdr:cNvPr id="2" name="图片 1" descr="821851390027901378"/>
        <xdr:cNvPicPr>
          <a:picLocks noChangeAspect="1"/>
        </xdr:cNvPicPr>
      </xdr:nvPicPr>
      <xdr:blipFill>
        <a:blip r:embed="rId1"/>
        <a:srcRect l="4340" t="7160" r="6759" b="1401"/>
        <a:stretch>
          <a:fillRect/>
        </a:stretch>
      </xdr:blipFill>
      <xdr:spPr>
        <a:xfrm>
          <a:off x="9525" y="95250"/>
          <a:ext cx="5607685" cy="84391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9</xdr:col>
      <xdr:colOff>3175</xdr:colOff>
      <xdr:row>48</xdr:row>
      <xdr:rowOff>9525</xdr:rowOff>
    </xdr:to>
    <xdr:pic>
      <xdr:nvPicPr>
        <xdr:cNvPr id="2" name="图片 1" descr="800960417329061281"/>
        <xdr:cNvPicPr>
          <a:picLocks noChangeAspect="1"/>
        </xdr:cNvPicPr>
      </xdr:nvPicPr>
      <xdr:blipFill>
        <a:blip r:embed="rId1"/>
        <a:srcRect l="3018" t="5142" r="3431" b="263"/>
        <a:stretch>
          <a:fillRect/>
        </a:stretch>
      </xdr:blipFill>
      <xdr:spPr>
        <a:xfrm>
          <a:off x="9525" y="9525"/>
          <a:ext cx="548005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5" sqref="F15"/>
    </sheetView>
  </sheetViews>
  <sheetFormatPr defaultColWidth="9.14285714285714" defaultRowHeight="12.75"/>
  <sheetData/>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tabSelected="1" view="pageBreakPreview" zoomScale="145" zoomScaleNormal="100" workbookViewId="0">
      <selection activeCell="E5" sqref="E5"/>
    </sheetView>
  </sheetViews>
  <sheetFormatPr defaultColWidth="8.85714285714286" defaultRowHeight="12.75" outlineLevelRow="4" outlineLevelCol="5"/>
  <cols>
    <col min="1" max="1" width="8.85714285714286" style="4"/>
    <col min="2" max="2" width="24.4285714285714" style="45" customWidth="1"/>
    <col min="3" max="3" width="8.14285714285714" style="45" customWidth="1"/>
    <col min="4" max="4" width="17.4285714285714" style="4" customWidth="1"/>
    <col min="5" max="5" width="17.1428571428571" style="4" customWidth="1"/>
    <col min="6" max="6" width="10.2857142857143" style="4" customWidth="1"/>
    <col min="7" max="7" width="8.85714285714286" style="4"/>
    <col min="8" max="10" width="14.5714285714286" style="4"/>
    <col min="11" max="11" width="9.57142857142857" style="4"/>
    <col min="12" max="13" width="14.5714285714286" style="4"/>
    <col min="14" max="15" width="8.85714285714286" style="4"/>
    <col min="16" max="18" width="14.5714285714286" style="4"/>
    <col min="19" max="16384" width="8.85714285714286" style="4"/>
  </cols>
  <sheetData>
    <row r="1" s="44" customFormat="1" ht="48" customHeight="1" spans="1:6">
      <c r="A1" s="46" t="s">
        <v>0</v>
      </c>
      <c r="B1" s="46"/>
      <c r="C1" s="46"/>
      <c r="D1" s="46"/>
      <c r="E1" s="46"/>
      <c r="F1" s="46"/>
    </row>
    <row r="2" s="44" customFormat="1" ht="30" customHeight="1" spans="1:6">
      <c r="A2" s="47" t="s">
        <v>1</v>
      </c>
      <c r="B2" s="47" t="s">
        <v>2</v>
      </c>
      <c r="C2" s="47" t="s">
        <v>3</v>
      </c>
      <c r="D2" s="48" t="s">
        <v>4</v>
      </c>
      <c r="E2" s="48" t="s">
        <v>5</v>
      </c>
      <c r="F2" s="49" t="s">
        <v>6</v>
      </c>
    </row>
    <row r="3" s="44" customFormat="1" ht="30" customHeight="1" spans="1:6">
      <c r="A3" s="50" t="s">
        <v>7</v>
      </c>
      <c r="B3" s="50" t="s">
        <v>8</v>
      </c>
      <c r="C3" s="47"/>
      <c r="D3" s="48"/>
      <c r="E3" s="48">
        <f>SUM(E4:E4)</f>
        <v>36991.11636</v>
      </c>
      <c r="F3" s="51"/>
    </row>
    <row r="4" s="44" customFormat="1" ht="30" customHeight="1" spans="1:6">
      <c r="A4" s="52">
        <v>1.1</v>
      </c>
      <c r="B4" s="52" t="s">
        <v>9</v>
      </c>
      <c r="C4" s="52" t="s">
        <v>10</v>
      </c>
      <c r="D4" s="53">
        <f>高层公区精装土建工程综合单价分析表!R11+洋房公区精装土建工程综合单价分析表!R7</f>
        <v>36991.11636</v>
      </c>
      <c r="E4" s="53">
        <f>D4</f>
        <v>36991.11636</v>
      </c>
      <c r="F4" s="9"/>
    </row>
    <row r="5" s="44" customFormat="1" ht="30" customHeight="1" spans="1:6">
      <c r="A5" s="54" t="s">
        <v>5</v>
      </c>
      <c r="B5" s="54"/>
      <c r="C5" s="54"/>
      <c r="D5" s="54"/>
      <c r="E5" s="55">
        <f>E3</f>
        <v>36991.11636</v>
      </c>
      <c r="F5" s="9"/>
    </row>
  </sheetData>
  <mergeCells count="2">
    <mergeCell ref="A1:F1"/>
    <mergeCell ref="A5:B5"/>
  </mergeCells>
  <pageMargins left="0.751388888888889" right="0.751388888888889" top="1" bottom="1" header="0.5" footer="0.5"/>
  <pageSetup paperSize="9"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5" sqref="F15"/>
    </sheetView>
  </sheetViews>
  <sheetFormatPr defaultColWidth="9.14285714285714" defaultRowHeight="12.75"/>
  <sheetData/>
  <pageMargins left="0.75" right="0.75" top="1" bottom="1" header="0.5" footer="0.5"/>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2"/>
  <sheetViews>
    <sheetView view="pageBreakPreview" zoomScale="115" zoomScaleNormal="100" workbookViewId="0">
      <pane ySplit="5" topLeftCell="A6" activePane="bottomLeft" state="frozen"/>
      <selection/>
      <selection pane="bottomLeft" activeCell="N9" sqref="N9"/>
    </sheetView>
  </sheetViews>
  <sheetFormatPr defaultColWidth="9" defaultRowHeight="11.25"/>
  <cols>
    <col min="1" max="1" width="5.28571428571429" style="20" customWidth="1"/>
    <col min="2" max="2" width="11" style="20" customWidth="1"/>
    <col min="3" max="3" width="31.1333333333333" style="20" customWidth="1"/>
    <col min="4" max="4" width="6.42857142857143" style="20" customWidth="1"/>
    <col min="5" max="5" width="9.16190476190476" style="21" customWidth="1"/>
    <col min="6" max="9" width="9.16190476190476" style="21" hidden="1" customWidth="1" outlineLevel="1"/>
    <col min="10" max="10" width="7.28571428571429" style="20" customWidth="1" collapsed="1"/>
    <col min="11" max="11" width="11.0857142857143" style="20" customWidth="1"/>
    <col min="12" max="12" width="7.37142857142857" style="20" customWidth="1"/>
    <col min="13" max="13" width="5.85714285714286" style="20" customWidth="1"/>
    <col min="14" max="14" width="8.69523809523809" style="20" customWidth="1"/>
    <col min="15" max="15" width="8.57142857142857" style="20" customWidth="1"/>
    <col min="16" max="16" width="8.14285714285714" style="20" customWidth="1"/>
    <col min="17" max="17" width="10.1142857142857" style="20" customWidth="1"/>
    <col min="18" max="18" width="11.1714285714286" style="20" customWidth="1"/>
    <col min="19" max="19" width="8.57142857142857" style="20" customWidth="1"/>
    <col min="20" max="20" width="12.2857142857143" style="22" customWidth="1"/>
    <col min="21" max="22" width="11" style="20"/>
    <col min="23" max="16384" width="9" style="20"/>
  </cols>
  <sheetData>
    <row r="1" s="19" customFormat="1" ht="25.5" spans="1:24">
      <c r="A1" s="23" t="s">
        <v>11</v>
      </c>
      <c r="B1" s="23"/>
      <c r="C1" s="23"/>
      <c r="D1" s="23"/>
      <c r="E1" s="40"/>
      <c r="F1" s="40"/>
      <c r="G1" s="40"/>
      <c r="H1" s="40"/>
      <c r="I1" s="40"/>
      <c r="J1" s="23"/>
      <c r="K1" s="23"/>
      <c r="L1" s="23"/>
      <c r="M1" s="23"/>
      <c r="N1" s="23"/>
      <c r="O1" s="23"/>
      <c r="P1" s="23"/>
      <c r="Q1" s="23"/>
      <c r="R1" s="23"/>
      <c r="S1" s="23"/>
      <c r="T1" s="38"/>
      <c r="U1" s="39"/>
      <c r="V1" s="39"/>
      <c r="W1" s="39"/>
      <c r="X1" s="39"/>
    </row>
    <row r="2" s="19" customFormat="1" spans="1:24">
      <c r="A2" s="25" t="s">
        <v>12</v>
      </c>
      <c r="B2" s="25"/>
      <c r="C2" s="25"/>
      <c r="D2" s="25"/>
      <c r="E2" s="26"/>
      <c r="F2" s="26"/>
      <c r="G2" s="26"/>
      <c r="H2" s="26"/>
      <c r="I2" s="26"/>
      <c r="J2" s="25"/>
      <c r="K2" s="25"/>
      <c r="L2" s="25"/>
      <c r="M2" s="25"/>
      <c r="N2" s="25"/>
      <c r="O2" s="25"/>
      <c r="P2" s="25"/>
      <c r="Q2" s="25"/>
      <c r="R2" s="25"/>
      <c r="S2" s="25"/>
      <c r="T2" s="38"/>
      <c r="U2" s="39"/>
      <c r="V2" s="39"/>
      <c r="W2" s="39"/>
      <c r="X2" s="39"/>
    </row>
    <row r="3" s="19" customFormat="1" spans="1:24">
      <c r="A3" s="27" t="s">
        <v>13</v>
      </c>
      <c r="B3" s="27" t="s">
        <v>14</v>
      </c>
      <c r="C3" s="27" t="s">
        <v>15</v>
      </c>
      <c r="D3" s="27" t="s">
        <v>3</v>
      </c>
      <c r="E3" s="28" t="s">
        <v>16</v>
      </c>
      <c r="F3" s="29" t="s">
        <v>17</v>
      </c>
      <c r="G3" s="29" t="s">
        <v>18</v>
      </c>
      <c r="H3" s="29" t="s">
        <v>19</v>
      </c>
      <c r="I3" s="29" t="s">
        <v>20</v>
      </c>
      <c r="J3" s="27" t="s">
        <v>21</v>
      </c>
      <c r="K3" s="27"/>
      <c r="L3" s="27"/>
      <c r="M3" s="27"/>
      <c r="N3" s="27"/>
      <c r="O3" s="27"/>
      <c r="P3" s="27"/>
      <c r="Q3" s="27" t="s">
        <v>22</v>
      </c>
      <c r="R3" s="27" t="s">
        <v>23</v>
      </c>
      <c r="S3" s="27" t="s">
        <v>24</v>
      </c>
      <c r="T3" s="38"/>
      <c r="U3" s="39"/>
      <c r="V3" s="39"/>
      <c r="W3" s="39"/>
      <c r="X3" s="39"/>
    </row>
    <row r="4" s="19" customFormat="1" ht="45" spans="1:24">
      <c r="A4" s="27"/>
      <c r="B4" s="27"/>
      <c r="C4" s="27"/>
      <c r="D4" s="27"/>
      <c r="E4" s="28"/>
      <c r="F4" s="30"/>
      <c r="G4" s="30"/>
      <c r="H4" s="30"/>
      <c r="I4" s="30"/>
      <c r="J4" s="27" t="s">
        <v>25</v>
      </c>
      <c r="K4" s="27" t="s">
        <v>26</v>
      </c>
      <c r="L4" s="27" t="s">
        <v>27</v>
      </c>
      <c r="M4" s="27" t="s">
        <v>28</v>
      </c>
      <c r="N4" s="27" t="s">
        <v>29</v>
      </c>
      <c r="O4" s="27" t="s">
        <v>30</v>
      </c>
      <c r="P4" s="27" t="s">
        <v>31</v>
      </c>
      <c r="Q4" s="27"/>
      <c r="R4" s="27"/>
      <c r="S4" s="27"/>
      <c r="T4" s="38"/>
      <c r="U4" s="39"/>
      <c r="V4" s="39"/>
      <c r="W4" s="39"/>
      <c r="X4" s="39"/>
    </row>
    <row r="5" s="19" customFormat="1" spans="1:24">
      <c r="A5" s="27"/>
      <c r="B5" s="27"/>
      <c r="C5" s="27"/>
      <c r="D5" s="27"/>
      <c r="E5" s="28"/>
      <c r="F5" s="28"/>
      <c r="G5" s="28"/>
      <c r="H5" s="28"/>
      <c r="I5" s="28"/>
      <c r="J5" s="27"/>
      <c r="K5" s="27" t="s">
        <v>32</v>
      </c>
      <c r="L5" s="27" t="s">
        <v>33</v>
      </c>
      <c r="M5" s="27" t="s">
        <v>34</v>
      </c>
      <c r="N5" s="27"/>
      <c r="O5" s="35">
        <v>0.1</v>
      </c>
      <c r="P5" s="35">
        <v>0.09</v>
      </c>
      <c r="Q5" s="27"/>
      <c r="R5" s="27"/>
      <c r="S5" s="27"/>
      <c r="T5" s="38"/>
      <c r="U5" s="39"/>
      <c r="V5" s="39"/>
      <c r="W5" s="39"/>
      <c r="X5" s="39"/>
    </row>
    <row r="6" s="19" customFormat="1" ht="20" customHeight="1" spans="1:24">
      <c r="A6" s="27">
        <v>1</v>
      </c>
      <c r="B6" s="41" t="s">
        <v>9</v>
      </c>
      <c r="C6" s="27"/>
      <c r="D6" s="27"/>
      <c r="E6" s="28"/>
      <c r="F6" s="28"/>
      <c r="G6" s="28"/>
      <c r="H6" s="28"/>
      <c r="I6" s="28"/>
      <c r="J6" s="36"/>
      <c r="K6" s="31"/>
      <c r="L6" s="36"/>
      <c r="M6" s="43"/>
      <c r="N6" s="31"/>
      <c r="O6" s="31"/>
      <c r="P6" s="31"/>
      <c r="Q6" s="31"/>
      <c r="R6" s="31"/>
      <c r="S6" s="28"/>
      <c r="T6" s="38"/>
      <c r="U6" s="39"/>
      <c r="V6" s="39"/>
      <c r="W6" s="39"/>
      <c r="X6" s="39"/>
    </row>
    <row r="7" s="19" customFormat="1" ht="20" customHeight="1" outlineLevel="1" spans="1:24">
      <c r="A7" s="27">
        <v>2</v>
      </c>
      <c r="B7" s="41" t="s">
        <v>35</v>
      </c>
      <c r="C7" s="27"/>
      <c r="D7" s="27"/>
      <c r="E7" s="28"/>
      <c r="F7" s="28"/>
      <c r="G7" s="28"/>
      <c r="H7" s="28"/>
      <c r="I7" s="28"/>
      <c r="J7" s="36"/>
      <c r="K7" s="31"/>
      <c r="L7" s="36"/>
      <c r="M7" s="43"/>
      <c r="N7" s="31"/>
      <c r="O7" s="31"/>
      <c r="P7" s="31"/>
      <c r="Q7" s="31">
        <f>SUM(R8:R10)</f>
        <v>7131.87981</v>
      </c>
      <c r="R7" s="31"/>
      <c r="S7" s="28"/>
      <c r="T7" s="38"/>
      <c r="U7" s="39"/>
      <c r="V7" s="39"/>
      <c r="W7" s="39"/>
      <c r="X7" s="39"/>
    </row>
    <row r="8" s="19" customFormat="1" ht="75" customHeight="1" outlineLevel="1" spans="1:24">
      <c r="A8" s="27">
        <v>3</v>
      </c>
      <c r="B8" s="27" t="s">
        <v>36</v>
      </c>
      <c r="C8" s="27" t="s">
        <v>37</v>
      </c>
      <c r="D8" s="27" t="s">
        <v>38</v>
      </c>
      <c r="E8" s="31">
        <f>SUM(F8:I8)</f>
        <v>12.85</v>
      </c>
      <c r="F8" s="31">
        <v>0</v>
      </c>
      <c r="G8" s="31">
        <f>(2.5*2*2+7.25*2*2)*0.1</f>
        <v>3.9</v>
      </c>
      <c r="H8" s="31">
        <f>(14.3-1.15)*0.1*2+(19.6-1.15)*0.1</f>
        <v>4.475</v>
      </c>
      <c r="I8" s="31">
        <f>(14.3-1.15)*0.1*2+(19.6-1.15)*0.1</f>
        <v>4.475</v>
      </c>
      <c r="J8" s="31">
        <v>75</v>
      </c>
      <c r="K8" s="31">
        <f>(1+M8)*L8</f>
        <v>110</v>
      </c>
      <c r="L8" s="36">
        <v>100</v>
      </c>
      <c r="M8" s="37">
        <v>0.1</v>
      </c>
      <c r="N8" s="31">
        <v>30</v>
      </c>
      <c r="O8" s="31">
        <f>(J8+K8+N8)*$O$5</f>
        <v>21.5</v>
      </c>
      <c r="P8" s="31">
        <f>(J8+K8+N8+O8)*$P$5</f>
        <v>21.285</v>
      </c>
      <c r="Q8" s="31">
        <f>J8+K8+N8+O8+P8</f>
        <v>257.785</v>
      </c>
      <c r="R8" s="31">
        <f>E8*Q8</f>
        <v>3312.53725</v>
      </c>
      <c r="S8" s="28" t="s">
        <v>39</v>
      </c>
      <c r="T8" s="38"/>
      <c r="U8" s="39"/>
      <c r="V8" s="39"/>
      <c r="W8" s="39"/>
      <c r="X8" s="39"/>
    </row>
    <row r="9" s="19" customFormat="1" ht="75" customHeight="1" outlineLevel="1" spans="1:24">
      <c r="A9" s="27">
        <v>4</v>
      </c>
      <c r="B9" s="41" t="s">
        <v>40</v>
      </c>
      <c r="C9" s="27"/>
      <c r="D9" s="27"/>
      <c r="E9" s="31"/>
      <c r="F9" s="31"/>
      <c r="G9" s="31"/>
      <c r="H9" s="31"/>
      <c r="I9" s="31"/>
      <c r="J9" s="31"/>
      <c r="K9" s="31"/>
      <c r="L9" s="31"/>
      <c r="M9" s="37"/>
      <c r="N9" s="31"/>
      <c r="O9" s="31"/>
      <c r="P9" s="31"/>
      <c r="Q9" s="31"/>
      <c r="R9" s="31"/>
      <c r="S9" s="28"/>
      <c r="T9" s="38"/>
      <c r="U9" s="39"/>
      <c r="V9" s="39"/>
      <c r="W9" s="39"/>
      <c r="X9" s="39"/>
    </row>
    <row r="10" s="19" customFormat="1" ht="69" customHeight="1" outlineLevel="1" spans="1:24">
      <c r="A10" s="27">
        <v>5</v>
      </c>
      <c r="B10" s="27" t="s">
        <v>36</v>
      </c>
      <c r="C10" s="27" t="s">
        <v>37</v>
      </c>
      <c r="D10" s="27" t="s">
        <v>38</v>
      </c>
      <c r="E10" s="31">
        <f>SUM(F10:I10)</f>
        <v>14.816</v>
      </c>
      <c r="F10" s="31">
        <f>(5.1*2+2.92*2+5.1*2+2.51*2)*0.1</f>
        <v>3.126</v>
      </c>
      <c r="G10" s="31">
        <f>(4.35*2+2.5*2)*2*0.1</f>
        <v>2.74</v>
      </c>
      <c r="H10" s="31">
        <f>(14.3-1.15)*0.1*2+(19.6-1.15)*0.1</f>
        <v>4.475</v>
      </c>
      <c r="I10" s="31">
        <f>(14.3-1.15)*0.1*2+(19.6-1.15)*0.1</f>
        <v>4.475</v>
      </c>
      <c r="J10" s="31">
        <v>75</v>
      </c>
      <c r="K10" s="31">
        <f>(1+M10)*L10</f>
        <v>110</v>
      </c>
      <c r="L10" s="36">
        <v>100</v>
      </c>
      <c r="M10" s="37">
        <v>0.1</v>
      </c>
      <c r="N10" s="31">
        <v>30</v>
      </c>
      <c r="O10" s="31">
        <f>(J10+K10+N10)*$O$5</f>
        <v>21.5</v>
      </c>
      <c r="P10" s="31">
        <f>(J10+K10+N10+O10)*$P$5</f>
        <v>21.285</v>
      </c>
      <c r="Q10" s="31">
        <f>J10+K10+N10+O10+P10</f>
        <v>257.785</v>
      </c>
      <c r="R10" s="31">
        <f>E10*Q10</f>
        <v>3819.34256</v>
      </c>
      <c r="S10" s="28" t="s">
        <v>39</v>
      </c>
      <c r="T10" s="38"/>
      <c r="U10" s="39"/>
      <c r="V10" s="39"/>
      <c r="W10" s="39"/>
      <c r="X10" s="39"/>
    </row>
    <row r="11" s="20" customFormat="1" ht="16" customHeight="1" spans="1:24">
      <c r="A11" s="42"/>
      <c r="B11" s="27"/>
      <c r="C11" s="27" t="s">
        <v>41</v>
      </c>
      <c r="D11" s="27"/>
      <c r="E11" s="28"/>
      <c r="F11" s="28"/>
      <c r="G11" s="28"/>
      <c r="H11" s="28"/>
      <c r="I11" s="28"/>
      <c r="J11" s="27"/>
      <c r="K11" s="27"/>
      <c r="L11" s="27"/>
      <c r="M11" s="27"/>
      <c r="N11" s="27"/>
      <c r="O11" s="27"/>
      <c r="P11" s="27"/>
      <c r="Q11" s="27"/>
      <c r="R11" s="28">
        <f>SUM(R8:R10)</f>
        <v>7131.87981</v>
      </c>
      <c r="S11" s="27"/>
      <c r="T11" s="38"/>
      <c r="U11" s="39"/>
      <c r="V11" s="39"/>
      <c r="W11" s="39"/>
      <c r="X11" s="39"/>
    </row>
    <row r="12" s="20" customFormat="1" ht="36" customHeight="1" spans="1:24">
      <c r="A12" s="32" t="s">
        <v>42</v>
      </c>
      <c r="B12" s="33" t="s">
        <v>43</v>
      </c>
      <c r="C12" s="33"/>
      <c r="D12" s="33"/>
      <c r="E12" s="34"/>
      <c r="F12" s="34"/>
      <c r="G12" s="34"/>
      <c r="H12" s="34"/>
      <c r="I12" s="34"/>
      <c r="J12" s="33"/>
      <c r="K12" s="33"/>
      <c r="L12" s="33"/>
      <c r="M12" s="33"/>
      <c r="N12" s="33"/>
      <c r="O12" s="33"/>
      <c r="P12" s="33"/>
      <c r="Q12" s="33"/>
      <c r="R12" s="33"/>
      <c r="S12" s="33"/>
      <c r="T12" s="38"/>
      <c r="U12" s="39"/>
      <c r="V12" s="39"/>
      <c r="W12" s="39"/>
      <c r="X12" s="39"/>
    </row>
  </sheetData>
  <mergeCells count="20">
    <mergeCell ref="A1:S1"/>
    <mergeCell ref="A2:J2"/>
    <mergeCell ref="K2:Q2"/>
    <mergeCell ref="R2:S2"/>
    <mergeCell ref="J3:P3"/>
    <mergeCell ref="B12:S12"/>
    <mergeCell ref="A3:A5"/>
    <mergeCell ref="B3:B5"/>
    <mergeCell ref="C3:C5"/>
    <mergeCell ref="D3:D5"/>
    <mergeCell ref="E3:E5"/>
    <mergeCell ref="F3:F4"/>
    <mergeCell ref="G3:G4"/>
    <mergeCell ref="H3:H4"/>
    <mergeCell ref="I3:I4"/>
    <mergeCell ref="J4:J5"/>
    <mergeCell ref="N4:N5"/>
    <mergeCell ref="Q3:Q5"/>
    <mergeCell ref="R3:R5"/>
    <mergeCell ref="S3:S5"/>
  </mergeCells>
  <pageMargins left="0.751388888888889" right="0.66875" top="0.786805555555556" bottom="0.66875" header="0.5" footer="0.5"/>
  <pageSetup paperSize="9" scale="89"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8"/>
  <sheetViews>
    <sheetView view="pageBreakPreview" zoomScaleNormal="100" workbookViewId="0">
      <pane ySplit="5" topLeftCell="A6" activePane="bottomLeft" state="frozen"/>
      <selection/>
      <selection pane="bottomLeft" activeCell="J7" sqref="J7"/>
    </sheetView>
  </sheetViews>
  <sheetFormatPr defaultColWidth="9" defaultRowHeight="11.25" outlineLevelRow="7"/>
  <cols>
    <col min="1" max="1" width="5.28571428571429" style="20" customWidth="1"/>
    <col min="2" max="2" width="12.8571428571429" style="20" customWidth="1"/>
    <col min="3" max="3" width="31.1333333333333" style="20" customWidth="1"/>
    <col min="4" max="4" width="6.42857142857143" style="20" customWidth="1"/>
    <col min="5" max="5" width="9.16190476190476" style="21" customWidth="1"/>
    <col min="6" max="9" width="9.16190476190476" style="21" hidden="1" customWidth="1" outlineLevel="1"/>
    <col min="10" max="10" width="7.28571428571429" style="20" customWidth="1" collapsed="1"/>
    <col min="11" max="11" width="11.0857142857143" style="20" customWidth="1"/>
    <col min="12" max="12" width="7.37142857142857" style="20" customWidth="1"/>
    <col min="13" max="13" width="5.85714285714286" style="20" customWidth="1"/>
    <col min="14" max="14" width="8.69523809523809" style="20" customWidth="1"/>
    <col min="15" max="15" width="8.57142857142857" style="20" customWidth="1"/>
    <col min="16" max="16" width="8.14285714285714" style="20" customWidth="1"/>
    <col min="17" max="17" width="10.1142857142857" style="20" customWidth="1"/>
    <col min="18" max="18" width="11.1714285714286" style="20" customWidth="1"/>
    <col min="19" max="19" width="8.57142857142857" style="20" customWidth="1"/>
    <col min="20" max="20" width="12.2857142857143" style="22" customWidth="1"/>
    <col min="21" max="22" width="11" style="20"/>
    <col min="23" max="16384" width="9" style="20"/>
  </cols>
  <sheetData>
    <row r="1" s="19" customFormat="1" ht="25.5" spans="1:24">
      <c r="A1" s="23" t="s">
        <v>44</v>
      </c>
      <c r="B1" s="23"/>
      <c r="C1" s="23"/>
      <c r="D1" s="23"/>
      <c r="E1" s="24"/>
      <c r="F1" s="24"/>
      <c r="G1" s="24"/>
      <c r="H1" s="24"/>
      <c r="I1" s="24"/>
      <c r="J1" s="23"/>
      <c r="K1" s="23"/>
      <c r="L1" s="23"/>
      <c r="M1" s="23"/>
      <c r="N1" s="23"/>
      <c r="O1" s="23"/>
      <c r="P1" s="23"/>
      <c r="Q1" s="23"/>
      <c r="R1" s="23"/>
      <c r="S1" s="23"/>
      <c r="T1" s="38"/>
      <c r="U1" s="39"/>
      <c r="V1" s="39"/>
      <c r="W1" s="39"/>
      <c r="X1" s="39"/>
    </row>
    <row r="2" s="19" customFormat="1" spans="1:24">
      <c r="A2" s="25" t="s">
        <v>45</v>
      </c>
      <c r="B2" s="25"/>
      <c r="C2" s="25"/>
      <c r="D2" s="25"/>
      <c r="E2" s="26"/>
      <c r="F2" s="26"/>
      <c r="G2" s="26"/>
      <c r="H2" s="26"/>
      <c r="I2" s="26"/>
      <c r="J2" s="25"/>
      <c r="K2" s="25"/>
      <c r="L2" s="25"/>
      <c r="M2" s="25"/>
      <c r="N2" s="25"/>
      <c r="O2" s="25"/>
      <c r="P2" s="25"/>
      <c r="Q2" s="25"/>
      <c r="R2" s="25"/>
      <c r="S2" s="25"/>
      <c r="T2" s="38"/>
      <c r="U2" s="39"/>
      <c r="V2" s="39"/>
      <c r="W2" s="39"/>
      <c r="X2" s="39"/>
    </row>
    <row r="3" s="19" customFormat="1" spans="1:24">
      <c r="A3" s="27" t="s">
        <v>13</v>
      </c>
      <c r="B3" s="27" t="s">
        <v>14</v>
      </c>
      <c r="C3" s="27" t="s">
        <v>15</v>
      </c>
      <c r="D3" s="27" t="s">
        <v>3</v>
      </c>
      <c r="E3" s="28" t="s">
        <v>16</v>
      </c>
      <c r="F3" s="29" t="s">
        <v>46</v>
      </c>
      <c r="G3" s="29" t="s">
        <v>47</v>
      </c>
      <c r="H3" s="29" t="s">
        <v>48</v>
      </c>
      <c r="I3" s="29" t="s">
        <v>49</v>
      </c>
      <c r="J3" s="27" t="s">
        <v>21</v>
      </c>
      <c r="K3" s="27"/>
      <c r="L3" s="27"/>
      <c r="M3" s="27"/>
      <c r="N3" s="27"/>
      <c r="O3" s="27"/>
      <c r="P3" s="27"/>
      <c r="Q3" s="27" t="s">
        <v>22</v>
      </c>
      <c r="R3" s="27" t="s">
        <v>23</v>
      </c>
      <c r="S3" s="27" t="s">
        <v>24</v>
      </c>
      <c r="T3" s="38"/>
      <c r="U3" s="39"/>
      <c r="V3" s="39"/>
      <c r="W3" s="39"/>
      <c r="X3" s="39"/>
    </row>
    <row r="4" s="19" customFormat="1" ht="45" spans="1:24">
      <c r="A4" s="27"/>
      <c r="B4" s="27"/>
      <c r="C4" s="27"/>
      <c r="D4" s="27"/>
      <c r="E4" s="28"/>
      <c r="F4" s="30"/>
      <c r="G4" s="30"/>
      <c r="H4" s="30"/>
      <c r="I4" s="30"/>
      <c r="J4" s="27" t="s">
        <v>25</v>
      </c>
      <c r="K4" s="27" t="s">
        <v>26</v>
      </c>
      <c r="L4" s="27" t="s">
        <v>27</v>
      </c>
      <c r="M4" s="27" t="s">
        <v>28</v>
      </c>
      <c r="N4" s="27" t="s">
        <v>29</v>
      </c>
      <c r="O4" s="27" t="s">
        <v>30</v>
      </c>
      <c r="P4" s="27" t="s">
        <v>31</v>
      </c>
      <c r="Q4" s="27"/>
      <c r="R4" s="27"/>
      <c r="S4" s="27"/>
      <c r="T4" s="38"/>
      <c r="U4" s="39"/>
      <c r="V4" s="39"/>
      <c r="W4" s="39"/>
      <c r="X4" s="39"/>
    </row>
    <row r="5" s="19" customFormat="1" spans="1:24">
      <c r="A5" s="27"/>
      <c r="B5" s="27"/>
      <c r="C5" s="27"/>
      <c r="D5" s="27"/>
      <c r="E5" s="28"/>
      <c r="F5" s="28"/>
      <c r="G5" s="28"/>
      <c r="H5" s="28"/>
      <c r="I5" s="28"/>
      <c r="J5" s="27"/>
      <c r="K5" s="27" t="s">
        <v>32</v>
      </c>
      <c r="L5" s="27" t="s">
        <v>33</v>
      </c>
      <c r="M5" s="27" t="s">
        <v>34</v>
      </c>
      <c r="N5" s="27"/>
      <c r="O5" s="35">
        <f>高层公区精装土建工程综合单价分析表!O5</f>
        <v>0.1</v>
      </c>
      <c r="P5" s="35">
        <f>高层公区精装土建工程综合单价分析表!P5</f>
        <v>0.09</v>
      </c>
      <c r="Q5" s="27"/>
      <c r="R5" s="27"/>
      <c r="S5" s="27"/>
      <c r="T5" s="38"/>
      <c r="U5" s="39"/>
      <c r="V5" s="39"/>
      <c r="W5" s="39"/>
      <c r="X5" s="39"/>
    </row>
    <row r="6" s="19" customFormat="1" ht="102" customHeight="1" outlineLevel="2" spans="1:24">
      <c r="A6" s="27">
        <v>1</v>
      </c>
      <c r="B6" s="27" t="s">
        <v>36</v>
      </c>
      <c r="C6" s="27" t="s">
        <v>37</v>
      </c>
      <c r="D6" s="27" t="s">
        <v>38</v>
      </c>
      <c r="E6" s="31">
        <f>SUM(F6:I6)</f>
        <v>115.83</v>
      </c>
      <c r="F6" s="31">
        <f>(4.75*2+2.5*2-1.15)*0.1*11*2</f>
        <v>29.37</v>
      </c>
      <c r="G6" s="31">
        <f t="shared" ref="G6:I6" si="0">(5.3*2+2.5)*11*2*0.1</f>
        <v>28.82</v>
      </c>
      <c r="H6" s="31">
        <f t="shared" si="0"/>
        <v>28.82</v>
      </c>
      <c r="I6" s="31">
        <f t="shared" si="0"/>
        <v>28.82</v>
      </c>
      <c r="J6" s="31">
        <v>75</v>
      </c>
      <c r="K6" s="31">
        <f>(1+M6)*L6</f>
        <v>110</v>
      </c>
      <c r="L6" s="36">
        <v>100</v>
      </c>
      <c r="M6" s="37">
        <v>0.1</v>
      </c>
      <c r="N6" s="31">
        <v>30</v>
      </c>
      <c r="O6" s="31">
        <f>(J6+K6+N6)*$O$5</f>
        <v>21.5</v>
      </c>
      <c r="P6" s="31">
        <f>(J6+K6+N6+O6)*$P$5</f>
        <v>21.285</v>
      </c>
      <c r="Q6" s="31">
        <f>J6+K6+N6+O6+P6</f>
        <v>257.785</v>
      </c>
      <c r="R6" s="31">
        <f>E6*Q6</f>
        <v>29859.23655</v>
      </c>
      <c r="S6" s="28" t="s">
        <v>39</v>
      </c>
      <c r="T6" s="38"/>
      <c r="U6" s="39"/>
      <c r="V6" s="39"/>
      <c r="W6" s="39"/>
      <c r="X6" s="39"/>
    </row>
    <row r="7" s="20" customFormat="1" ht="16" customHeight="1" spans="1:24">
      <c r="A7" s="27">
        <v>47</v>
      </c>
      <c r="B7" s="27"/>
      <c r="C7" s="27" t="s">
        <v>41</v>
      </c>
      <c r="D7" s="27"/>
      <c r="E7" s="28"/>
      <c r="F7" s="28"/>
      <c r="G7" s="28"/>
      <c r="H7" s="28"/>
      <c r="I7" s="28"/>
      <c r="J7" s="27"/>
      <c r="K7" s="27"/>
      <c r="L7" s="27"/>
      <c r="M7" s="27"/>
      <c r="N7" s="27"/>
      <c r="O7" s="27"/>
      <c r="P7" s="27"/>
      <c r="Q7" s="27"/>
      <c r="R7" s="28">
        <f>SUM(R6:R6)</f>
        <v>29859.23655</v>
      </c>
      <c r="S7" s="27"/>
      <c r="T7" s="38"/>
      <c r="U7" s="39"/>
      <c r="V7" s="39"/>
      <c r="W7" s="39"/>
      <c r="X7" s="39"/>
    </row>
    <row r="8" s="20" customFormat="1" ht="36" customHeight="1" spans="1:24">
      <c r="A8" s="32" t="s">
        <v>42</v>
      </c>
      <c r="B8" s="33" t="s">
        <v>43</v>
      </c>
      <c r="C8" s="33"/>
      <c r="D8" s="33"/>
      <c r="E8" s="34"/>
      <c r="F8" s="34"/>
      <c r="G8" s="34"/>
      <c r="H8" s="34"/>
      <c r="I8" s="34"/>
      <c r="J8" s="33"/>
      <c r="K8" s="33"/>
      <c r="L8" s="33"/>
      <c r="M8" s="33"/>
      <c r="N8" s="33"/>
      <c r="O8" s="33"/>
      <c r="P8" s="33"/>
      <c r="Q8" s="33"/>
      <c r="R8" s="33"/>
      <c r="S8" s="33"/>
      <c r="T8" s="38"/>
      <c r="U8" s="39"/>
      <c r="V8" s="39"/>
      <c r="W8" s="39"/>
      <c r="X8" s="39"/>
    </row>
  </sheetData>
  <mergeCells count="20">
    <mergeCell ref="A1:S1"/>
    <mergeCell ref="A2:J2"/>
    <mergeCell ref="K2:Q2"/>
    <mergeCell ref="R2:S2"/>
    <mergeCell ref="J3:P3"/>
    <mergeCell ref="B8:S8"/>
    <mergeCell ref="A3:A5"/>
    <mergeCell ref="B3:B5"/>
    <mergeCell ref="C3:C5"/>
    <mergeCell ref="D3:D5"/>
    <mergeCell ref="E3:E5"/>
    <mergeCell ref="F3:F4"/>
    <mergeCell ref="G3:G4"/>
    <mergeCell ref="H3:H4"/>
    <mergeCell ref="I3:I4"/>
    <mergeCell ref="J4:J5"/>
    <mergeCell ref="N4:N5"/>
    <mergeCell ref="Q3:Q5"/>
    <mergeCell ref="R3:R5"/>
    <mergeCell ref="S3:S5"/>
  </mergeCells>
  <pageMargins left="0.751388888888889" right="0.66875" top="0.786805555555556" bottom="0.66875" header="0.5" footer="0.5"/>
  <pageSetup paperSize="9" scale="88"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topLeftCell="N7" workbookViewId="0">
      <selection activeCell="F15" sqref="F15"/>
    </sheetView>
  </sheetViews>
  <sheetFormatPr defaultColWidth="9.14285714285714" defaultRowHeight="12.75"/>
  <cols>
    <col min="1" max="1" width="8" style="3" customWidth="1"/>
    <col min="2" max="2" width="27.1428571428571" style="4" customWidth="1"/>
    <col min="4" max="4" width="12.4285714285714" customWidth="1"/>
    <col min="5" max="6" width="13.2857142857143" customWidth="1"/>
    <col min="7" max="7" width="12.5714285714286" customWidth="1"/>
    <col min="10" max="10" width="22" customWidth="1"/>
    <col min="18" max="18" width="14.5714285714286" customWidth="1"/>
  </cols>
  <sheetData>
    <row r="1" ht="41.1" customHeight="1" spans="1:31">
      <c r="A1" s="5" t="s">
        <v>50</v>
      </c>
      <c r="B1" s="6"/>
      <c r="C1" s="5"/>
      <c r="D1" s="5"/>
      <c r="E1" s="5"/>
      <c r="F1" s="5"/>
      <c r="G1" s="5"/>
      <c r="I1" s="18" t="s">
        <v>51</v>
      </c>
      <c r="J1" s="6"/>
      <c r="K1" s="5"/>
      <c r="L1" s="5"/>
      <c r="M1" s="5"/>
      <c r="N1" s="5"/>
      <c r="O1" s="5"/>
      <c r="Q1" s="18" t="s">
        <v>52</v>
      </c>
      <c r="R1" s="6"/>
      <c r="S1" s="5"/>
      <c r="T1" s="5"/>
      <c r="U1" s="5"/>
      <c r="V1" s="5"/>
      <c r="W1" s="5"/>
      <c r="Y1" s="18" t="s">
        <v>53</v>
      </c>
      <c r="Z1" s="6"/>
      <c r="AA1" s="5"/>
      <c r="AB1" s="5"/>
      <c r="AC1" s="5"/>
      <c r="AD1" s="5"/>
      <c r="AE1" s="5"/>
    </row>
    <row r="2" s="1" customFormat="1" ht="38.1" customHeight="1" spans="1:31">
      <c r="A2" s="7" t="s">
        <v>13</v>
      </c>
      <c r="B2" s="8" t="s">
        <v>2</v>
      </c>
      <c r="C2" s="7" t="s">
        <v>3</v>
      </c>
      <c r="D2" s="7" t="s">
        <v>54</v>
      </c>
      <c r="E2" s="7" t="s">
        <v>55</v>
      </c>
      <c r="F2" s="7" t="s">
        <v>41</v>
      </c>
      <c r="G2" s="7" t="s">
        <v>6</v>
      </c>
      <c r="I2" s="7" t="s">
        <v>13</v>
      </c>
      <c r="J2" s="8" t="s">
        <v>2</v>
      </c>
      <c r="K2" s="7" t="s">
        <v>3</v>
      </c>
      <c r="L2" s="7" t="s">
        <v>54</v>
      </c>
      <c r="M2" s="7" t="s">
        <v>55</v>
      </c>
      <c r="N2" s="7" t="s">
        <v>41</v>
      </c>
      <c r="O2" s="7" t="s">
        <v>6</v>
      </c>
      <c r="Q2" s="7" t="s">
        <v>13</v>
      </c>
      <c r="R2" s="8" t="s">
        <v>2</v>
      </c>
      <c r="S2" s="7" t="s">
        <v>3</v>
      </c>
      <c r="T2" s="7" t="s">
        <v>54</v>
      </c>
      <c r="U2" s="7" t="s">
        <v>55</v>
      </c>
      <c r="V2" s="7" t="s">
        <v>41</v>
      </c>
      <c r="W2" s="7" t="s">
        <v>6</v>
      </c>
      <c r="Y2" s="7" t="s">
        <v>13</v>
      </c>
      <c r="Z2" s="8" t="s">
        <v>2</v>
      </c>
      <c r="AA2" s="7" t="s">
        <v>3</v>
      </c>
      <c r="AB2" s="7" t="s">
        <v>54</v>
      </c>
      <c r="AC2" s="7" t="s">
        <v>55</v>
      </c>
      <c r="AD2" s="7" t="s">
        <v>41</v>
      </c>
      <c r="AE2" s="7" t="s">
        <v>6</v>
      </c>
    </row>
    <row r="3" s="2" customFormat="1" ht="38.1" customHeight="1" spans="1:31">
      <c r="A3" s="7"/>
      <c r="B3" s="9" t="s">
        <v>56</v>
      </c>
      <c r="C3" s="10"/>
      <c r="D3" s="10"/>
      <c r="E3" s="10"/>
      <c r="F3" s="10"/>
      <c r="G3" s="10"/>
      <c r="I3" s="7"/>
      <c r="J3" s="9" t="s">
        <v>56</v>
      </c>
      <c r="K3" s="10"/>
      <c r="L3" s="10"/>
      <c r="M3" s="10"/>
      <c r="N3" s="10"/>
      <c r="O3" s="10"/>
      <c r="Q3" s="7"/>
      <c r="R3" s="9" t="s">
        <v>56</v>
      </c>
      <c r="S3" s="10"/>
      <c r="T3" s="10"/>
      <c r="U3" s="10"/>
      <c r="V3" s="10"/>
      <c r="W3" s="10"/>
      <c r="Y3" s="7"/>
      <c r="Z3" s="9" t="s">
        <v>56</v>
      </c>
      <c r="AA3" s="10"/>
      <c r="AB3" s="10"/>
      <c r="AC3" s="10"/>
      <c r="AD3" s="10"/>
      <c r="AE3" s="10"/>
    </row>
    <row r="4" ht="48.95" customHeight="1" spans="1:31">
      <c r="A4" s="11">
        <v>1</v>
      </c>
      <c r="B4" s="12" t="s">
        <v>57</v>
      </c>
      <c r="C4" s="13" t="s">
        <v>58</v>
      </c>
      <c r="D4" s="14">
        <v>2</v>
      </c>
      <c r="E4" s="14"/>
      <c r="F4" s="14"/>
      <c r="G4" s="14"/>
      <c r="I4" s="11">
        <v>1</v>
      </c>
      <c r="J4" s="12" t="s">
        <v>57</v>
      </c>
      <c r="K4" s="13" t="s">
        <v>58</v>
      </c>
      <c r="L4" s="14">
        <v>2</v>
      </c>
      <c r="M4" s="14"/>
      <c r="N4" s="14"/>
      <c r="O4" s="14"/>
      <c r="Q4" s="11">
        <v>1</v>
      </c>
      <c r="R4" s="12" t="s">
        <v>57</v>
      </c>
      <c r="S4" s="13" t="s">
        <v>58</v>
      </c>
      <c r="T4" s="14">
        <v>2</v>
      </c>
      <c r="U4" s="14"/>
      <c r="V4" s="14"/>
      <c r="W4" s="14"/>
      <c r="Y4" s="11">
        <v>1</v>
      </c>
      <c r="Z4" s="12" t="s">
        <v>57</v>
      </c>
      <c r="AA4" s="13" t="s">
        <v>58</v>
      </c>
      <c r="AB4" s="14">
        <v>2</v>
      </c>
      <c r="AC4" s="14"/>
      <c r="AD4" s="14"/>
      <c r="AE4" s="14"/>
    </row>
    <row r="5" ht="48.95" customHeight="1" spans="1:31">
      <c r="A5" s="11">
        <v>3</v>
      </c>
      <c r="B5" s="15" t="s">
        <v>59</v>
      </c>
      <c r="C5" s="14" t="s">
        <v>60</v>
      </c>
      <c r="D5" s="14">
        <f>5.17*2</f>
        <v>10.34</v>
      </c>
      <c r="E5" s="14">
        <v>30.62</v>
      </c>
      <c r="F5" s="14">
        <f>E5*D5</f>
        <v>316.6108</v>
      </c>
      <c r="G5" s="14"/>
      <c r="I5" s="11">
        <v>3</v>
      </c>
      <c r="J5" s="15" t="s">
        <v>59</v>
      </c>
      <c r="K5" s="14" t="s">
        <v>60</v>
      </c>
      <c r="L5" s="14">
        <f>5.17*2</f>
        <v>10.34</v>
      </c>
      <c r="M5" s="14">
        <v>30.62</v>
      </c>
      <c r="N5" s="14">
        <f>M5*L5</f>
        <v>316.6108</v>
      </c>
      <c r="O5" s="14"/>
      <c r="Q5" s="11">
        <v>3</v>
      </c>
      <c r="R5" s="15" t="s">
        <v>59</v>
      </c>
      <c r="S5" s="14" t="s">
        <v>60</v>
      </c>
      <c r="T5" s="14">
        <f>5.17*2</f>
        <v>10.34</v>
      </c>
      <c r="U5" s="14">
        <v>30.62</v>
      </c>
      <c r="V5" s="14">
        <f>U5*T5</f>
        <v>316.6108</v>
      </c>
      <c r="W5" s="14"/>
      <c r="Y5" s="11">
        <v>3</v>
      </c>
      <c r="Z5" s="15" t="s">
        <v>59</v>
      </c>
      <c r="AA5" s="14" t="s">
        <v>60</v>
      </c>
      <c r="AB5" s="14">
        <f>5.17*2</f>
        <v>10.34</v>
      </c>
      <c r="AC5" s="14">
        <v>30.62</v>
      </c>
      <c r="AD5" s="14">
        <f>AC5*AB5</f>
        <v>316.6108</v>
      </c>
      <c r="AE5" s="14"/>
    </row>
    <row r="6" ht="48.95" customHeight="1" spans="1:31">
      <c r="A6" s="11">
        <v>4</v>
      </c>
      <c r="B6" s="15" t="s">
        <v>61</v>
      </c>
      <c r="C6" s="14" t="s">
        <v>60</v>
      </c>
      <c r="D6" s="14">
        <f>5.17*8</f>
        <v>41.36</v>
      </c>
      <c r="E6" s="14">
        <v>8</v>
      </c>
      <c r="F6" s="14">
        <f>E6*D6</f>
        <v>330.88</v>
      </c>
      <c r="G6" s="14"/>
      <c r="I6" s="11">
        <v>4</v>
      </c>
      <c r="J6" s="15" t="s">
        <v>61</v>
      </c>
      <c r="K6" s="14" t="s">
        <v>60</v>
      </c>
      <c r="L6" s="14">
        <f>5.17*8</f>
        <v>41.36</v>
      </c>
      <c r="M6" s="14">
        <v>8</v>
      </c>
      <c r="N6" s="14">
        <f>M6*L6</f>
        <v>330.88</v>
      </c>
      <c r="O6" s="14"/>
      <c r="Q6" s="11">
        <v>4</v>
      </c>
      <c r="R6" s="15" t="s">
        <v>61</v>
      </c>
      <c r="S6" s="14" t="s">
        <v>60</v>
      </c>
      <c r="T6" s="14">
        <f>5.17*8</f>
        <v>41.36</v>
      </c>
      <c r="U6" s="14">
        <v>8</v>
      </c>
      <c r="V6" s="14">
        <f>U6*T6</f>
        <v>330.88</v>
      </c>
      <c r="W6" s="14"/>
      <c r="Y6" s="11">
        <v>4</v>
      </c>
      <c r="Z6" s="15" t="s">
        <v>61</v>
      </c>
      <c r="AA6" s="14" t="s">
        <v>60</v>
      </c>
      <c r="AB6" s="14">
        <f>5.17*8</f>
        <v>41.36</v>
      </c>
      <c r="AC6" s="14">
        <v>8</v>
      </c>
      <c r="AD6" s="14">
        <f>AC6*AB6</f>
        <v>330.88</v>
      </c>
      <c r="AE6" s="14"/>
    </row>
    <row r="7" ht="48.95" customHeight="1" spans="1:31">
      <c r="A7" s="11">
        <v>5</v>
      </c>
      <c r="B7" s="15" t="s">
        <v>62</v>
      </c>
      <c r="C7" s="14" t="s">
        <v>60</v>
      </c>
      <c r="D7" s="14">
        <f>(0.575+0.495+0.858+0.11+0.19+0.787+0.148+0.148+0.475+0.675+0.495+0.855)*6</f>
        <v>34.866</v>
      </c>
      <c r="E7" s="14">
        <v>3.06</v>
      </c>
      <c r="F7" s="14">
        <f t="shared" ref="F7:F21" si="0">E7*D7</f>
        <v>106.68996</v>
      </c>
      <c r="G7" s="14"/>
      <c r="I7" s="11">
        <v>5</v>
      </c>
      <c r="J7" s="15" t="s">
        <v>62</v>
      </c>
      <c r="K7" s="14" t="s">
        <v>60</v>
      </c>
      <c r="L7" s="14">
        <f>(0.575+0.495+0.858+0.11+0.19+0.787+0.148+0.148+0.475+0.675+0.495+0.855)*6</f>
        <v>34.866</v>
      </c>
      <c r="M7" s="14">
        <v>3.06</v>
      </c>
      <c r="N7" s="14">
        <f t="shared" ref="N7:N16" si="1">M7*L7</f>
        <v>106.68996</v>
      </c>
      <c r="O7" s="14"/>
      <c r="Q7" s="11">
        <v>5</v>
      </c>
      <c r="R7" s="15" t="s">
        <v>62</v>
      </c>
      <c r="S7" s="14" t="s">
        <v>60</v>
      </c>
      <c r="T7" s="14">
        <f>(0.575+0.495+0.858+0.11+0.19+0.787+0.148+0.148+0.475+0.675+0.495+0.855)*6</f>
        <v>34.866</v>
      </c>
      <c r="U7" s="14">
        <v>3.06</v>
      </c>
      <c r="V7" s="14">
        <f t="shared" ref="V7:V16" si="2">U7*T7</f>
        <v>106.68996</v>
      </c>
      <c r="W7" s="14"/>
      <c r="Y7" s="11">
        <v>5</v>
      </c>
      <c r="Z7" s="15" t="s">
        <v>62</v>
      </c>
      <c r="AA7" s="14" t="s">
        <v>60</v>
      </c>
      <c r="AB7" s="14">
        <f>(0.575+0.495+0.858+0.11+0.19+0.787+0.148+0.148+0.475+0.675+0.495+0.855)*6</f>
        <v>34.866</v>
      </c>
      <c r="AC7" s="14">
        <v>3.06</v>
      </c>
      <c r="AD7" s="14">
        <f t="shared" ref="AD7:AD16" si="3">AC7*AB7</f>
        <v>106.68996</v>
      </c>
      <c r="AE7" s="14"/>
    </row>
    <row r="8" ht="48.95" customHeight="1" spans="1:31">
      <c r="A8" s="11">
        <v>6</v>
      </c>
      <c r="B8" s="15" t="s">
        <v>63</v>
      </c>
      <c r="C8" s="14" t="s">
        <v>60</v>
      </c>
      <c r="D8" s="14">
        <f>(0.185*2+0.085*2+0.11*2+0.135+0.11*2+0.185*2+0.085*2+0.135)*6</f>
        <v>10.74</v>
      </c>
      <c r="E8" s="14">
        <v>10</v>
      </c>
      <c r="F8" s="14">
        <f t="shared" si="0"/>
        <v>107.4</v>
      </c>
      <c r="G8" s="14"/>
      <c r="I8" s="11">
        <v>6</v>
      </c>
      <c r="J8" s="15" t="s">
        <v>63</v>
      </c>
      <c r="K8" s="14" t="s">
        <v>60</v>
      </c>
      <c r="L8" s="14">
        <f>(0.185*2+0.085*2+0.11*2+0.135+0.11*2+0.185*2+0.085*2+0.135)*6</f>
        <v>10.74</v>
      </c>
      <c r="M8" s="14">
        <v>10</v>
      </c>
      <c r="N8" s="14">
        <f t="shared" si="1"/>
        <v>107.4</v>
      </c>
      <c r="O8" s="14"/>
      <c r="Q8" s="11">
        <v>6</v>
      </c>
      <c r="R8" s="15" t="s">
        <v>63</v>
      </c>
      <c r="S8" s="14" t="s">
        <v>60</v>
      </c>
      <c r="T8" s="14">
        <f>(0.185*2+0.085*2+0.11*2+0.135+0.11*2+0.185*2+0.085*2+0.135)*6</f>
        <v>10.74</v>
      </c>
      <c r="U8" s="14">
        <v>10</v>
      </c>
      <c r="V8" s="14">
        <f t="shared" si="2"/>
        <v>107.4</v>
      </c>
      <c r="W8" s="14"/>
      <c r="Y8" s="11">
        <v>6</v>
      </c>
      <c r="Z8" s="15" t="s">
        <v>63</v>
      </c>
      <c r="AA8" s="14" t="s">
        <v>60</v>
      </c>
      <c r="AB8" s="14">
        <f>(0.185*2+0.085*2+0.11*2+0.135+0.11*2+0.185*2+0.085*2+0.135)*6</f>
        <v>10.74</v>
      </c>
      <c r="AC8" s="14">
        <v>10</v>
      </c>
      <c r="AD8" s="14">
        <f t="shared" si="3"/>
        <v>107.4</v>
      </c>
      <c r="AE8" s="14"/>
    </row>
    <row r="9" ht="78" customHeight="1" spans="1:31">
      <c r="A9" s="11">
        <v>7</v>
      </c>
      <c r="B9" s="12" t="s">
        <v>64</v>
      </c>
      <c r="C9" s="13" t="s">
        <v>58</v>
      </c>
      <c r="D9" s="14">
        <f>6*6</f>
        <v>36</v>
      </c>
      <c r="E9" s="14"/>
      <c r="F9" s="14">
        <f t="shared" si="0"/>
        <v>0</v>
      </c>
      <c r="G9" s="14"/>
      <c r="I9" s="11">
        <v>7</v>
      </c>
      <c r="J9" s="12" t="s">
        <v>64</v>
      </c>
      <c r="K9" s="13" t="s">
        <v>58</v>
      </c>
      <c r="L9" s="14">
        <f>6*6</f>
        <v>36</v>
      </c>
      <c r="M9" s="14"/>
      <c r="N9" s="14">
        <f t="shared" si="1"/>
        <v>0</v>
      </c>
      <c r="O9" s="14"/>
      <c r="Q9" s="11">
        <v>7</v>
      </c>
      <c r="R9" s="12" t="s">
        <v>64</v>
      </c>
      <c r="S9" s="13" t="s">
        <v>58</v>
      </c>
      <c r="T9" s="14">
        <f>6*6</f>
        <v>36</v>
      </c>
      <c r="U9" s="14"/>
      <c r="V9" s="14">
        <f t="shared" si="2"/>
        <v>0</v>
      </c>
      <c r="W9" s="14"/>
      <c r="Y9" s="11">
        <v>7</v>
      </c>
      <c r="Z9" s="12" t="s">
        <v>64</v>
      </c>
      <c r="AA9" s="13" t="s">
        <v>58</v>
      </c>
      <c r="AB9" s="14">
        <f>6*6</f>
        <v>36</v>
      </c>
      <c r="AC9" s="14"/>
      <c r="AD9" s="14">
        <f t="shared" si="3"/>
        <v>0</v>
      </c>
      <c r="AE9" s="14"/>
    </row>
    <row r="10" ht="78" customHeight="1" spans="1:31">
      <c r="A10" s="11"/>
      <c r="B10" s="12" t="s">
        <v>65</v>
      </c>
      <c r="C10" s="13"/>
      <c r="D10" s="14">
        <f>0.21*7</f>
        <v>1.47</v>
      </c>
      <c r="E10" s="14">
        <v>3.06</v>
      </c>
      <c r="F10" s="14">
        <f t="shared" si="0"/>
        <v>4.4982</v>
      </c>
      <c r="G10" s="14"/>
      <c r="I10" s="11"/>
      <c r="J10" s="12" t="s">
        <v>65</v>
      </c>
      <c r="K10" s="13"/>
      <c r="L10" s="14">
        <f>0.21*7</f>
        <v>1.47</v>
      </c>
      <c r="M10" s="14">
        <v>3.06</v>
      </c>
      <c r="N10" s="14">
        <f t="shared" si="1"/>
        <v>4.4982</v>
      </c>
      <c r="O10" s="14"/>
      <c r="Q10" s="11"/>
      <c r="R10" s="12" t="s">
        <v>65</v>
      </c>
      <c r="S10" s="13"/>
      <c r="T10" s="14">
        <f>0.21*7</f>
        <v>1.47</v>
      </c>
      <c r="U10" s="14">
        <v>3.06</v>
      </c>
      <c r="V10" s="14">
        <f t="shared" si="2"/>
        <v>4.4982</v>
      </c>
      <c r="W10" s="14"/>
      <c r="Y10" s="11"/>
      <c r="Z10" s="12" t="s">
        <v>65</v>
      </c>
      <c r="AA10" s="13"/>
      <c r="AB10" s="14">
        <f>0.21*7</f>
        <v>1.47</v>
      </c>
      <c r="AC10" s="14">
        <v>3.06</v>
      </c>
      <c r="AD10" s="14">
        <f t="shared" si="3"/>
        <v>4.4982</v>
      </c>
      <c r="AE10" s="14"/>
    </row>
    <row r="11" ht="42" customHeight="1" spans="1:31">
      <c r="A11" s="11"/>
      <c r="B11" s="16" t="s">
        <v>66</v>
      </c>
      <c r="C11" s="13"/>
      <c r="D11" s="14"/>
      <c r="E11" s="14"/>
      <c r="F11" s="14">
        <f t="shared" si="0"/>
        <v>0</v>
      </c>
      <c r="G11" s="14"/>
      <c r="I11" s="11"/>
      <c r="J11" s="16" t="s">
        <v>66</v>
      </c>
      <c r="K11" s="13"/>
      <c r="L11" s="14"/>
      <c r="M11" s="14"/>
      <c r="N11" s="14">
        <f t="shared" si="1"/>
        <v>0</v>
      </c>
      <c r="O11" s="14"/>
      <c r="Q11" s="11"/>
      <c r="R11" s="16" t="s">
        <v>66</v>
      </c>
      <c r="S11" s="13"/>
      <c r="T11" s="14"/>
      <c r="U11" s="14"/>
      <c r="V11" s="14">
        <f t="shared" si="2"/>
        <v>0</v>
      </c>
      <c r="W11" s="14"/>
      <c r="Y11" s="11"/>
      <c r="Z11" s="16" t="s">
        <v>66</v>
      </c>
      <c r="AA11" s="13"/>
      <c r="AB11" s="14"/>
      <c r="AC11" s="14"/>
      <c r="AD11" s="14">
        <f t="shared" si="3"/>
        <v>0</v>
      </c>
      <c r="AE11" s="14"/>
    </row>
    <row r="12" ht="48.95" customHeight="1" spans="1:31">
      <c r="A12" s="11">
        <v>1</v>
      </c>
      <c r="B12" s="15" t="s">
        <v>62</v>
      </c>
      <c r="C12" s="14" t="s">
        <v>60</v>
      </c>
      <c r="D12" s="14">
        <f>(0.547+0.156+0.686+1.112+1.137)*2+1.13*4+(0.547+0.156+0.686)*3*2+(1.55+1.7+1.055)*3</f>
        <v>33.045</v>
      </c>
      <c r="E12" s="14"/>
      <c r="F12" s="14">
        <f t="shared" si="0"/>
        <v>0</v>
      </c>
      <c r="G12" s="14"/>
      <c r="I12" s="11">
        <v>1</v>
      </c>
      <c r="J12" s="15" t="s">
        <v>62</v>
      </c>
      <c r="K12" s="14" t="s">
        <v>60</v>
      </c>
      <c r="L12" s="14">
        <f>(0.547+0.156+0.686+1.112+1.137)*2+1.13*4+(0.547+0.156+0.686)*3*2+(1.55+1.7+1.055)*3</f>
        <v>33.045</v>
      </c>
      <c r="M12" s="14">
        <f>M10</f>
        <v>3.06</v>
      </c>
      <c r="N12" s="14">
        <f t="shared" si="1"/>
        <v>101.1177</v>
      </c>
      <c r="O12" s="14"/>
      <c r="Q12" s="11">
        <v>1</v>
      </c>
      <c r="R12" s="15" t="s">
        <v>62</v>
      </c>
      <c r="S12" s="14" t="s">
        <v>60</v>
      </c>
      <c r="T12" s="14">
        <f>(0.547+0.156+0.686+1.112+1.137)*2+1.13*4+(0.547+0.156+0.686)*3*2+(1.55+1.7+1.055)*3</f>
        <v>33.045</v>
      </c>
      <c r="U12" s="14">
        <f>U10</f>
        <v>3.06</v>
      </c>
      <c r="V12" s="14">
        <f t="shared" si="2"/>
        <v>101.1177</v>
      </c>
      <c r="W12" s="14"/>
      <c r="Y12" s="11">
        <v>1</v>
      </c>
      <c r="Z12" s="15" t="s">
        <v>62</v>
      </c>
      <c r="AA12" s="14" t="s">
        <v>60</v>
      </c>
      <c r="AB12" s="14">
        <f>(0.547+0.156+0.686+1.112)*2+(0.547+0.156+0.686)*3*2+(1.55+1.055)*3</f>
        <v>21.151</v>
      </c>
      <c r="AC12" s="14">
        <f>AC10</f>
        <v>3.06</v>
      </c>
      <c r="AD12" s="14">
        <f t="shared" si="3"/>
        <v>64.72206</v>
      </c>
      <c r="AE12" s="14"/>
    </row>
    <row r="13" ht="48.95" customHeight="1" spans="1:31">
      <c r="A13" s="11"/>
      <c r="B13" s="12" t="s">
        <v>67</v>
      </c>
      <c r="C13" s="13" t="s">
        <v>58</v>
      </c>
      <c r="D13" s="14">
        <f>3*2</f>
        <v>6</v>
      </c>
      <c r="E13" s="14"/>
      <c r="F13" s="14">
        <f t="shared" si="0"/>
        <v>0</v>
      </c>
      <c r="G13" s="14"/>
      <c r="I13" s="11"/>
      <c r="J13" s="12" t="s">
        <v>67</v>
      </c>
      <c r="K13" s="13" t="s">
        <v>58</v>
      </c>
      <c r="L13" s="14">
        <f>3*2</f>
        <v>6</v>
      </c>
      <c r="M13" s="14"/>
      <c r="N13" s="14">
        <f t="shared" si="1"/>
        <v>0</v>
      </c>
      <c r="O13" s="14"/>
      <c r="Q13" s="11"/>
      <c r="R13" s="12" t="s">
        <v>67</v>
      </c>
      <c r="S13" s="13" t="s">
        <v>58</v>
      </c>
      <c r="T13" s="14">
        <f>3*2</f>
        <v>6</v>
      </c>
      <c r="U13" s="14"/>
      <c r="V13" s="14">
        <f t="shared" si="2"/>
        <v>0</v>
      </c>
      <c r="W13" s="14"/>
      <c r="Y13" s="11"/>
      <c r="Z13" s="12" t="s">
        <v>67</v>
      </c>
      <c r="AA13" s="13" t="s">
        <v>58</v>
      </c>
      <c r="AB13" s="14">
        <f>3*2</f>
        <v>6</v>
      </c>
      <c r="AC13" s="14"/>
      <c r="AD13" s="14">
        <f t="shared" si="3"/>
        <v>0</v>
      </c>
      <c r="AE13" s="14"/>
    </row>
    <row r="14" ht="48.95" customHeight="1" spans="1:31">
      <c r="A14" s="11"/>
      <c r="B14" s="16" t="s">
        <v>68</v>
      </c>
      <c r="C14" s="14"/>
      <c r="D14" s="14"/>
      <c r="E14" s="14"/>
      <c r="F14" s="14">
        <f t="shared" si="0"/>
        <v>0</v>
      </c>
      <c r="G14" s="14"/>
      <c r="I14" s="11"/>
      <c r="J14" s="16" t="s">
        <v>68</v>
      </c>
      <c r="K14" s="14"/>
      <c r="L14" s="14"/>
      <c r="M14" s="14"/>
      <c r="N14" s="14">
        <f t="shared" si="1"/>
        <v>0</v>
      </c>
      <c r="O14" s="14"/>
      <c r="Q14" s="11"/>
      <c r="R14" s="16" t="s">
        <v>68</v>
      </c>
      <c r="S14" s="14"/>
      <c r="T14" s="14"/>
      <c r="U14" s="14"/>
      <c r="V14" s="14">
        <f t="shared" si="2"/>
        <v>0</v>
      </c>
      <c r="W14" s="14"/>
      <c r="Y14" s="11"/>
      <c r="Z14" s="16" t="s">
        <v>68</v>
      </c>
      <c r="AA14" s="14"/>
      <c r="AB14" s="14"/>
      <c r="AC14" s="14"/>
      <c r="AD14" s="14">
        <f t="shared" si="3"/>
        <v>0</v>
      </c>
      <c r="AE14" s="14"/>
    </row>
    <row r="15" ht="48.95" customHeight="1" spans="1:31">
      <c r="A15" s="11"/>
      <c r="B15" s="15" t="s">
        <v>62</v>
      </c>
      <c r="C15" s="14" t="s">
        <v>60</v>
      </c>
      <c r="D15" s="14">
        <f>(0.543+0.156+0.686+1.112+1.133*2+0.296*3)*3+3.98*3+(1.55+1.7+1.055)*3</f>
        <v>41.808</v>
      </c>
      <c r="E15" s="14">
        <v>3.06</v>
      </c>
      <c r="F15" s="14">
        <f t="shared" si="0"/>
        <v>127.93248</v>
      </c>
      <c r="G15" s="14"/>
      <c r="I15" s="11"/>
      <c r="J15" s="15" t="s">
        <v>62</v>
      </c>
      <c r="K15" s="14" t="s">
        <v>60</v>
      </c>
      <c r="L15" s="14">
        <f>(0.543+0.156+0.686+1.112+1.133*2+0.296*3)*3+3.98*3+(1.55+1.7+1.055)*3</f>
        <v>41.808</v>
      </c>
      <c r="M15" s="14">
        <v>3.06</v>
      </c>
      <c r="N15" s="14">
        <f t="shared" si="1"/>
        <v>127.93248</v>
      </c>
      <c r="O15" s="14"/>
      <c r="Q15" s="11"/>
      <c r="R15" s="15" t="s">
        <v>62</v>
      </c>
      <c r="S15" s="14" t="s">
        <v>60</v>
      </c>
      <c r="T15" s="14">
        <f>(0.543+0.156+0.686+1.112+1.133*2+0.296*3)*3+3.98*3+(1.55+1.7+1.055)*3</f>
        <v>41.808</v>
      </c>
      <c r="U15" s="14">
        <v>3.06</v>
      </c>
      <c r="V15" s="14">
        <f t="shared" si="2"/>
        <v>127.93248</v>
      </c>
      <c r="W15" s="14"/>
      <c r="Y15" s="11"/>
      <c r="Z15" s="15" t="s">
        <v>62</v>
      </c>
      <c r="AA15" s="14" t="s">
        <v>60</v>
      </c>
      <c r="AB15" s="14">
        <f>(0.543+0.156+0.686+1.112+1.133*2+0.296*3)*3+3.98*3+(1.55+1.7+1.055)*3</f>
        <v>41.808</v>
      </c>
      <c r="AC15" s="14">
        <v>3.06</v>
      </c>
      <c r="AD15" s="14">
        <f t="shared" si="3"/>
        <v>127.93248</v>
      </c>
      <c r="AE15" s="14"/>
    </row>
    <row r="16" ht="48.95" customHeight="1" spans="1:31">
      <c r="A16" s="11"/>
      <c r="B16" s="12" t="s">
        <v>69</v>
      </c>
      <c r="C16" s="13" t="s">
        <v>58</v>
      </c>
      <c r="D16" s="14">
        <f>5*3</f>
        <v>15</v>
      </c>
      <c r="E16" s="14"/>
      <c r="F16" s="14">
        <f t="shared" si="0"/>
        <v>0</v>
      </c>
      <c r="G16" s="14"/>
      <c r="I16" s="11"/>
      <c r="J16" s="12" t="s">
        <v>69</v>
      </c>
      <c r="K16" s="13" t="s">
        <v>58</v>
      </c>
      <c r="L16" s="14">
        <f>5*3</f>
        <v>15</v>
      </c>
      <c r="M16" s="14"/>
      <c r="N16" s="14">
        <f t="shared" si="1"/>
        <v>0</v>
      </c>
      <c r="O16" s="14"/>
      <c r="Q16" s="11"/>
      <c r="R16" s="12" t="s">
        <v>69</v>
      </c>
      <c r="S16" s="13" t="s">
        <v>58</v>
      </c>
      <c r="T16" s="14">
        <f>5*3</f>
        <v>15</v>
      </c>
      <c r="U16" s="14"/>
      <c r="V16" s="14">
        <f t="shared" si="2"/>
        <v>0</v>
      </c>
      <c r="W16" s="14"/>
      <c r="Y16" s="11"/>
      <c r="Z16" s="12" t="s">
        <v>69</v>
      </c>
      <c r="AA16" s="13" t="s">
        <v>58</v>
      </c>
      <c r="AB16" s="14">
        <f>5*3</f>
        <v>15</v>
      </c>
      <c r="AC16" s="14"/>
      <c r="AD16" s="14">
        <f t="shared" si="3"/>
        <v>0</v>
      </c>
      <c r="AE16" s="14"/>
    </row>
    <row r="17" ht="48.95" customHeight="1" spans="1:31">
      <c r="A17" s="11"/>
      <c r="B17" s="17" t="s">
        <v>70</v>
      </c>
      <c r="C17" s="14"/>
      <c r="D17" s="14"/>
      <c r="E17" s="14"/>
      <c r="F17" s="14">
        <f t="shared" si="0"/>
        <v>0</v>
      </c>
      <c r="G17" s="14"/>
      <c r="I17" s="11"/>
      <c r="J17" s="17"/>
      <c r="K17" s="14"/>
      <c r="L17" s="14"/>
      <c r="M17" s="14"/>
      <c r="N17" s="14"/>
      <c r="O17" s="14"/>
      <c r="Q17" s="11"/>
      <c r="R17" s="17"/>
      <c r="S17" s="14"/>
      <c r="T17" s="14"/>
      <c r="U17" s="14"/>
      <c r="V17" s="14"/>
      <c r="W17" s="14"/>
      <c r="Y17" s="11"/>
      <c r="Z17" s="17"/>
      <c r="AA17" s="14"/>
      <c r="AB17" s="14"/>
      <c r="AC17" s="14"/>
      <c r="AD17" s="14"/>
      <c r="AE17" s="14"/>
    </row>
    <row r="18" ht="48.95" customHeight="1" spans="1:31">
      <c r="A18" s="11">
        <v>1</v>
      </c>
      <c r="B18" s="12" t="s">
        <v>71</v>
      </c>
      <c r="C18" s="14" t="s">
        <v>60</v>
      </c>
      <c r="D18" s="14">
        <f>2.55*4*2</f>
        <v>20.4</v>
      </c>
      <c r="E18" s="14">
        <v>10.21</v>
      </c>
      <c r="F18" s="14">
        <f t="shared" si="0"/>
        <v>208.284</v>
      </c>
      <c r="G18" s="14"/>
      <c r="I18" s="11"/>
      <c r="J18" s="12"/>
      <c r="K18" s="14"/>
      <c r="L18" s="14"/>
      <c r="M18" s="14"/>
      <c r="N18" s="14"/>
      <c r="O18" s="14"/>
      <c r="Q18" s="11"/>
      <c r="R18" s="12"/>
      <c r="S18" s="14"/>
      <c r="T18" s="14"/>
      <c r="U18" s="14"/>
      <c r="V18" s="14"/>
      <c r="W18" s="14"/>
      <c r="Y18" s="11"/>
      <c r="Z18" s="12"/>
      <c r="AA18" s="14"/>
      <c r="AB18" s="14"/>
      <c r="AC18" s="14"/>
      <c r="AD18" s="14"/>
      <c r="AE18" s="14"/>
    </row>
    <row r="19" ht="48.95" customHeight="1" spans="1:31">
      <c r="A19" s="11">
        <v>2</v>
      </c>
      <c r="B19" s="12" t="s">
        <v>72</v>
      </c>
      <c r="C19" s="14"/>
      <c r="D19" s="14">
        <f>3.568*3*2+2.55*4+0.17*6*4</f>
        <v>35.688</v>
      </c>
      <c r="E19" s="14">
        <v>3.06</v>
      </c>
      <c r="F19" s="14">
        <f t="shared" si="0"/>
        <v>109.20528</v>
      </c>
      <c r="G19" s="14"/>
      <c r="I19" s="11"/>
      <c r="J19" s="12"/>
      <c r="K19" s="14"/>
      <c r="L19" s="14"/>
      <c r="M19" s="14"/>
      <c r="N19" s="14"/>
      <c r="O19" s="14"/>
      <c r="Q19" s="11"/>
      <c r="R19" s="12"/>
      <c r="S19" s="14"/>
      <c r="T19" s="14"/>
      <c r="U19" s="14"/>
      <c r="V19" s="14"/>
      <c r="W19" s="14"/>
      <c r="Y19" s="11"/>
      <c r="Z19" s="12"/>
      <c r="AA19" s="14"/>
      <c r="AB19" s="14"/>
      <c r="AC19" s="14"/>
      <c r="AD19" s="14"/>
      <c r="AE19" s="14"/>
    </row>
    <row r="20" ht="93" customHeight="1" spans="1:31">
      <c r="A20" s="11">
        <v>3</v>
      </c>
      <c r="B20" s="12" t="s">
        <v>73</v>
      </c>
      <c r="C20" s="13" t="s">
        <v>58</v>
      </c>
      <c r="D20" s="14">
        <f>4*2+2</f>
        <v>10</v>
      </c>
      <c r="E20" s="14"/>
      <c r="F20" s="14">
        <f t="shared" si="0"/>
        <v>0</v>
      </c>
      <c r="G20" s="14"/>
      <c r="I20" s="11"/>
      <c r="J20" s="12"/>
      <c r="K20" s="13"/>
      <c r="L20" s="14"/>
      <c r="M20" s="14"/>
      <c r="N20" s="14"/>
      <c r="O20" s="14"/>
      <c r="Q20" s="11"/>
      <c r="R20" s="12"/>
      <c r="S20" s="13"/>
      <c r="T20" s="14"/>
      <c r="U20" s="14"/>
      <c r="V20" s="14"/>
      <c r="W20" s="14"/>
      <c r="Y20" s="11"/>
      <c r="Z20" s="12"/>
      <c r="AA20" s="13"/>
      <c r="AB20" s="14"/>
      <c r="AC20" s="14"/>
      <c r="AD20" s="14"/>
      <c r="AE20" s="14"/>
    </row>
    <row r="21" ht="44.1" customHeight="1" spans="1:31">
      <c r="A21" s="11"/>
      <c r="B21" s="15" t="s">
        <v>74</v>
      </c>
      <c r="C21" s="14" t="s">
        <v>60</v>
      </c>
      <c r="D21" s="14">
        <f>(23.77-6)*2</f>
        <v>35.54</v>
      </c>
      <c r="E21" s="14">
        <v>0.89</v>
      </c>
      <c r="F21" s="14">
        <f t="shared" si="0"/>
        <v>31.6306</v>
      </c>
      <c r="G21" s="14"/>
      <c r="I21" s="11"/>
      <c r="J21" s="15"/>
      <c r="K21" s="14"/>
      <c r="L21" s="14"/>
      <c r="M21" s="14"/>
      <c r="N21" s="14"/>
      <c r="O21" s="14"/>
      <c r="Q21" s="11"/>
      <c r="R21" s="15"/>
      <c r="S21" s="14"/>
      <c r="T21" s="14"/>
      <c r="U21" s="14"/>
      <c r="V21" s="14"/>
      <c r="W21" s="14"/>
      <c r="Y21" s="11"/>
      <c r="Z21" s="15"/>
      <c r="AA21" s="14"/>
      <c r="AB21" s="14"/>
      <c r="AC21" s="14"/>
      <c r="AD21" s="14"/>
      <c r="AE21" s="14"/>
    </row>
    <row r="22" ht="26.1" customHeight="1" spans="1:31">
      <c r="A22" s="11"/>
      <c r="B22" s="17" t="s">
        <v>41</v>
      </c>
      <c r="C22" s="14" t="s">
        <v>75</v>
      </c>
      <c r="D22" s="14"/>
      <c r="E22" s="14"/>
      <c r="F22" s="14">
        <f>SUM(F3:F21)</f>
        <v>1343.13132</v>
      </c>
      <c r="G22" s="14"/>
      <c r="I22" s="11"/>
      <c r="J22" s="17" t="s">
        <v>41</v>
      </c>
      <c r="K22" s="14" t="s">
        <v>75</v>
      </c>
      <c r="L22" s="14"/>
      <c r="M22" s="14"/>
      <c r="N22" s="14">
        <f>SUM(N3:N21)</f>
        <v>1095.12914</v>
      </c>
      <c r="O22" s="14"/>
      <c r="Q22" s="11"/>
      <c r="R22" s="17" t="s">
        <v>41</v>
      </c>
      <c r="S22" s="14" t="s">
        <v>75</v>
      </c>
      <c r="T22" s="14"/>
      <c r="U22" s="14"/>
      <c r="V22" s="14">
        <f>SUM(V3:V21)</f>
        <v>1095.12914</v>
      </c>
      <c r="W22" s="14"/>
      <c r="Y22" s="11"/>
      <c r="Z22" s="17" t="s">
        <v>41</v>
      </c>
      <c r="AA22" s="14" t="s">
        <v>75</v>
      </c>
      <c r="AB22" s="14"/>
      <c r="AC22" s="14"/>
      <c r="AD22" s="14">
        <f>SUM(AD3:AD21)</f>
        <v>1058.7335</v>
      </c>
      <c r="AE22" s="14"/>
    </row>
    <row r="26" ht="11.1" customHeight="1"/>
    <row r="27" hidden="1"/>
  </sheetData>
  <autoFilter ref="A2:G22">
    <extLst/>
  </autoFilter>
  <mergeCells count="4">
    <mergeCell ref="A1:G1"/>
    <mergeCell ref="I1:O1"/>
    <mergeCell ref="Q1:W1"/>
    <mergeCell ref="Y1:AE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6</vt:i4>
      </vt:variant>
    </vt:vector>
  </HeadingPairs>
  <TitlesOfParts>
    <vt:vector size="6" baseType="lpstr">
      <vt:lpstr>Sheet2</vt:lpstr>
      <vt:lpstr>01、汇总表</vt:lpstr>
      <vt:lpstr>Sheet1</vt:lpstr>
      <vt:lpstr>高层公区精装土建工程综合单价分析表</vt:lpstr>
      <vt:lpstr>洋房公区精装土建工程综合单价分析表</vt:lpstr>
      <vt:lpstr>门头钢结构工程量计算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HMJ</cp:lastModifiedBy>
  <dcterms:created xsi:type="dcterms:W3CDTF">2020-11-19T09:45:00Z</dcterms:created>
  <dcterms:modified xsi:type="dcterms:W3CDTF">2024-06-29T04:38:07Z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2809BB44ADE547C898964F7F0E98AFD6_13</vt:lpwstr>
  </property>
</Properties>
</file>