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tabRatio="509"/>
  </bookViews>
  <sheets>
    <sheet name="进度款费用计算明细表）" sheetId="9" r:id="rId1"/>
    <sheet name="门头合同附件" sheetId="10" r:id="rId2"/>
    <sheet name="大堂" sheetId="11" r:id="rId3"/>
    <sheet name="公区" sheetId="12" r:id="rId4"/>
  </sheets>
  <externalReferences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<sst xmlns="http://schemas.openxmlformats.org/spreadsheetml/2006/main" count="1499" uniqueCount="241">
  <si>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</si>
  <si>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</si>
  <si>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</si>
  <si>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</si>
  <si>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</si>
  <si>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</si>
  <si>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</si>
  <si>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</si>
  <si>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</si>
  <si>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</si>
  <si>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</si>
  <si>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</si>
  <si>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</si>
  <si>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</si>
  <si>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</si>
  <si>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</si>
  <si>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</si>
  <si>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</si>
  <si>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</si>
  <si>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</si>
  <si>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</si>
  <si>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</si>
  <si>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</si>
  <si>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</si>
  <si>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</si>
  <si>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</si>
  <si>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</si>
  <si>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</si>
  <si>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</si>
  <si>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</si>
  <si>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</si>
  <si>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15#楼门头完成进度款</t>
  </si>
  <si>
    <t>两个单元</t>
  </si>
  <si>
    <t>16#楼西单元门头完成进度款</t>
  </si>
  <si>
    <t>16#楼东单元门头完成进度款</t>
  </si>
  <si>
    <t>20#楼西单元门头完成进度款</t>
  </si>
  <si>
    <t>20#楼东单元门头完成进度款</t>
  </si>
  <si>
    <t>15#楼大堂完成</t>
  </si>
  <si>
    <t>16#楼大堂完成</t>
  </si>
  <si>
    <t>20#楼大堂完成</t>
  </si>
  <si>
    <t>19#楼公区精装修完成</t>
  </si>
  <si>
    <t>合计</t>
  </si>
  <si>
    <t>本次付款申请金额取整为：</t>
  </si>
  <si>
    <t>据实填总金额</t>
  </si>
  <si>
    <t>据实填写挂账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</si>
  <si>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</si>
  <si>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</si>
  <si>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</si>
  <si>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</si>
  <si>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</si>
  <si>
    <t>单元门头装饰部分工程-装饰</t>
  </si>
  <si>
    <t>工程项目名称</t>
  </si>
  <si>
    <t>工程内容</t>
  </si>
  <si>
    <t>单位</t>
  </si>
  <si>
    <t>工程量
g</t>
  </si>
  <si>
    <t>其中：各子项构成（元）</t>
  </si>
  <si>
    <t>含税综合单价(元)
f=(a+b+c+d+e)</t>
  </si>
  <si>
    <t>合价(元)=g*f</t>
  </si>
  <si>
    <t>备注</t>
  </si>
  <si>
    <t>人工费
a</t>
  </si>
  <si>
    <t>主材费
b</t>
  </si>
  <si>
    <t>机械、辅材及其他c</t>
  </si>
  <si>
    <t>管理费及利润
d=(a+b+c)*费率</t>
  </si>
  <si>
    <t>税金
e=(a+b+c+d)*费率</t>
  </si>
  <si>
    <t>一</t>
  </si>
  <si>
    <t>12#、16#楼西单元门头部分</t>
  </si>
  <si>
    <t>1单元工程量</t>
  </si>
  <si>
    <t>产值</t>
  </si>
  <si>
    <t>钢架钢构</t>
  </si>
  <si>
    <t>1、200*5热浸镀锌钢方管
2、8#热浸镀锌槽钢
3、L50x4热浸镀锌角钢
4、10#热浸镀锌槽钢
5、80*60*5mm镀锌钢管
6、l20*3封边角钢等详见施工图
7、其它满足规范和设计图纸要求</t>
  </si>
  <si>
    <t>t</t>
  </si>
  <si>
    <t>预埋件</t>
  </si>
  <si>
    <r>
      <rPr>
        <sz val="10"/>
        <rFont val="Arial"/>
        <charset val="1"/>
      </rPr>
      <t>1</t>
    </r>
    <r>
      <rPr>
        <sz val="10"/>
        <rFont val="宋体"/>
        <charset val="1"/>
      </rPr>
      <t>、</t>
    </r>
    <r>
      <rPr>
        <sz val="10"/>
        <rFont val="Arial"/>
        <charset val="1"/>
      </rPr>
      <t>300x300x20mm</t>
    </r>
    <r>
      <rPr>
        <sz val="10"/>
        <rFont val="宋体"/>
        <charset val="1"/>
      </rPr>
      <t>热浸镀锌后置埋件</t>
    </r>
    <r>
      <rPr>
        <sz val="10"/>
        <rFont val="Arial"/>
        <charset val="1"/>
      </rPr>
      <t xml:space="preserve">  M20</t>
    </r>
    <r>
      <rPr>
        <sz val="10"/>
        <rFont val="宋体"/>
        <charset val="1"/>
      </rPr>
      <t>不锈钢化学螺栓</t>
    </r>
    <r>
      <rPr>
        <sz val="10"/>
        <rFont val="Arial"/>
        <charset val="1"/>
      </rPr>
      <t xml:space="preserve">
2</t>
    </r>
    <r>
      <rPr>
        <sz val="10"/>
        <rFont val="宋体"/>
        <charset val="1"/>
      </rPr>
      <t>、其它满足规范和设计图纸要求</t>
    </r>
  </si>
  <si>
    <t>套</t>
  </si>
  <si>
    <t>工程量暂定</t>
  </si>
  <si>
    <t>1、300x200x8mm热浸镀锌后置埋件
2、M12特殊倒锥型化学锚栓
3、其它满足规范和设计图纸要求</t>
  </si>
  <si>
    <t>柱面石材</t>
  </si>
  <si>
    <t>1、25mm厚花岗岩（芝麻黑，冷色系石材）
2、M8x30不锈钢螺栓组
3、泡沫棒&amp;硅酮耐候密封胶
4、不锈钢石材挂件
6、其它满足规范和设计图纸要求</t>
  </si>
  <si>
    <t>m2</t>
  </si>
  <si>
    <t>不含钢骨架材料及人工</t>
  </si>
  <si>
    <t>造型铝板</t>
  </si>
  <si>
    <t>1、2.5mm铝单板氟碳喷涂
2、其它满足规范和设计图纸要求
3、门头立面造型部分</t>
  </si>
  <si>
    <t>铝方管造型</t>
  </si>
  <si>
    <t xml:space="preserve">
1、40*2铝方管(氟碳喷涂)
@220mm布置
2、成品延长米</t>
  </si>
  <si>
    <t>m</t>
  </si>
  <si>
    <t>铝方管造型回型纹</t>
  </si>
  <si>
    <t>1、20*2铝方管（氟碳漆喷刷）
2、其它满足规范和设计图纸要求</t>
  </si>
  <si>
    <t>1、20*2铝方管（氟碳漆喷刷） 规格242*880
2、其它满足规范和设计图纸要求 JD-14</t>
  </si>
  <si>
    <t>楼栋牌匾</t>
  </si>
  <si>
    <t>铝板+不锈钢成品加工+字体透光</t>
  </si>
  <si>
    <t>个</t>
  </si>
  <si>
    <t>包含灯安装接线等</t>
  </si>
  <si>
    <t>小计</t>
  </si>
  <si>
    <t>元</t>
  </si>
  <si>
    <t>二</t>
  </si>
  <si>
    <t>13#门头部分</t>
  </si>
  <si>
    <r>
      <rPr>
        <sz val="10"/>
        <rFont val="Arial"/>
        <charset val="134"/>
      </rPr>
      <t>1</t>
    </r>
    <r>
      <rPr>
        <sz val="10"/>
        <rFont val="宋体"/>
        <charset val="134"/>
      </rPr>
      <t>、</t>
    </r>
    <r>
      <rPr>
        <sz val="10"/>
        <rFont val="Arial"/>
        <charset val="134"/>
      </rPr>
      <t>300x300x20mm</t>
    </r>
    <r>
      <rPr>
        <sz val="10"/>
        <rFont val="宋体"/>
        <charset val="134"/>
      </rPr>
      <t>热浸镀锌后置埋件</t>
    </r>
    <r>
      <rPr>
        <sz val="10"/>
        <rFont val="Arial"/>
        <charset val="134"/>
      </rPr>
      <t xml:space="preserve">  M20</t>
    </r>
    <r>
      <rPr>
        <sz val="10"/>
        <rFont val="宋体"/>
        <charset val="134"/>
      </rPr>
      <t>不锈钢化学螺栓</t>
    </r>
    <r>
      <rPr>
        <sz val="10"/>
        <rFont val="Arial"/>
        <charset val="134"/>
      </rPr>
      <t xml:space="preserve">
2</t>
    </r>
    <r>
      <rPr>
        <sz val="10"/>
        <rFont val="宋体"/>
        <charset val="134"/>
      </rPr>
      <t>、其它满足规范和设计图纸要求</t>
    </r>
  </si>
  <si>
    <t>顶板铝板</t>
  </si>
  <si>
    <t>1、2.5mm铝单板氟碳喷涂
2、其它满足规范和设计图纸要求
3、门头平面部分</t>
  </si>
  <si>
    <t>防水钢板</t>
  </si>
  <si>
    <t>1、1.5mm镀锌钢板防水层
2、其它满足规范和设计图纸要求</t>
  </si>
  <si>
    <t>防水卷材</t>
  </si>
  <si>
    <t>1、铝板外侧刷防水卷材（4mm厚sbs）
2、其它满足规范和设计图纸要求</t>
  </si>
  <si>
    <t>成品灯箱</t>
  </si>
  <si>
    <t>按图纸意向效果匹配灯具</t>
  </si>
  <si>
    <t>三</t>
  </si>
  <si>
    <t>15#门头部分</t>
  </si>
  <si>
    <t>16#门头部分东单元</t>
  </si>
  <si>
    <t>四</t>
  </si>
  <si>
    <t>17#门头部分东单元</t>
  </si>
  <si>
    <t>五</t>
  </si>
  <si>
    <t>17#门头部分西单元</t>
  </si>
  <si>
    <t>六</t>
  </si>
  <si>
    <t>18#门头部分单元</t>
  </si>
  <si>
    <t>七</t>
  </si>
  <si>
    <t>19#门头部分单元</t>
  </si>
  <si>
    <t>八</t>
  </si>
  <si>
    <t>20#门头部分西单元</t>
  </si>
  <si>
    <t>九</t>
  </si>
  <si>
    <t>20#门头部分东单元</t>
  </si>
  <si>
    <t>一层精装大堂装修工程-装饰</t>
  </si>
  <si>
    <t>12#楼精装大堂硬质装修部分</t>
  </si>
  <si>
    <t>一个单元工程量清单，</t>
  </si>
  <si>
    <t>共2单元</t>
  </si>
  <si>
    <t>地面</t>
  </si>
  <si>
    <t xml:space="preserve">瓷砖地面 </t>
  </si>
  <si>
    <t>1、清理施工表面；
2、素水泥结合层一道                         
3、100-150mm1:3干硬性水泥砂浆结合层；
4、砖充分浸水                               
5、ct1瓷砖铺贴、留1mm分封，同色填料剂处理;
6、满足施工规范及设计图纸要求；</t>
  </si>
  <si>
    <t>含过门砖通铺</t>
  </si>
  <si>
    <t>墙面</t>
  </si>
  <si>
    <t>瓷砖墙面</t>
  </si>
  <si>
    <t>1. 5~7厚面砖,白水泥擦缝或填缝剂填缝
2. 4~5厚1∶1水泥砂浆加水重20%%%建筑胶(或配套专用胶粘剂)粘结层
3. 素水泥浆一道(用专用胶粘剂粘贴时无此道工序)
4. 详见施工图及节点详图TD-03/01图（含消防管子包管处理）；</t>
  </si>
  <si>
    <t>单元门</t>
  </si>
  <si>
    <t>1、规格：DYM2000*2900、FM乙1229
2、材质：1.0mm厚不锈钢框、12mm厚钢化玻璃
3、设计详细确定</t>
  </si>
  <si>
    <t>电梯门套</t>
  </si>
  <si>
    <t>1、规格：1040*2350
2、材质：1.2mm厚MT-01金属
3、基层：18mm阻燃胶合板</t>
  </si>
  <si>
    <t>樘</t>
  </si>
  <si>
    <t>天花</t>
  </si>
  <si>
    <t>大堂吊顶</t>
  </si>
  <si>
    <t xml:space="preserve">
1.9.5厚纸面石膏板,用自攻螺丝固定间距 ≤200
2. U型轻钢龙骨横撑CB50*20中距800-1200
3. U型轻钢龙骨CB50*20中距400
4. 8号热镀锌低碳钢丝吊杆,中距横向800-1200,吊杆上部与预留钢筋连接
5、具体做法18mm阻燃胶合板+PT01无机涂料(9.5mm厚双层石膏板吊顶)
6、具体做法详见节点详图TD-01/01图；
7、部位：大堂</t>
  </si>
  <si>
    <t>M2</t>
  </si>
  <si>
    <t>金属M01</t>
  </si>
  <si>
    <t>1、金属M01吊顶金属条收口 厚度1.2mm
2、具体做法详见节点详图TD-01/01图及施工图。
3、部位：大堂</t>
  </si>
  <si>
    <t>平吊天花</t>
  </si>
  <si>
    <t xml:space="preserve">
1.PT01无机涂料(9.5mm厚双层石膏板吊顶),用自攻螺丝固定间距 ≤200
2. U型轻钢龙骨横撑CB50*20中距800-1200
3. U型轻钢龙骨CB50*20中距400
4. 8号热镀锌低碳钢丝吊杆,中距横向800-1200,吊杆上部与预留钢筋连接
5、标高2350mm，具体做法详见施工图</t>
  </si>
  <si>
    <t>白色无机涂料原顶</t>
  </si>
  <si>
    <t>基层清理；
2、满刮腻子两道、砂纸磨平；
3、白色无极涂料天棚；
4、满足施工规范及设计图纸要求；
5、楼梯板顶面</t>
  </si>
  <si>
    <t>答疑回复更改为乳胶漆</t>
  </si>
  <si>
    <t>04天花造型</t>
  </si>
  <si>
    <t>1、白色无机涂料
2、石膏板造型
3、18mm阻燃胶合板
4、具体做法详见节点详图TD-01/04图及施工图；
5、部位：侯梯厅</t>
  </si>
  <si>
    <t>13#楼精装大堂硬质装修部分</t>
  </si>
  <si>
    <t>一个单元工程量清单</t>
  </si>
  <si>
    <t>1、清理施工表面；
2、素水泥结合层一道                           3、100-150mm1:3干硬性水泥砂浆结合层；
4、砖充分浸水                               
5、ct1瓷砖铺贴、留1mm分封，同色填料剂处理;
6、满足施工规范及设计图纸要求；</t>
  </si>
  <si>
    <t>过门石取消，地面砖通铺</t>
  </si>
  <si>
    <t>1. 5~7厚面砖,白水泥擦缝或填缝剂填缝CT04
2. 4~5厚1∶1水泥砂浆加水重20%建筑胶(或配套专用胶粘剂)粘结层
3. 素水泥浆一道(用专用胶粘剂粘贴时无此道工序)
4. 详见施工图及节点详图TD-03/01图（含消防管子包管处理）；</t>
  </si>
  <si>
    <t>墙面金属收口</t>
  </si>
  <si>
    <t>1、MT01金属
2、部位：楼梯口
3、详见施工图及节点详图TD-03/03图；</t>
  </si>
  <si>
    <t>墙面乳胶漆</t>
  </si>
  <si>
    <t>1.无机涂料两遍
2.封底漆一道(干燥后再做面涂
3.满刮2厚面层耐水腻子找平
4、部位：大堂</t>
  </si>
  <si>
    <t>木饰面柜子</t>
  </si>
  <si>
    <t>1.木饰面
2.尺寸：1.07m长*1.6m高*0.25m宽
3.材质：18mm厚阻燃胶合板
4、部位：楼梯间</t>
  </si>
  <si>
    <t>玻璃大门</t>
  </si>
  <si>
    <t>1.单元门
2、材质：1.0mm厚不锈钢框、8mm厚钢化玻璃
3、设计详细确定</t>
  </si>
  <si>
    <t>1.9.5厚纸面石膏板,用自攻螺丝固定间距 ≤200
2. U型轻钢龙骨横撑CB50*20中距800-1200
3. U型轻钢龙骨CB50*20中距400
4. 8号热镀锌低碳钢丝吊杆,中距横向800-1200,吊杆上部与预留钢筋连接
5、具体做法18mm阻燃胶合板+PT01无机涂料(9.5mm厚双层石膏板吊顶)
6、具体做法详见节点详图TD-01/01图；
7、部位：大堂</t>
  </si>
  <si>
    <t>1.PT01无机涂料(9.5mm厚双层石膏板吊顶),用自攻螺丝固定间距 ≤200
2. U型轻钢龙骨横撑CB50*20中距800-1200
3. U型轻钢龙骨CB50*20中距400
4. 8号热镀锌低碳钢丝吊杆,中距横向800-1200,吊杆上部与预留钢筋连接
5、标高2350mm，具体做法详见施工图</t>
  </si>
  <si>
    <t>基层清理；
2、满刮腻子两道、砂纸磨平；
3、白色无极涂料天棚；
4、满足施工规范及设计图纸要求；</t>
  </si>
  <si>
    <t>15#楼精装大堂硬质装修部分</t>
  </si>
  <si>
    <t>1、清理施工表面；
2、素水泥结合层一道                           3、100-150mm1:3干硬性水泥砂浆结合层；
3、砖充分浸水                               
4、ct1瓷砖铺贴、留1mm分封，同色填料剂处理;
6、满足施工规范及设计图纸要求；</t>
  </si>
  <si>
    <t>1. 5~7厚面砖,白水泥擦缝或填缝剂填缝CT03
2. 4~5厚1∶1水泥砂浆加水重20%建筑胶(或配套专用胶粘剂)粘结层
3. 素水泥浆一道(用专用胶粘剂粘贴时无此道工序)
4. 详见施工图及节点详图TD-03/01图（含消防管子包管处理）；</t>
  </si>
  <si>
    <t>1.单元门2000*2900
2、材质：1.0mm厚不锈钢框、8mm厚钢化玻璃
3、设计详细确定</t>
  </si>
  <si>
    <t>玻璃固定</t>
  </si>
  <si>
    <t>1.单元门2000*2900
2、材质：1.0mm厚不锈钢框、8mm厚钢化玻璃
4、设计详细确定</t>
  </si>
  <si>
    <t>水平投影面积</t>
  </si>
  <si>
    <t>16#楼东单元精装大堂硬质装修部分</t>
  </si>
  <si>
    <t>共1单元</t>
  </si>
  <si>
    <t>1、清理施工表面；
2、素水泥结合层一道                           3、40-60厚1:3干硬性水泥砂浆结合层；
3、砖充分浸水                               
4、ct1瓷砖铺贴、留1mm分封，同色填料剂处理;
6、满足施工规范及设计图纸要求；</t>
  </si>
  <si>
    <t>16#楼西单元精装大堂硬质装修部分</t>
  </si>
  <si>
    <t>1单元</t>
  </si>
  <si>
    <t>1.单元门2000*2900  1100*2100
2、材质：1.0mm厚不锈钢框、8mm厚钢化玻璃
3、设计详细确定</t>
  </si>
  <si>
    <t>1.PT01无机涂料(9.5mm厚双层石膏板吊顶),用自攻螺丝固定间距 ≤200
2. U型轻钢龙骨横撑CB50*20中距800-1200
3. U型轻钢龙骨CB50*20中距400
4. 8号热镀锌低碳钢丝吊杆,中距横向800-1200,吊杆上部与预留钢筋连接
5、标高具体做法详见施工图</t>
  </si>
  <si>
    <t>17#楼西单元、20#楼东单元精装大堂硬质装修部分</t>
  </si>
  <si>
    <t>1.单元门1800*2300
2、材质：1.0mm厚不锈钢框、8mm厚钢化玻璃
3、设计详细确定</t>
  </si>
  <si>
    <t>18#楼东、西单元、17#楼东单元、19#楼东西单元、20#楼西单元精装大堂硬质装修部分</t>
  </si>
  <si>
    <t>共6单元</t>
  </si>
  <si>
    <t>1、清理施工表面；
2、素水泥结合层一道                           3、100-150mm厚1:3干硬性水泥砂浆结合层；
3、砖充分浸水                               
4、ct1瓷砖铺贴、留1mm分封，同色填料剂处理;
6、满足施工规范及设计图纸要求；</t>
  </si>
  <si>
    <t>山水文苑S1地块12-20号楼公共区域装修</t>
  </si>
  <si>
    <t>楼号</t>
  </si>
  <si>
    <t>地面、墙面</t>
  </si>
  <si>
    <t>部位</t>
  </si>
  <si>
    <t>规格</t>
  </si>
  <si>
    <t>面积</t>
  </si>
  <si>
    <t>层数</t>
  </si>
  <si>
    <t>单元数</t>
  </si>
  <si>
    <t>单价</t>
  </si>
  <si>
    <t>12#</t>
  </si>
  <si>
    <t>楼梯平台</t>
  </si>
  <si>
    <t>CT1  800*800</t>
  </si>
  <si>
    <t>梯段</t>
  </si>
  <si>
    <t>CT5</t>
  </si>
  <si>
    <t>踢脚</t>
  </si>
  <si>
    <t>楼梯间</t>
  </si>
  <si>
    <t xml:space="preserve">CT1 </t>
  </si>
  <si>
    <t>取消</t>
  </si>
  <si>
    <t>侯梯厅、前室、走廊</t>
  </si>
  <si>
    <t>过门石</t>
  </si>
  <si>
    <t>CT2</t>
  </si>
  <si>
    <t>变更为ct1，工程量已包含在ct1</t>
  </si>
  <si>
    <t>金属线条收口</t>
  </si>
  <si>
    <t>石膏线</t>
  </si>
  <si>
    <t>13#</t>
  </si>
  <si>
    <t>变更为st1，工程量已包含在ct1</t>
  </si>
  <si>
    <t>顶层</t>
  </si>
  <si>
    <t>金属线条</t>
  </si>
  <si>
    <t>15#</t>
  </si>
  <si>
    <t>16#东单元</t>
  </si>
  <si>
    <t>16#西单元</t>
  </si>
  <si>
    <t>17#东单元</t>
  </si>
  <si>
    <t>17#西单元</t>
  </si>
  <si>
    <t>18#</t>
  </si>
  <si>
    <t>19#</t>
  </si>
  <si>
    <t>20#西单元</t>
  </si>
  <si>
    <t>20#东单元</t>
  </si>
  <si>
    <t>地下</t>
  </si>
  <si>
    <t>12#地下一层</t>
  </si>
  <si>
    <t>取消并入ct1中</t>
  </si>
  <si>
    <t>12#地下二层</t>
  </si>
  <si>
    <t>13#地下一层</t>
  </si>
  <si>
    <t>13#地下二层</t>
  </si>
  <si>
    <t>15#地下一层</t>
  </si>
  <si>
    <t>取消了</t>
  </si>
  <si>
    <t>15#地下二层</t>
  </si>
  <si>
    <t>16#西单元地下一层</t>
  </si>
  <si>
    <t>候梯厅后走廊</t>
  </si>
  <si>
    <t>16#西单元地下二层</t>
  </si>
  <si>
    <t>16#东单元地下一层</t>
  </si>
  <si>
    <t>16#东单元地下二层</t>
  </si>
  <si>
    <t>17#西单元地下一层</t>
  </si>
  <si>
    <t>17#东单元地下一层</t>
  </si>
  <si>
    <t>18#东、西单元地下一层</t>
  </si>
  <si>
    <t>19#东、西单元地下一层</t>
  </si>
  <si>
    <t>20#东单元地下一层</t>
  </si>
  <si>
    <t>20#西单元地下一层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</si>
</sst>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name val="Arial"/>
      <charset val="1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0"/>
      <name val="宋体"/>
      <charset val="1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9" applyNumberFormat="0" applyAlignment="0" applyProtection="0">
      <alignment vertical="center"/>
    </xf>
    <xf numFmtId="0" fontId="29" fillId="9" borderId="10" applyNumberFormat="0" applyAlignment="0" applyProtection="0">
      <alignment vertical="center"/>
    </xf>
    <xf numFmtId="0" fontId="30" fillId="9" borderId="9" applyNumberFormat="0" applyAlignment="0" applyProtection="0">
      <alignment vertical="center"/>
    </xf>
    <xf numFmtId="0" fontId="31" fillId="10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10" fillId="0" borderId="0"/>
  </cellStyleXfs>
  <cellXfs count="16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50" applyFont="1" applyFill="1" applyBorder="1" applyAlignment="1">
      <alignment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2" xfId="5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left" vertical="center" wrapText="1"/>
    </xf>
    <xf numFmtId="176" fontId="3" fillId="0" borderId="1" xfId="50" applyNumberFormat="1" applyFont="1" applyFill="1" applyBorder="1" applyAlignment="1" applyProtection="1">
      <alignment horizontal="center" vertical="center" wrapText="1"/>
    </xf>
    <xf numFmtId="0" fontId="1" fillId="0" borderId="2" xfId="5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4" borderId="3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 wrapText="1"/>
    </xf>
    <xf numFmtId="0" fontId="1" fillId="5" borderId="2" xfId="50" applyFont="1" applyFill="1" applyBorder="1" applyAlignment="1">
      <alignment horizontal="center" vertical="center" wrapText="1"/>
    </xf>
    <xf numFmtId="0" fontId="1" fillId="5" borderId="2" xfId="50" applyFont="1" applyFill="1" applyBorder="1" applyAlignment="1">
      <alignment vertical="center" wrapText="1"/>
    </xf>
    <xf numFmtId="0" fontId="1" fillId="5" borderId="1" xfId="5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1" fillId="5" borderId="4" xfId="50" applyFont="1" applyFill="1" applyBorder="1" applyAlignment="1">
      <alignment horizontal="center" vertical="center" wrapText="1"/>
    </xf>
    <xf numFmtId="0" fontId="1" fillId="5" borderId="1" xfId="50" applyFont="1" applyFill="1" applyBorder="1" applyAlignment="1">
      <alignment horizontal="left" vertical="center" wrapText="1"/>
    </xf>
    <xf numFmtId="176" fontId="3" fillId="5" borderId="1" xfId="50" applyNumberFormat="1" applyFont="1" applyFill="1" applyBorder="1" applyAlignment="1" applyProtection="1">
      <alignment horizontal="center" vertical="center" wrapText="1"/>
    </xf>
    <xf numFmtId="0" fontId="4" fillId="5" borderId="1" xfId="50" applyFont="1" applyFill="1" applyBorder="1" applyAlignment="1">
      <alignment horizontal="center" vertical="center" wrapText="1"/>
    </xf>
    <xf numFmtId="0" fontId="1" fillId="5" borderId="2" xfId="50" applyFont="1" applyFill="1" applyBorder="1" applyAlignment="1">
      <alignment horizontal="left" vertical="center" wrapText="1"/>
    </xf>
    <xf numFmtId="0" fontId="0" fillId="5" borderId="2" xfId="0" applyFill="1" applyBorder="1" applyAlignment="1">
      <alignment vertical="center" wrapText="1"/>
    </xf>
    <xf numFmtId="0" fontId="1" fillId="2" borderId="1" xfId="5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0" fillId="5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7" fillId="5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5" borderId="0" xfId="0" applyFont="1" applyFill="1" applyAlignment="1">
      <alignment horizontal="center" vertical="center"/>
    </xf>
    <xf numFmtId="176" fontId="5" fillId="5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8" fillId="5" borderId="0" xfId="0" applyNumberFormat="1" applyFont="1" applyFill="1" applyBorder="1" applyAlignment="1" applyProtection="1">
      <alignment horizontal="center" vertical="center" wrapText="1"/>
    </xf>
    <xf numFmtId="0" fontId="8" fillId="5" borderId="0" xfId="0" applyNumberFormat="1" applyFont="1" applyFill="1" applyBorder="1" applyAlignment="1" applyProtection="1">
      <alignment horizontal="left" vertical="center" wrapText="1"/>
    </xf>
    <xf numFmtId="176" fontId="8" fillId="5" borderId="0" xfId="0" applyNumberFormat="1" applyFont="1" applyFill="1" applyBorder="1" applyAlignment="1" applyProtection="1">
      <alignment horizontal="center" vertical="center" wrapText="1"/>
    </xf>
    <xf numFmtId="176" fontId="8" fillId="0" borderId="0" xfId="0" applyNumberFormat="1" applyFont="1" applyFill="1" applyBorder="1" applyAlignment="1" applyProtection="1">
      <alignment horizontal="center" vertical="center" wrapText="1"/>
    </xf>
    <xf numFmtId="0" fontId="3" fillId="5" borderId="1" xfId="0" applyNumberFormat="1" applyFont="1" applyFill="1" applyBorder="1" applyAlignment="1" applyProtection="1">
      <alignment horizontal="center" vertical="center" wrapText="1"/>
    </xf>
    <xf numFmtId="176" fontId="3" fillId="5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3" fillId="5" borderId="1" xfId="51" applyNumberFormat="1" applyFont="1" applyFill="1" applyBorder="1" applyAlignment="1" applyProtection="1">
      <alignment horizontal="center" vertical="center" wrapText="1"/>
    </xf>
    <xf numFmtId="176" fontId="3" fillId="5" borderId="1" xfId="51" applyNumberFormat="1" applyFont="1" applyFill="1" applyBorder="1" applyAlignment="1" applyProtection="1">
      <alignment horizontal="center" vertical="center" wrapText="1"/>
    </xf>
    <xf numFmtId="0" fontId="7" fillId="5" borderId="1" xfId="51" applyNumberFormat="1" applyFont="1" applyFill="1" applyBorder="1" applyAlignment="1" applyProtection="1">
      <alignment horizontal="center" vertical="center" wrapText="1"/>
    </xf>
    <xf numFmtId="176" fontId="7" fillId="5" borderId="1" xfId="51" applyNumberFormat="1" applyFont="1" applyFill="1" applyBorder="1" applyAlignment="1" applyProtection="1">
      <alignment horizontal="center" vertical="center" wrapText="1"/>
    </xf>
    <xf numFmtId="0" fontId="7" fillId="5" borderId="1" xfId="51" applyNumberFormat="1" applyFont="1" applyFill="1" applyBorder="1" applyAlignment="1" applyProtection="1">
      <alignment horizontal="left" vertical="center" wrapText="1"/>
    </xf>
    <xf numFmtId="0" fontId="7" fillId="5" borderId="1" xfId="51" applyFont="1" applyFill="1" applyBorder="1" applyAlignment="1">
      <alignment horizontal="center" vertical="center"/>
    </xf>
    <xf numFmtId="0" fontId="7" fillId="5" borderId="1" xfId="51" applyFont="1" applyFill="1" applyBorder="1" applyAlignment="1">
      <alignment vertical="center" wrapText="1"/>
    </xf>
    <xf numFmtId="176" fontId="3" fillId="0" borderId="1" xfId="51" applyNumberFormat="1" applyFont="1" applyFill="1" applyBorder="1" applyAlignment="1">
      <alignment horizontal="center" vertical="center" wrapText="1"/>
    </xf>
    <xf numFmtId="0" fontId="8" fillId="5" borderId="0" xfId="0" applyNumberFormat="1" applyFont="1" applyFill="1" applyAlignment="1" applyProtection="1">
      <alignment horizontal="center" vertical="center" wrapText="1"/>
    </xf>
    <xf numFmtId="176" fontId="3" fillId="5" borderId="1" xfId="0" applyNumberFormat="1" applyFont="1" applyFill="1" applyBorder="1" applyAlignment="1">
      <alignment horizontal="center" vertical="center" wrapText="1"/>
    </xf>
    <xf numFmtId="176" fontId="3" fillId="5" borderId="0" xfId="0" applyNumberFormat="1" applyFont="1" applyFill="1" applyAlignment="1">
      <alignment horizontal="center" vertical="center" wrapText="1"/>
    </xf>
    <xf numFmtId="0" fontId="3" fillId="5" borderId="0" xfId="0" applyNumberFormat="1" applyFont="1" applyFill="1" applyAlignment="1" applyProtection="1">
      <alignment horizontal="center" vertical="center" wrapText="1"/>
    </xf>
    <xf numFmtId="176" fontId="5" fillId="5" borderId="0" xfId="0" applyNumberFormat="1" applyFont="1" applyFill="1" applyAlignment="1">
      <alignment vertical="center"/>
    </xf>
    <xf numFmtId="176" fontId="3" fillId="5" borderId="5" xfId="0" applyNumberFormat="1" applyFont="1" applyFill="1" applyBorder="1" applyAlignment="1">
      <alignment horizontal="center" vertical="center" wrapText="1"/>
    </xf>
    <xf numFmtId="176" fontId="3" fillId="5" borderId="1" xfId="51" applyNumberFormat="1" applyFont="1" applyFill="1" applyBorder="1" applyAlignment="1">
      <alignment horizontal="center" vertical="center" wrapText="1"/>
    </xf>
    <xf numFmtId="176" fontId="3" fillId="5" borderId="0" xfId="51" applyNumberFormat="1" applyFont="1" applyFill="1" applyAlignment="1">
      <alignment horizontal="center" vertical="center" wrapText="1"/>
    </xf>
    <xf numFmtId="177" fontId="0" fillId="5" borderId="0" xfId="0" applyNumberFormat="1" applyFont="1" applyFill="1" applyAlignment="1">
      <alignment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51" applyNumberFormat="1" applyFont="1" applyFill="1" applyBorder="1" applyAlignment="1" applyProtection="1">
      <alignment horizontal="center" vertical="center" wrapText="1"/>
    </xf>
    <xf numFmtId="176" fontId="3" fillId="0" borderId="1" xfId="51" applyNumberFormat="1" applyFont="1" applyFill="1" applyBorder="1" applyAlignment="1" applyProtection="1">
      <alignment horizontal="center" vertical="center" wrapText="1"/>
    </xf>
    <xf numFmtId="0" fontId="7" fillId="0" borderId="1" xfId="51" applyNumberFormat="1" applyFont="1" applyFill="1" applyBorder="1" applyAlignment="1" applyProtection="1">
      <alignment horizontal="center" vertical="center" wrapText="1"/>
    </xf>
    <xf numFmtId="0" fontId="7" fillId="0" borderId="1" xfId="51" applyNumberFormat="1" applyFont="1" applyFill="1" applyBorder="1" applyAlignment="1" applyProtection="1">
      <alignment horizontal="left" vertical="center" wrapText="1"/>
    </xf>
    <xf numFmtId="0" fontId="3" fillId="0" borderId="0" xfId="51" applyNumberFormat="1" applyFont="1" applyFill="1" applyAlignment="1" applyProtection="1">
      <alignment horizontal="center" vertical="center" wrapText="1"/>
    </xf>
    <xf numFmtId="176" fontId="3" fillId="0" borderId="0" xfId="51" applyNumberFormat="1" applyFont="1" applyFill="1" applyAlignment="1">
      <alignment horizontal="center" vertical="center" wrapText="1"/>
    </xf>
    <xf numFmtId="176" fontId="9" fillId="5" borderId="1" xfId="51" applyNumberFormat="1" applyFont="1" applyFill="1" applyBorder="1" applyAlignment="1">
      <alignment horizontal="center" vertical="center" wrapText="1"/>
    </xf>
    <xf numFmtId="177" fontId="0" fillId="0" borderId="0" xfId="0" applyNumberFormat="1" applyFont="1" applyFill="1" applyAlignment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177" fontId="0" fillId="0" borderId="0" xfId="0" applyNumberFormat="1">
      <alignment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176" fontId="8" fillId="2" borderId="0" xfId="0" applyNumberFormat="1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 applyProtection="1">
      <alignment horizontal="left" vertical="center" wrapText="1"/>
    </xf>
    <xf numFmtId="0" fontId="3" fillId="5" borderId="1" xfId="0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</xf>
    <xf numFmtId="177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Alignment="1" applyProtection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3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0" fontId="12" fillId="0" borderId="0" xfId="0" applyNumberFormat="1" applyFont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10" fontId="13" fillId="4" borderId="1" xfId="0" applyNumberFormat="1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2" fontId="14" fillId="6" borderId="1" xfId="0" applyNumberFormat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 wrapText="1"/>
    </xf>
    <xf numFmtId="2" fontId="14" fillId="6" borderId="1" xfId="0" applyNumberFormat="1" applyFont="1" applyFill="1" applyBorder="1" applyAlignment="1">
      <alignment horizontal="center" vertical="center" wrapText="1"/>
    </xf>
    <xf numFmtId="176" fontId="14" fillId="6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10" fontId="16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left" vertical="center" wrapText="1"/>
    </xf>
    <xf numFmtId="10" fontId="16" fillId="0" borderId="1" xfId="3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10" fontId="18" fillId="0" borderId="0" xfId="0" applyNumberFormat="1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10" fontId="4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176" fontId="12" fillId="0" borderId="0" xfId="3" applyNumberFormat="1" applyFont="1" applyAlignment="1">
      <alignment horizontal="center" vertical="center"/>
    </xf>
    <xf numFmtId="176" fontId="13" fillId="4" borderId="1" xfId="3" applyNumberFormat="1" applyFont="1" applyFill="1" applyBorder="1" applyAlignment="1">
      <alignment horizontal="center" vertical="center" wrapText="1"/>
    </xf>
    <xf numFmtId="9" fontId="14" fillId="6" borderId="1" xfId="0" applyNumberFormat="1" applyFont="1" applyFill="1" applyBorder="1" applyAlignment="1">
      <alignment horizontal="center" vertical="center" wrapText="1"/>
    </xf>
    <xf numFmtId="176" fontId="14" fillId="6" borderId="1" xfId="3" applyNumberFormat="1" applyFont="1" applyFill="1" applyBorder="1" applyAlignment="1">
      <alignment horizontal="center" vertical="center" wrapText="1"/>
    </xf>
    <xf numFmtId="10" fontId="14" fillId="6" borderId="1" xfId="0" applyNumberFormat="1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 wrapText="1"/>
    </xf>
    <xf numFmtId="9" fontId="16" fillId="0" borderId="1" xfId="0" applyNumberFormat="1" applyFont="1" applyFill="1" applyBorder="1" applyAlignment="1">
      <alignment horizontal="center" vertical="center" wrapText="1"/>
    </xf>
    <xf numFmtId="10" fontId="16" fillId="0" borderId="1" xfId="0" applyNumberFormat="1" applyFont="1" applyFill="1" applyBorder="1" applyAlignment="1">
      <alignment horizontal="center" vertical="center"/>
    </xf>
    <xf numFmtId="176" fontId="16" fillId="0" borderId="1" xfId="3" applyNumberFormat="1" applyFont="1" applyFill="1" applyBorder="1" applyAlignment="1">
      <alignment horizontal="center" vertical="center"/>
    </xf>
    <xf numFmtId="176" fontId="17" fillId="0" borderId="1" xfId="3" applyNumberFormat="1" applyFont="1" applyFill="1" applyBorder="1" applyAlignment="1">
      <alignment horizontal="center" vertical="center"/>
    </xf>
    <xf numFmtId="10" fontId="17" fillId="0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 wrapText="1"/>
    </xf>
    <xf numFmtId="176" fontId="18" fillId="0" borderId="0" xfId="3" applyNumberFormat="1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176" fontId="4" fillId="0" borderId="0" xfId="3" applyNumberFormat="1" applyFont="1" applyFill="1" applyAlignment="1">
      <alignment horizontal="center" vertical="center"/>
    </xf>
    <xf numFmtId="10" fontId="4" fillId="0" borderId="0" xfId="0" applyNumberFormat="1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176" fontId="4" fillId="0" borderId="0" xfId="3" applyNumberFormat="1" applyFont="1" applyFill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5 2" xfId="50"/>
    <cellStyle name="常规 4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18415</xdr:colOff>
      <xdr:row>26</xdr:row>
      <xdr:rowOff>0</xdr:rowOff>
    </xdr:from>
    <xdr:to>
      <xdr:col>12</xdr:col>
      <xdr:colOff>873125</xdr:colOff>
      <xdr:row>26</xdr:row>
      <xdr:rowOff>352425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99420" y="14862175"/>
          <a:ext cx="854710" cy="352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854710</xdr:colOff>
      <xdr:row>12</xdr:row>
      <xdr:rowOff>352425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81005" y="7988300"/>
          <a:ext cx="854710" cy="352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9525</xdr:colOff>
      <xdr:row>37</xdr:row>
      <xdr:rowOff>63500</xdr:rowOff>
    </xdr:from>
    <xdr:to>
      <xdr:col>12</xdr:col>
      <xdr:colOff>864235</xdr:colOff>
      <xdr:row>37</xdr:row>
      <xdr:rowOff>415925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90530" y="20720050"/>
          <a:ext cx="854710" cy="352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66675</xdr:colOff>
      <xdr:row>47</xdr:row>
      <xdr:rowOff>225425</xdr:rowOff>
    </xdr:from>
    <xdr:to>
      <xdr:col>12</xdr:col>
      <xdr:colOff>921385</xdr:colOff>
      <xdr:row>48</xdr:row>
      <xdr:rowOff>273050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47680" y="25977850"/>
          <a:ext cx="854710" cy="352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85725</xdr:colOff>
      <xdr:row>58</xdr:row>
      <xdr:rowOff>19050</xdr:rowOff>
    </xdr:from>
    <xdr:to>
      <xdr:col>12</xdr:col>
      <xdr:colOff>940435</xdr:colOff>
      <xdr:row>58</xdr:row>
      <xdr:rowOff>371475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66730" y="30591125"/>
          <a:ext cx="854710" cy="352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66675</xdr:colOff>
      <xdr:row>67</xdr:row>
      <xdr:rowOff>171450</xdr:rowOff>
    </xdr:from>
    <xdr:to>
      <xdr:col>12</xdr:col>
      <xdr:colOff>921385</xdr:colOff>
      <xdr:row>68</xdr:row>
      <xdr:rowOff>238125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47680" y="34807525"/>
          <a:ext cx="854710" cy="352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66675</xdr:colOff>
      <xdr:row>77</xdr:row>
      <xdr:rowOff>171450</xdr:rowOff>
    </xdr:from>
    <xdr:to>
      <xdr:col>12</xdr:col>
      <xdr:colOff>921385</xdr:colOff>
      <xdr:row>78</xdr:row>
      <xdr:rowOff>238125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47680" y="39093775"/>
          <a:ext cx="854710" cy="352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66675</xdr:colOff>
      <xdr:row>87</xdr:row>
      <xdr:rowOff>171450</xdr:rowOff>
    </xdr:from>
    <xdr:to>
      <xdr:col>12</xdr:col>
      <xdr:colOff>921385</xdr:colOff>
      <xdr:row>88</xdr:row>
      <xdr:rowOff>238125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47680" y="43380025"/>
          <a:ext cx="854710" cy="352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133350</xdr:colOff>
      <xdr:row>96</xdr:row>
      <xdr:rowOff>523875</xdr:rowOff>
    </xdr:from>
    <xdr:to>
      <xdr:col>12</xdr:col>
      <xdr:colOff>988060</xdr:colOff>
      <xdr:row>98</xdr:row>
      <xdr:rowOff>19050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14355" y="47447200"/>
          <a:ext cx="854710" cy="352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66675</xdr:colOff>
      <xdr:row>107</xdr:row>
      <xdr:rowOff>171450</xdr:rowOff>
    </xdr:from>
    <xdr:to>
      <xdr:col>12</xdr:col>
      <xdr:colOff>921385</xdr:colOff>
      <xdr:row>108</xdr:row>
      <xdr:rowOff>238125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47680" y="51952525"/>
          <a:ext cx="854710" cy="352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665;&#27700;&#25991;&#33489;S1&#22320;&#22359;12-20&#21495;&#27004;&#22823;&#22530;&#12289;&#20844;&#21306;&#12289;&#38376;&#22836;&#35013;&#20462;&#24037;&#31243;&#25307;&#26631;&#28165;&#21333;-&#23452;&#20449;&#35013;&#39280;06.2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汇总标"/>
      <sheetName val="精装大堂"/>
      <sheetName val="公共区域装修"/>
      <sheetName val="单元门头装饰"/>
      <sheetName val="安装部分"/>
      <sheetName val="门头石材铝板工程量计算式"/>
      <sheetName val="标准层及地下计算式"/>
    </sheetNames>
    <sheetDataSet>
      <sheetData sheetId="0"/>
      <sheetData sheetId="1"/>
      <sheetData sheetId="2"/>
      <sheetData sheetId="3">
        <row r="4">
          <cell r="I4">
            <v>0.1</v>
          </cell>
          <cell r="J4">
            <v>0.09</v>
          </cell>
        </row>
        <row r="6">
          <cell r="K6">
            <v>155.87</v>
          </cell>
        </row>
        <row r="8">
          <cell r="K8">
            <v>155.87</v>
          </cell>
        </row>
        <row r="9">
          <cell r="K9">
            <v>395.15443</v>
          </cell>
        </row>
        <row r="12">
          <cell r="K12">
            <v>155.1506</v>
          </cell>
        </row>
        <row r="13">
          <cell r="K13">
            <v>724.196</v>
          </cell>
        </row>
        <row r="14">
          <cell r="K14">
            <v>19.7835</v>
          </cell>
        </row>
      </sheetData>
      <sheetData sheetId="4"/>
      <sheetData sheetId="5"/>
      <sheetData sheetId="6">
        <row r="5">
          <cell r="F5">
            <v>146.976</v>
          </cell>
        </row>
        <row r="6">
          <cell r="F6">
            <v>153.6</v>
          </cell>
        </row>
        <row r="7">
          <cell r="F7">
            <v>52.25256</v>
          </cell>
        </row>
        <row r="8">
          <cell r="F8">
            <v>50.34</v>
          </cell>
        </row>
        <row r="9">
          <cell r="D9">
            <v>12</v>
          </cell>
        </row>
        <row r="13">
          <cell r="F13">
            <v>76.8</v>
          </cell>
        </row>
        <row r="14">
          <cell r="F14">
            <v>45.42264</v>
          </cell>
        </row>
        <row r="18">
          <cell r="F18">
            <v>89.98542</v>
          </cell>
        </row>
        <row r="19">
          <cell r="F19">
            <v>54.38844</v>
          </cell>
        </row>
        <row r="20">
          <cell r="D20">
            <v>25</v>
          </cell>
        </row>
        <row r="22">
          <cell r="F22">
            <v>44.38224</v>
          </cell>
        </row>
        <row r="23">
          <cell r="D23">
            <v>4</v>
          </cell>
        </row>
        <row r="25">
          <cell r="D25">
            <v>22.1535</v>
          </cell>
        </row>
        <row r="26">
          <cell r="D26">
            <v>47.23738</v>
          </cell>
        </row>
        <row r="30">
          <cell r="F30">
            <v>158.6116</v>
          </cell>
        </row>
        <row r="31">
          <cell r="F31">
            <v>115.2</v>
          </cell>
        </row>
        <row r="32">
          <cell r="F32">
            <v>36.3528</v>
          </cell>
        </row>
        <row r="33">
          <cell r="F33">
            <v>23.4</v>
          </cell>
        </row>
        <row r="37">
          <cell r="F37">
            <v>158.6116</v>
          </cell>
        </row>
        <row r="38">
          <cell r="F38">
            <v>153.6</v>
          </cell>
        </row>
        <row r="39">
          <cell r="F39">
            <v>60.69816</v>
          </cell>
        </row>
        <row r="40">
          <cell r="F40">
            <v>145.5</v>
          </cell>
        </row>
        <row r="41">
          <cell r="D41">
            <v>18</v>
          </cell>
        </row>
        <row r="44">
          <cell r="F44">
            <v>18.68436</v>
          </cell>
        </row>
        <row r="45">
          <cell r="F45">
            <v>28.31112</v>
          </cell>
        </row>
        <row r="47">
          <cell r="F47">
            <v>72.5679</v>
          </cell>
        </row>
        <row r="48">
          <cell r="D48">
            <v>30</v>
          </cell>
        </row>
        <row r="49">
          <cell r="F49">
            <v>75.5208</v>
          </cell>
        </row>
        <row r="51">
          <cell r="F51">
            <v>41.99544</v>
          </cell>
        </row>
        <row r="54">
          <cell r="D54">
            <v>26.05</v>
          </cell>
        </row>
        <row r="54">
          <cell r="F54">
            <v>267.0125</v>
          </cell>
        </row>
        <row r="55">
          <cell r="F55">
            <v>64.0764</v>
          </cell>
        </row>
        <row r="57">
          <cell r="D57">
            <v>12.8</v>
          </cell>
        </row>
        <row r="58">
          <cell r="D58">
            <v>12.8</v>
          </cell>
        </row>
        <row r="59">
          <cell r="D59">
            <v>5</v>
          </cell>
        </row>
        <row r="62">
          <cell r="D62">
            <v>21.90805</v>
          </cell>
        </row>
        <row r="63">
          <cell r="D63">
            <v>58.621315</v>
          </cell>
        </row>
        <row r="66">
          <cell r="D66">
            <v>1</v>
          </cell>
        </row>
        <row r="67">
          <cell r="F67">
            <v>158.6116</v>
          </cell>
        </row>
        <row r="68">
          <cell r="F68">
            <v>115.2</v>
          </cell>
        </row>
        <row r="69">
          <cell r="F69">
            <v>36.3528</v>
          </cell>
        </row>
        <row r="70">
          <cell r="F70">
            <v>23.4</v>
          </cell>
        </row>
        <row r="73">
          <cell r="D73">
            <v>1</v>
          </cell>
        </row>
        <row r="74">
          <cell r="F74">
            <v>158.6116</v>
          </cell>
        </row>
        <row r="75">
          <cell r="F75">
            <v>115.2</v>
          </cell>
        </row>
        <row r="76">
          <cell r="F76">
            <v>36.3528</v>
          </cell>
        </row>
        <row r="77">
          <cell r="F77">
            <v>23.4</v>
          </cell>
        </row>
        <row r="81">
          <cell r="F81">
            <v>49.8321</v>
          </cell>
        </row>
        <row r="82">
          <cell r="F82">
            <v>35.496</v>
          </cell>
        </row>
        <row r="83">
          <cell r="F83">
            <v>76.16952</v>
          </cell>
        </row>
        <row r="84">
          <cell r="F84">
            <v>15.0246</v>
          </cell>
        </row>
        <row r="85">
          <cell r="D85">
            <v>30</v>
          </cell>
        </row>
        <row r="87">
          <cell r="F87">
            <v>65.22696</v>
          </cell>
        </row>
        <row r="88">
          <cell r="D88">
            <v>12</v>
          </cell>
        </row>
        <row r="91">
          <cell r="D91">
            <v>21.3614</v>
          </cell>
        </row>
        <row r="92">
          <cell r="D92">
            <v>67.00397</v>
          </cell>
        </row>
        <row r="95">
          <cell r="D95">
            <v>1</v>
          </cell>
        </row>
        <row r="96">
          <cell r="F96">
            <v>156.162</v>
          </cell>
        </row>
        <row r="97">
          <cell r="F97">
            <v>115.2</v>
          </cell>
        </row>
        <row r="98">
          <cell r="F98">
            <v>36.3528</v>
          </cell>
        </row>
        <row r="99">
          <cell r="F99">
            <v>23.4</v>
          </cell>
        </row>
        <row r="102">
          <cell r="D102">
            <v>1</v>
          </cell>
        </row>
        <row r="103">
          <cell r="F103">
            <v>156.162</v>
          </cell>
        </row>
        <row r="104">
          <cell r="F104">
            <v>115.2</v>
          </cell>
        </row>
        <row r="105">
          <cell r="F105">
            <v>36.3528</v>
          </cell>
        </row>
        <row r="106">
          <cell r="F106">
            <v>23.4</v>
          </cell>
        </row>
        <row r="110">
          <cell r="F110">
            <v>29.89926</v>
          </cell>
        </row>
        <row r="111">
          <cell r="F111">
            <v>14.688</v>
          </cell>
        </row>
        <row r="112">
          <cell r="F112">
            <v>67.57704</v>
          </cell>
        </row>
        <row r="113">
          <cell r="F113">
            <v>15.0246</v>
          </cell>
        </row>
        <row r="114">
          <cell r="D114">
            <v>10</v>
          </cell>
        </row>
        <row r="116">
          <cell r="F116">
            <v>65.22696</v>
          </cell>
        </row>
        <row r="117">
          <cell r="D117">
            <v>4</v>
          </cell>
        </row>
        <row r="120">
          <cell r="D120">
            <v>21.3614</v>
          </cell>
        </row>
        <row r="121">
          <cell r="D121">
            <v>43.74027</v>
          </cell>
        </row>
        <row r="125">
          <cell r="F125">
            <v>0</v>
          </cell>
        </row>
        <row r="126">
          <cell r="F126">
            <v>54.4</v>
          </cell>
        </row>
        <row r="127">
          <cell r="F127">
            <v>22.2156</v>
          </cell>
        </row>
        <row r="128">
          <cell r="F128">
            <v>4</v>
          </cell>
        </row>
        <row r="129">
          <cell r="D129">
            <v>4</v>
          </cell>
        </row>
        <row r="129">
          <cell r="F129">
            <v>0</v>
          </cell>
        </row>
        <row r="132">
          <cell r="F132">
            <v>0</v>
          </cell>
        </row>
        <row r="133">
          <cell r="F133">
            <v>54.4</v>
          </cell>
        </row>
        <row r="134">
          <cell r="F134">
            <v>22.2156</v>
          </cell>
        </row>
        <row r="135">
          <cell r="F135">
            <v>4</v>
          </cell>
        </row>
        <row r="136">
          <cell r="D136">
            <v>4</v>
          </cell>
        </row>
        <row r="136">
          <cell r="F136">
            <v>0</v>
          </cell>
        </row>
        <row r="139">
          <cell r="F139">
            <v>97.72308</v>
          </cell>
        </row>
        <row r="140">
          <cell r="F140">
            <v>31.44456</v>
          </cell>
        </row>
        <row r="141">
          <cell r="F141">
            <v>12.432</v>
          </cell>
        </row>
        <row r="142">
          <cell r="F142">
            <v>34.578</v>
          </cell>
        </row>
        <row r="143">
          <cell r="D143">
            <v>14</v>
          </cell>
        </row>
        <row r="143">
          <cell r="F143">
            <v>0</v>
          </cell>
        </row>
        <row r="145">
          <cell r="D145">
            <v>9.324</v>
          </cell>
        </row>
        <row r="146">
          <cell r="D146">
            <v>26.9056</v>
          </cell>
        </row>
        <row r="150">
          <cell r="F150">
            <v>0</v>
          </cell>
        </row>
        <row r="151">
          <cell r="F151">
            <v>54.4</v>
          </cell>
        </row>
        <row r="152">
          <cell r="F152">
            <v>22.2156</v>
          </cell>
        </row>
        <row r="153">
          <cell r="F153">
            <v>4</v>
          </cell>
        </row>
        <row r="154">
          <cell r="D154">
            <v>4</v>
          </cell>
        </row>
        <row r="154">
          <cell r="F154">
            <v>0</v>
          </cell>
        </row>
        <row r="157">
          <cell r="F157">
            <v>0</v>
          </cell>
        </row>
        <row r="158">
          <cell r="F158">
            <v>54.4</v>
          </cell>
        </row>
        <row r="159">
          <cell r="F159">
            <v>22.2156</v>
          </cell>
        </row>
        <row r="160">
          <cell r="F160">
            <v>4</v>
          </cell>
        </row>
        <row r="161">
          <cell r="D161">
            <v>4</v>
          </cell>
        </row>
        <row r="161">
          <cell r="F161">
            <v>0</v>
          </cell>
        </row>
        <row r="164">
          <cell r="F164">
            <v>97.72308</v>
          </cell>
        </row>
        <row r="165">
          <cell r="F165">
            <v>31.44456</v>
          </cell>
        </row>
        <row r="166">
          <cell r="F166">
            <v>12.432</v>
          </cell>
        </row>
        <row r="167">
          <cell r="F167">
            <v>34.425</v>
          </cell>
        </row>
        <row r="168">
          <cell r="D168">
            <v>14</v>
          </cell>
        </row>
        <row r="168">
          <cell r="F168">
            <v>0</v>
          </cell>
        </row>
        <row r="170">
          <cell r="D170">
            <v>9.324</v>
          </cell>
        </row>
        <row r="171">
          <cell r="D171">
            <v>26.71775</v>
          </cell>
        </row>
        <row r="175">
          <cell r="F175">
            <v>0</v>
          </cell>
        </row>
        <row r="176">
          <cell r="F176">
            <v>54.4</v>
          </cell>
        </row>
        <row r="177">
          <cell r="F177">
            <v>22.2156</v>
          </cell>
        </row>
        <row r="178">
          <cell r="F178">
            <v>4</v>
          </cell>
        </row>
        <row r="179">
          <cell r="D179">
            <v>4</v>
          </cell>
        </row>
        <row r="179">
          <cell r="F179">
            <v>0</v>
          </cell>
        </row>
        <row r="182">
          <cell r="F182">
            <v>0</v>
          </cell>
        </row>
        <row r="183">
          <cell r="F183">
            <v>54.4</v>
          </cell>
        </row>
        <row r="184">
          <cell r="F184">
            <v>22.2156</v>
          </cell>
        </row>
        <row r="185">
          <cell r="F185">
            <v>4</v>
          </cell>
        </row>
        <row r="186">
          <cell r="D186">
            <v>4</v>
          </cell>
        </row>
        <row r="186">
          <cell r="F186">
            <v>0</v>
          </cell>
        </row>
        <row r="189">
          <cell r="F189">
            <v>97.72308</v>
          </cell>
        </row>
        <row r="190">
          <cell r="F190">
            <v>31.44456</v>
          </cell>
        </row>
        <row r="191">
          <cell r="F191">
            <v>12.432</v>
          </cell>
        </row>
        <row r="192">
          <cell r="F192">
            <v>35.649</v>
          </cell>
        </row>
        <row r="193">
          <cell r="D193">
            <v>14</v>
          </cell>
        </row>
        <row r="193">
          <cell r="F193">
            <v>0</v>
          </cell>
        </row>
        <row r="195">
          <cell r="D195">
            <v>9.324</v>
          </cell>
        </row>
        <row r="196">
          <cell r="D196">
            <v>27.743075</v>
          </cell>
        </row>
        <row r="200">
          <cell r="F200">
            <v>0</v>
          </cell>
        </row>
        <row r="201">
          <cell r="F201">
            <v>54.4</v>
          </cell>
        </row>
        <row r="202">
          <cell r="F202">
            <v>22.2156</v>
          </cell>
        </row>
        <row r="203">
          <cell r="F203">
            <v>4</v>
          </cell>
        </row>
        <row r="204">
          <cell r="D204">
            <v>4</v>
          </cell>
        </row>
        <row r="204">
          <cell r="F204">
            <v>0</v>
          </cell>
        </row>
        <row r="207">
          <cell r="F207">
            <v>0</v>
          </cell>
        </row>
        <row r="208">
          <cell r="F208">
            <v>54.4</v>
          </cell>
        </row>
        <row r="209">
          <cell r="F209">
            <v>22.2156</v>
          </cell>
        </row>
        <row r="210">
          <cell r="F210">
            <v>4</v>
          </cell>
        </row>
        <row r="211">
          <cell r="D211">
            <v>4</v>
          </cell>
        </row>
        <row r="211">
          <cell r="F211">
            <v>0</v>
          </cell>
        </row>
        <row r="214">
          <cell r="F214">
            <v>114.01026</v>
          </cell>
        </row>
        <row r="215">
          <cell r="F215">
            <v>36.45072</v>
          </cell>
        </row>
        <row r="216">
          <cell r="F216">
            <v>18.648</v>
          </cell>
        </row>
        <row r="217">
          <cell r="F217">
            <v>42.534</v>
          </cell>
        </row>
        <row r="218">
          <cell r="D218">
            <v>17</v>
          </cell>
        </row>
        <row r="218">
          <cell r="F218">
            <v>0</v>
          </cell>
        </row>
        <row r="220">
          <cell r="D220">
            <v>9.324</v>
          </cell>
        </row>
        <row r="221">
          <cell r="D221">
            <v>33.0897</v>
          </cell>
        </row>
        <row r="225">
          <cell r="F225">
            <v>0</v>
          </cell>
        </row>
        <row r="226">
          <cell r="F226">
            <v>54.4</v>
          </cell>
        </row>
        <row r="227">
          <cell r="F227">
            <v>22.2156</v>
          </cell>
        </row>
        <row r="228">
          <cell r="F228">
            <v>4</v>
          </cell>
        </row>
        <row r="229">
          <cell r="D229">
            <v>4</v>
          </cell>
        </row>
        <row r="229">
          <cell r="F229">
            <v>0</v>
          </cell>
        </row>
        <row r="232">
          <cell r="F232">
            <v>0</v>
          </cell>
        </row>
        <row r="233">
          <cell r="F233">
            <v>54.4</v>
          </cell>
        </row>
        <row r="234">
          <cell r="F234">
            <v>22.2156</v>
          </cell>
        </row>
        <row r="235">
          <cell r="F235">
            <v>4</v>
          </cell>
        </row>
        <row r="236">
          <cell r="D236">
            <v>4</v>
          </cell>
        </row>
        <row r="236">
          <cell r="F236">
            <v>0</v>
          </cell>
        </row>
        <row r="239">
          <cell r="F239">
            <v>97.72308</v>
          </cell>
        </row>
        <row r="240">
          <cell r="F240">
            <v>31.44456</v>
          </cell>
        </row>
        <row r="241">
          <cell r="F241">
            <v>12.432</v>
          </cell>
        </row>
        <row r="242">
          <cell r="F242">
            <v>38.25</v>
          </cell>
        </row>
        <row r="243">
          <cell r="D243">
            <v>14</v>
          </cell>
        </row>
        <row r="243">
          <cell r="F243">
            <v>0</v>
          </cell>
        </row>
        <row r="245">
          <cell r="D245">
            <v>9.324</v>
          </cell>
        </row>
        <row r="246">
          <cell r="D246">
            <v>29.7598</v>
          </cell>
        </row>
        <row r="250">
          <cell r="F250">
            <v>0</v>
          </cell>
        </row>
        <row r="251">
          <cell r="F251">
            <v>54.4</v>
          </cell>
        </row>
        <row r="252">
          <cell r="F252">
            <v>22.2156</v>
          </cell>
        </row>
        <row r="253">
          <cell r="F253">
            <v>4</v>
          </cell>
        </row>
        <row r="254">
          <cell r="D254">
            <v>4</v>
          </cell>
        </row>
        <row r="254">
          <cell r="F254">
            <v>0</v>
          </cell>
        </row>
        <row r="257">
          <cell r="F257">
            <v>0</v>
          </cell>
        </row>
        <row r="258">
          <cell r="F258">
            <v>54.4</v>
          </cell>
        </row>
        <row r="259">
          <cell r="F259">
            <v>22.2156</v>
          </cell>
        </row>
        <row r="260">
          <cell r="F260">
            <v>4</v>
          </cell>
        </row>
        <row r="261">
          <cell r="D261">
            <v>4</v>
          </cell>
        </row>
        <row r="261">
          <cell r="F261">
            <v>0</v>
          </cell>
        </row>
        <row r="264">
          <cell r="F264">
            <v>97.72308</v>
          </cell>
        </row>
        <row r="265">
          <cell r="F265">
            <v>31.44456</v>
          </cell>
        </row>
        <row r="266">
          <cell r="F266">
            <v>12.432</v>
          </cell>
        </row>
        <row r="267">
          <cell r="F267">
            <v>38.25</v>
          </cell>
        </row>
        <row r="268">
          <cell r="D268">
            <v>14</v>
          </cell>
        </row>
        <row r="268">
          <cell r="F268">
            <v>0</v>
          </cell>
        </row>
        <row r="270">
          <cell r="D270">
            <v>9.324</v>
          </cell>
        </row>
        <row r="271">
          <cell r="D271">
            <v>29.4898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workbookViewId="0">
      <selection activeCell="B7" sqref="B7"/>
    </sheetView>
  </sheetViews>
  <sheetFormatPr defaultColWidth="9" defaultRowHeight="13.5"/>
  <cols>
    <col min="1" max="1" width="4.375" style="114" customWidth="1"/>
    <col min="2" max="2" width="22" style="114" customWidth="1"/>
    <col min="3" max="3" width="10.875" style="114" customWidth="1"/>
    <col min="4" max="4" width="8.125" style="114" customWidth="1"/>
    <col min="5" max="5" width="7.5" style="114" customWidth="1"/>
    <col min="6" max="6" width="9.75" style="116" customWidth="1"/>
    <col min="7" max="7" width="9.875" style="114" customWidth="1"/>
    <col min="8" max="8" width="11.25" style="114" customWidth="1"/>
    <col min="9" max="9" width="9.625" style="114" customWidth="1"/>
    <col min="10" max="10" width="11.125" style="114" customWidth="1"/>
    <col min="11" max="11" width="7.25" style="117" customWidth="1"/>
    <col min="12" max="12" width="6.75" style="116" customWidth="1"/>
    <col min="13" max="13" width="7.25" style="114" customWidth="1"/>
    <col min="14" max="14" width="6.5" style="114" customWidth="1"/>
    <col min="15" max="15" width="8.625" style="114" customWidth="1"/>
    <col min="16" max="16384" width="9" style="114"/>
  </cols>
  <sheetData>
    <row r="1" s="114" customFormat="1" ht="15" customHeight="1" spans="1:15">
      <c r="A1" s="118" t="s">
        <v>0</v>
      </c>
      <c r="B1" s="119"/>
      <c r="C1" s="119"/>
      <c r="D1" s="119"/>
      <c r="E1" s="119"/>
      <c r="F1" s="120"/>
      <c r="G1" s="119"/>
      <c r="H1" s="119"/>
      <c r="I1" s="119"/>
      <c r="J1" s="119"/>
      <c r="K1" s="142"/>
      <c r="L1" s="120"/>
      <c r="M1" s="119"/>
      <c r="N1" s="119"/>
      <c r="O1" s="119"/>
    </row>
    <row r="2" s="114" customFormat="1" ht="18.95" customHeight="1" spans="1:15">
      <c r="A2" s="121" t="s">
        <v>1</v>
      </c>
      <c r="B2" s="121" t="s">
        <v>2</v>
      </c>
      <c r="C2" s="121" t="s">
        <v>3</v>
      </c>
      <c r="D2" s="121" t="s">
        <v>4</v>
      </c>
      <c r="E2" s="121" t="s">
        <v>5</v>
      </c>
      <c r="F2" s="122" t="s">
        <v>6</v>
      </c>
      <c r="G2" s="121"/>
      <c r="H2" s="121" t="s">
        <v>7</v>
      </c>
      <c r="I2" s="121"/>
      <c r="J2" s="121"/>
      <c r="K2" s="143" t="s">
        <v>8</v>
      </c>
      <c r="L2" s="122"/>
      <c r="M2" s="121" t="s">
        <v>9</v>
      </c>
      <c r="N2" s="121" t="s">
        <v>10</v>
      </c>
      <c r="O2" s="121" t="s">
        <v>11</v>
      </c>
    </row>
    <row r="3" s="114" customFormat="1" ht="28" customHeight="1" spans="1:15">
      <c r="A3" s="121"/>
      <c r="B3" s="121"/>
      <c r="C3" s="121"/>
      <c r="D3" s="121"/>
      <c r="E3" s="121"/>
      <c r="F3" s="122" t="s">
        <v>12</v>
      </c>
      <c r="G3" s="121" t="s">
        <v>13</v>
      </c>
      <c r="H3" s="121" t="s">
        <v>14</v>
      </c>
      <c r="I3" s="121" t="s">
        <v>15</v>
      </c>
      <c r="J3" s="121" t="s">
        <v>16</v>
      </c>
      <c r="K3" s="143" t="s">
        <v>17</v>
      </c>
      <c r="L3" s="122" t="s">
        <v>18</v>
      </c>
      <c r="M3" s="121"/>
      <c r="N3" s="121"/>
      <c r="O3" s="121"/>
    </row>
    <row r="4" s="114" customFormat="1" ht="24" customHeight="1" spans="1:15">
      <c r="A4" s="123"/>
      <c r="B4" s="123"/>
      <c r="C4" s="124" t="s">
        <v>19</v>
      </c>
      <c r="D4" s="125" t="s">
        <v>20</v>
      </c>
      <c r="E4" s="125" t="s">
        <v>20</v>
      </c>
      <c r="F4" s="126" t="s">
        <v>21</v>
      </c>
      <c r="G4" s="127" t="s">
        <v>22</v>
      </c>
      <c r="H4" s="126" t="s">
        <v>23</v>
      </c>
      <c r="I4" s="144" t="s">
        <v>24</v>
      </c>
      <c r="J4" s="127" t="s">
        <v>25</v>
      </c>
      <c r="K4" s="145" t="s">
        <v>26</v>
      </c>
      <c r="L4" s="146" t="s">
        <v>27</v>
      </c>
      <c r="M4" s="127" t="s">
        <v>28</v>
      </c>
      <c r="N4" s="127" t="s">
        <v>29</v>
      </c>
      <c r="O4" s="147" t="s">
        <v>30</v>
      </c>
    </row>
    <row r="5" s="114" customFormat="1" ht="36" customHeight="1" spans="1:15">
      <c r="A5" s="128">
        <v>1</v>
      </c>
      <c r="B5" s="129" t="s">
        <v>31</v>
      </c>
      <c r="C5" s="130"/>
      <c r="D5" s="130"/>
      <c r="E5" s="128"/>
      <c r="F5" s="131"/>
      <c r="G5" s="132">
        <v>48038.284327056</v>
      </c>
      <c r="H5" s="132">
        <f>门头合同附件!N40*2</f>
        <v>118597.102346324</v>
      </c>
      <c r="I5" s="148">
        <v>0.8</v>
      </c>
      <c r="J5" s="62">
        <f t="shared" ref="J5:J13" si="0">I5*H5-G5</f>
        <v>46839.397550003</v>
      </c>
      <c r="K5" s="132"/>
      <c r="L5" s="149"/>
      <c r="M5" s="132"/>
      <c r="N5" s="132"/>
      <c r="O5" s="128" t="s">
        <v>32</v>
      </c>
    </row>
    <row r="6" s="114" customFormat="1" ht="36" customHeight="1" spans="1:15">
      <c r="A6" s="128">
        <v>2</v>
      </c>
      <c r="B6" s="129" t="s">
        <v>33</v>
      </c>
      <c r="C6" s="130"/>
      <c r="D6" s="130"/>
      <c r="E6" s="128"/>
      <c r="F6" s="132"/>
      <c r="G6" s="133">
        <v>18942.57334472</v>
      </c>
      <c r="H6" s="62">
        <f>门头合同附件!N15</f>
        <v>48024.8207241595</v>
      </c>
      <c r="I6" s="148">
        <v>0.8</v>
      </c>
      <c r="J6" s="62">
        <f t="shared" si="0"/>
        <v>19477.2832346076</v>
      </c>
      <c r="K6" s="150"/>
      <c r="L6" s="149"/>
      <c r="M6" s="133"/>
      <c r="N6" s="132"/>
      <c r="O6" s="128"/>
    </row>
    <row r="7" s="114" customFormat="1" ht="36" customHeight="1" spans="1:15">
      <c r="A7" s="128">
        <v>3</v>
      </c>
      <c r="B7" s="129" t="s">
        <v>34</v>
      </c>
      <c r="C7" s="130"/>
      <c r="D7" s="130"/>
      <c r="E7" s="128"/>
      <c r="F7" s="132"/>
      <c r="G7" s="133">
        <v>18253.932815736</v>
      </c>
      <c r="H7" s="62">
        <f>门头合同附件!N51</f>
        <v>44954.016080029</v>
      </c>
      <c r="I7" s="148">
        <v>0.8</v>
      </c>
      <c r="J7" s="62">
        <f t="shared" si="0"/>
        <v>17709.2800482872</v>
      </c>
      <c r="K7" s="150"/>
      <c r="L7" s="149"/>
      <c r="M7" s="133"/>
      <c r="N7" s="132"/>
      <c r="O7" s="128"/>
    </row>
    <row r="8" s="114" customFormat="1" ht="36" customHeight="1" spans="1:15">
      <c r="A8" s="128">
        <v>4</v>
      </c>
      <c r="B8" s="129" t="s">
        <v>35</v>
      </c>
      <c r="C8" s="130"/>
      <c r="D8" s="130"/>
      <c r="E8" s="128"/>
      <c r="F8" s="132"/>
      <c r="G8" s="133">
        <v>10357.268580064</v>
      </c>
      <c r="H8" s="62">
        <f>门头合同附件!N101</f>
        <v>26628.6605936529</v>
      </c>
      <c r="I8" s="148">
        <v>0.8</v>
      </c>
      <c r="J8" s="62">
        <f t="shared" si="0"/>
        <v>10945.6598948583</v>
      </c>
      <c r="K8" s="150"/>
      <c r="L8" s="149"/>
      <c r="M8" s="133"/>
      <c r="N8" s="132"/>
      <c r="O8" s="128"/>
    </row>
    <row r="9" s="114" customFormat="1" ht="36" customHeight="1" spans="1:15">
      <c r="A9" s="128">
        <v>5</v>
      </c>
      <c r="B9" s="129" t="s">
        <v>36</v>
      </c>
      <c r="C9" s="130"/>
      <c r="D9" s="130"/>
      <c r="E9" s="128"/>
      <c r="F9" s="132"/>
      <c r="G9" s="133">
        <v>10298.368620064</v>
      </c>
      <c r="H9" s="62">
        <f>门头合同附件!N111</f>
        <v>26506.1012716029</v>
      </c>
      <c r="I9" s="148">
        <v>0.8</v>
      </c>
      <c r="J9" s="62">
        <f t="shared" si="0"/>
        <v>10906.5123972183</v>
      </c>
      <c r="K9" s="150"/>
      <c r="L9" s="149"/>
      <c r="M9" s="133"/>
      <c r="N9" s="132"/>
      <c r="O9" s="128"/>
    </row>
    <row r="10" s="114" customFormat="1" ht="36" customHeight="1" spans="1:15">
      <c r="A10" s="128">
        <v>6</v>
      </c>
      <c r="B10" s="129" t="s">
        <v>37</v>
      </c>
      <c r="C10" s="130"/>
      <c r="D10" s="130"/>
      <c r="E10" s="128"/>
      <c r="F10" s="132"/>
      <c r="G10" s="133">
        <v>9437.296</v>
      </c>
      <c r="H10" s="62">
        <f>大堂!L51*2</f>
        <v>77285.8348000411</v>
      </c>
      <c r="I10" s="148">
        <v>0.8</v>
      </c>
      <c r="J10" s="62">
        <f t="shared" si="0"/>
        <v>52391.3718400329</v>
      </c>
      <c r="K10" s="150"/>
      <c r="L10" s="149"/>
      <c r="M10" s="133"/>
      <c r="N10" s="132"/>
      <c r="O10" s="128"/>
    </row>
    <row r="11" s="114" customFormat="1" ht="36" customHeight="1" spans="1:15">
      <c r="A11" s="128">
        <v>7</v>
      </c>
      <c r="B11" s="129" t="s">
        <v>38</v>
      </c>
      <c r="C11" s="130"/>
      <c r="D11" s="130"/>
      <c r="E11" s="128"/>
      <c r="F11" s="132"/>
      <c r="G11" s="133">
        <v>11264.528</v>
      </c>
      <c r="H11" s="62">
        <f>门头合同附件!L51</f>
        <v>44954.016080029</v>
      </c>
      <c r="I11" s="148">
        <v>0.8</v>
      </c>
      <c r="J11" s="62">
        <f t="shared" si="0"/>
        <v>24698.6848640232</v>
      </c>
      <c r="K11" s="150"/>
      <c r="L11" s="149"/>
      <c r="M11" s="133"/>
      <c r="N11" s="132"/>
      <c r="O11" s="128"/>
    </row>
    <row r="12" s="114" customFormat="1" ht="36" customHeight="1" spans="1:15">
      <c r="A12" s="128">
        <v>8</v>
      </c>
      <c r="B12" s="129" t="s">
        <v>39</v>
      </c>
      <c r="C12" s="130"/>
      <c r="D12" s="130"/>
      <c r="E12" s="128"/>
      <c r="F12" s="132"/>
      <c r="G12" s="133">
        <v>8340.864</v>
      </c>
      <c r="H12" s="62">
        <f>门头合同附件!L15</f>
        <v>48024.8207241595</v>
      </c>
      <c r="I12" s="148">
        <v>0.8</v>
      </c>
      <c r="J12" s="62">
        <f t="shared" si="0"/>
        <v>30078.9925793276</v>
      </c>
      <c r="K12" s="150"/>
      <c r="L12" s="149"/>
      <c r="M12" s="133"/>
      <c r="N12" s="132"/>
      <c r="O12" s="128"/>
    </row>
    <row r="13" s="114" customFormat="1" ht="36" customHeight="1" spans="1:15">
      <c r="A13" s="128">
        <v>9</v>
      </c>
      <c r="B13" s="129" t="s">
        <v>40</v>
      </c>
      <c r="C13" s="130"/>
      <c r="D13" s="130"/>
      <c r="E13" s="128"/>
      <c r="F13" s="132"/>
      <c r="G13" s="133">
        <v>43877.712</v>
      </c>
      <c r="H13" s="62">
        <f>公区!O79</f>
        <v>162018.25004112</v>
      </c>
      <c r="I13" s="148">
        <v>0.8</v>
      </c>
      <c r="J13" s="62">
        <f t="shared" si="0"/>
        <v>85736.888032896</v>
      </c>
      <c r="K13" s="150"/>
      <c r="L13" s="149"/>
      <c r="M13" s="133"/>
      <c r="N13" s="132"/>
      <c r="O13" s="128"/>
    </row>
    <row r="14" s="114" customFormat="1" ht="24" customHeight="1" spans="1:15">
      <c r="A14" s="128">
        <v>10</v>
      </c>
      <c r="B14" s="134" t="s">
        <v>41</v>
      </c>
      <c r="C14" s="132"/>
      <c r="D14" s="130"/>
      <c r="E14" s="128"/>
      <c r="F14" s="132"/>
      <c r="G14" s="132"/>
      <c r="H14" s="62"/>
      <c r="I14" s="148"/>
      <c r="J14" s="62">
        <f>SUM(J5:J13)</f>
        <v>298784.070441254</v>
      </c>
      <c r="K14" s="151"/>
      <c r="L14" s="152"/>
      <c r="M14" s="153"/>
      <c r="N14" s="132"/>
      <c r="O14" s="128"/>
    </row>
    <row r="15" s="115" customFormat="1" ht="22.5" spans="1:15">
      <c r="A15" s="128">
        <v>11</v>
      </c>
      <c r="B15" s="128" t="s">
        <v>42</v>
      </c>
      <c r="C15" s="128"/>
      <c r="D15" s="128"/>
      <c r="E15" s="128"/>
      <c r="F15" s="135"/>
      <c r="G15" s="132"/>
      <c r="H15" s="132"/>
      <c r="I15" s="148"/>
      <c r="J15" s="153">
        <v>298000</v>
      </c>
      <c r="K15" s="132"/>
      <c r="L15" s="149"/>
      <c r="M15" s="153" t="s">
        <v>43</v>
      </c>
      <c r="N15" s="153" t="s">
        <v>44</v>
      </c>
      <c r="O15" s="130" t="s">
        <v>45</v>
      </c>
    </row>
    <row r="16" s="114" customFormat="1" ht="24.95" customHeight="1" spans="1:15">
      <c r="A16" s="136" t="s">
        <v>46</v>
      </c>
      <c r="B16" s="136"/>
      <c r="C16" s="136"/>
      <c r="D16" s="136"/>
      <c r="E16" s="136"/>
      <c r="F16" s="137"/>
      <c r="G16" s="136"/>
      <c r="H16" s="136"/>
      <c r="I16" s="136"/>
      <c r="J16" s="136"/>
      <c r="K16" s="154"/>
      <c r="L16" s="137"/>
      <c r="M16" s="136"/>
      <c r="N16" s="136"/>
      <c r="O16" s="136"/>
    </row>
    <row r="17" s="114" customFormat="1" ht="24.95" customHeight="1" spans="1:15">
      <c r="A17" s="136" t="s">
        <v>47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</row>
    <row r="18" s="114" customFormat="1" ht="26.25" customHeight="1" spans="1:15">
      <c r="A18" s="138"/>
      <c r="B18" s="139"/>
      <c r="C18" s="139"/>
      <c r="D18" s="139"/>
      <c r="E18" s="139"/>
      <c r="F18" s="140"/>
      <c r="G18" s="141" t="s">
        <v>48</v>
      </c>
      <c r="H18" s="141"/>
      <c r="I18" s="141"/>
      <c r="J18" s="155"/>
      <c r="K18" s="156"/>
      <c r="L18" s="157" t="s">
        <v>49</v>
      </c>
      <c r="M18" s="158"/>
      <c r="N18" s="139"/>
      <c r="O18" s="139"/>
    </row>
    <row r="19" s="114" customFormat="1" ht="28.5" customHeight="1" spans="1:15">
      <c r="A19" s="138"/>
      <c r="B19" s="139"/>
      <c r="C19" s="139"/>
      <c r="D19" s="139"/>
      <c r="E19" s="139"/>
      <c r="F19" s="140"/>
      <c r="J19" s="139"/>
      <c r="K19" s="159"/>
      <c r="L19" s="140"/>
      <c r="M19" s="139"/>
      <c r="N19" s="139"/>
      <c r="O19" s="139"/>
    </row>
  </sheetData>
  <mergeCells count="18">
    <mergeCell ref="A1:O1"/>
    <mergeCell ref="F2:G2"/>
    <mergeCell ref="H2:J2"/>
    <mergeCell ref="K2:L2"/>
    <mergeCell ref="B15:E15"/>
    <mergeCell ref="A16:O16"/>
    <mergeCell ref="A17:O17"/>
    <mergeCell ref="G18:I18"/>
    <mergeCell ref="J18:K18"/>
    <mergeCell ref="L18:M18"/>
    <mergeCell ref="A2:A3"/>
    <mergeCell ref="B2:B3"/>
    <mergeCell ref="C2:C3"/>
    <mergeCell ref="D2:D3"/>
    <mergeCell ref="E2:E3"/>
    <mergeCell ref="M2:M3"/>
    <mergeCell ref="N2:N3"/>
    <mergeCell ref="O2:O3"/>
  </mergeCells>
  <pageMargins left="0.357638888888889" right="0.357638888888889" top="0.236111111111111" bottom="0.0388888888888889" header="0.118055555555556" footer="0.156944444444444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1"/>
  <sheetViews>
    <sheetView zoomScale="115" zoomScaleNormal="115" topLeftCell="A42" workbookViewId="0">
      <selection activeCell="N14" sqref="N14"/>
    </sheetView>
  </sheetViews>
  <sheetFormatPr defaultColWidth="9" defaultRowHeight="13.5"/>
  <cols>
    <col min="2" max="2" width="14.2333333333333" customWidth="1"/>
    <col min="3" max="3" width="34.625" customWidth="1"/>
    <col min="6" max="6" width="9" style="91"/>
    <col min="7" max="7" width="9" style="92"/>
    <col min="8" max="8" width="9" style="91"/>
    <col min="9" max="10" width="9" style="93"/>
    <col min="13" max="14" width="15.25" customWidth="1"/>
    <col min="15" max="15" width="9" customWidth="1"/>
    <col min="16" max="17" width="12.625" customWidth="1"/>
    <col min="18" max="18" width="9" customWidth="1"/>
    <col min="19" max="19" width="12.625" customWidth="1"/>
    <col min="20" max="20" width="12.625"/>
    <col min="21" max="21" width="9.375"/>
    <col min="22" max="22" width="12.625"/>
  </cols>
  <sheetData>
    <row r="1" customFormat="1" ht="54" customHeight="1" spans="1:14">
      <c r="A1" s="94" t="s">
        <v>50</v>
      </c>
      <c r="B1" s="95"/>
      <c r="C1" s="94"/>
      <c r="D1" s="94"/>
      <c r="E1" s="55"/>
      <c r="F1" s="55"/>
      <c r="G1" s="96"/>
      <c r="H1" s="55"/>
      <c r="I1" s="106"/>
      <c r="J1" s="106"/>
      <c r="K1" s="55"/>
      <c r="L1" s="55"/>
      <c r="M1" s="94"/>
      <c r="N1" s="107"/>
    </row>
    <row r="2" customFormat="1" ht="54" customHeight="1" spans="1:14">
      <c r="A2" s="81" t="s">
        <v>1</v>
      </c>
      <c r="B2" s="81" t="s">
        <v>51</v>
      </c>
      <c r="C2" s="81" t="s">
        <v>52</v>
      </c>
      <c r="D2" s="81" t="s">
        <v>53</v>
      </c>
      <c r="E2" s="62" t="s">
        <v>54</v>
      </c>
      <c r="F2" s="58" t="s">
        <v>55</v>
      </c>
      <c r="G2" s="97"/>
      <c r="H2" s="58"/>
      <c r="I2" s="108"/>
      <c r="J2" s="108"/>
      <c r="K2" s="58" t="s">
        <v>56</v>
      </c>
      <c r="L2" s="58" t="s">
        <v>57</v>
      </c>
      <c r="M2" s="58" t="s">
        <v>58</v>
      </c>
      <c r="N2" s="109"/>
    </row>
    <row r="3" customFormat="1" ht="54" customHeight="1" spans="1:14">
      <c r="A3" s="81"/>
      <c r="B3" s="81"/>
      <c r="C3" s="81"/>
      <c r="D3" s="81"/>
      <c r="E3" s="62"/>
      <c r="F3" s="58" t="s">
        <v>59</v>
      </c>
      <c r="G3" s="97" t="s">
        <v>60</v>
      </c>
      <c r="H3" s="58" t="s">
        <v>61</v>
      </c>
      <c r="I3" s="108" t="s">
        <v>62</v>
      </c>
      <c r="J3" s="108" t="s">
        <v>63</v>
      </c>
      <c r="K3" s="58"/>
      <c r="L3" s="58"/>
      <c r="M3" s="58"/>
      <c r="N3" s="109"/>
    </row>
    <row r="4" customFormat="1" ht="54" customHeight="1" spans="1:14">
      <c r="A4" s="81"/>
      <c r="B4" s="81"/>
      <c r="C4" s="81"/>
      <c r="D4" s="81"/>
      <c r="E4" s="62"/>
      <c r="F4" s="58"/>
      <c r="G4" s="97"/>
      <c r="H4" s="58"/>
      <c r="I4" s="110">
        <f>[1]公共区域装修!I4</f>
        <v>0.1</v>
      </c>
      <c r="J4" s="110">
        <f>[1]公共区域装修!J4</f>
        <v>0.09</v>
      </c>
      <c r="K4" s="58"/>
      <c r="L4" s="58"/>
      <c r="M4" s="58"/>
      <c r="N4" s="109"/>
    </row>
    <row r="5" customFormat="1" ht="34" customHeight="1" spans="1:14">
      <c r="A5" s="81" t="s">
        <v>64</v>
      </c>
      <c r="B5" s="98" t="s">
        <v>65</v>
      </c>
      <c r="C5" s="98" t="s">
        <v>66</v>
      </c>
      <c r="D5" s="99"/>
      <c r="E5" s="62"/>
      <c r="F5" s="58"/>
      <c r="G5" s="97"/>
      <c r="H5" s="58"/>
      <c r="I5" s="108"/>
      <c r="J5" s="108"/>
      <c r="K5" s="58"/>
      <c r="L5" s="58"/>
      <c r="M5" s="58"/>
      <c r="N5" s="109" t="s">
        <v>67</v>
      </c>
    </row>
    <row r="6" customFormat="1" ht="86" customHeight="1" spans="1:14">
      <c r="A6" s="81">
        <v>1</v>
      </c>
      <c r="B6" s="98" t="s">
        <v>68</v>
      </c>
      <c r="C6" s="98" t="s">
        <v>69</v>
      </c>
      <c r="D6" s="99" t="s">
        <v>70</v>
      </c>
      <c r="E6" s="62">
        <f>([1]门头石材铝板工程量计算式!F5+[1]门头石材铝板工程量计算式!F6+[1]门头石材铝板工程量计算式!F7+[1]门头石材铝板工程量计算式!F8+[1]门头石材铝板工程量计算式!F13+[1]门头石材铝板工程量计算式!F14+[1]门头石材铝板工程量计算式!F18+[1]门头石材铝板工程量计算式!F19+[1]门头石材铝板工程量计算式!F22)/1000</f>
        <v>0.7141473</v>
      </c>
      <c r="F6" s="58">
        <v>2120</v>
      </c>
      <c r="G6" s="97">
        <v>5512</v>
      </c>
      <c r="H6" s="58">
        <v>2650</v>
      </c>
      <c r="I6" s="108">
        <f>SUM(F6:H6)*$I$4</f>
        <v>1028.2</v>
      </c>
      <c r="J6" s="108">
        <f>SUM(F6:I6)*$J$4</f>
        <v>1017.918</v>
      </c>
      <c r="K6" s="58">
        <f t="shared" ref="K6:K14" si="0">SUM(F6:J6)</f>
        <v>12328.118</v>
      </c>
      <c r="L6" s="58">
        <f t="shared" ref="L6:L14" si="1">K6*E6</f>
        <v>8804.0921837814</v>
      </c>
      <c r="M6" s="58"/>
      <c r="N6" s="109">
        <f>E6*K6</f>
        <v>8804.0921837814</v>
      </c>
    </row>
    <row r="7" customFormat="1" ht="40" customHeight="1" spans="1:14">
      <c r="A7" s="81">
        <v>2</v>
      </c>
      <c r="B7" s="98" t="s">
        <v>71</v>
      </c>
      <c r="C7" s="100" t="s">
        <v>72</v>
      </c>
      <c r="D7" s="101" t="s">
        <v>73</v>
      </c>
      <c r="E7" s="102">
        <v>1</v>
      </c>
      <c r="F7" s="58">
        <v>32</v>
      </c>
      <c r="G7" s="97">
        <v>75.26</v>
      </c>
      <c r="H7" s="58">
        <v>11.872</v>
      </c>
      <c r="I7" s="108">
        <f>SUM(F7:H7)*$I$4</f>
        <v>11.9132</v>
      </c>
      <c r="J7" s="108">
        <f>SUM(F7:I7)*$J$4</f>
        <v>11.794068</v>
      </c>
      <c r="K7" s="58">
        <f t="shared" si="0"/>
        <v>142.839268</v>
      </c>
      <c r="L7" s="58">
        <f t="shared" si="1"/>
        <v>142.839268</v>
      </c>
      <c r="M7" s="97" t="s">
        <v>74</v>
      </c>
      <c r="N7" s="109">
        <f t="shared" ref="N7:N14" si="2">E7*K7</f>
        <v>142.839268</v>
      </c>
    </row>
    <row r="8" customFormat="1" ht="42" customHeight="1" spans="1:14">
      <c r="A8" s="81">
        <v>3</v>
      </c>
      <c r="B8" s="98" t="s">
        <v>71</v>
      </c>
      <c r="C8" s="98" t="s">
        <v>75</v>
      </c>
      <c r="D8" s="99" t="s">
        <v>73</v>
      </c>
      <c r="E8" s="62">
        <f>[1]门头石材铝板工程量计算式!D20+[1]门头石材铝板工程量计算式!D23+[1]门头石材铝板工程量计算式!D9</f>
        <v>41</v>
      </c>
      <c r="F8" s="58">
        <v>32</v>
      </c>
      <c r="G8" s="97">
        <v>20.14</v>
      </c>
      <c r="H8" s="58">
        <v>26.712</v>
      </c>
      <c r="I8" s="108">
        <f>SUM(F8:H8)*$I$4</f>
        <v>7.8852</v>
      </c>
      <c r="J8" s="108">
        <f>SUM(F8:I8)*$J$4</f>
        <v>7.806348</v>
      </c>
      <c r="K8" s="58">
        <f t="shared" si="0"/>
        <v>94.543548</v>
      </c>
      <c r="L8" s="58">
        <f t="shared" si="1"/>
        <v>3876.285468</v>
      </c>
      <c r="M8" s="58"/>
      <c r="N8" s="109">
        <f t="shared" si="2"/>
        <v>3876.285468</v>
      </c>
    </row>
    <row r="9" customFormat="1" ht="66" customHeight="1" spans="1:17">
      <c r="A9" s="81">
        <v>5</v>
      </c>
      <c r="B9" s="98" t="s">
        <v>76</v>
      </c>
      <c r="C9" s="98" t="s">
        <v>77</v>
      </c>
      <c r="D9" s="99" t="s">
        <v>78</v>
      </c>
      <c r="E9" s="62">
        <f>[1]门头石材铝板工程量计算式!D25</f>
        <v>22.1535</v>
      </c>
      <c r="F9" s="58">
        <v>95</v>
      </c>
      <c r="G9" s="97">
        <v>269.028</v>
      </c>
      <c r="H9" s="58">
        <v>67.6068</v>
      </c>
      <c r="I9" s="108">
        <f>SUM(F9:H9)*$I$4</f>
        <v>43.16348</v>
      </c>
      <c r="J9" s="108">
        <f>SUM(F9:I9)*$J$4</f>
        <v>42.7318452</v>
      </c>
      <c r="K9" s="58">
        <f t="shared" si="0"/>
        <v>517.5301252</v>
      </c>
      <c r="L9" s="58">
        <f t="shared" si="1"/>
        <v>11465.1036286182</v>
      </c>
      <c r="M9" s="111" t="s">
        <v>79</v>
      </c>
      <c r="N9" s="109">
        <f t="shared" si="2"/>
        <v>11465.1036286182</v>
      </c>
      <c r="O9" s="112"/>
      <c r="Q9" s="113"/>
    </row>
    <row r="10" customFormat="1" ht="43" customHeight="1" spans="1:15">
      <c r="A10" s="81">
        <v>6</v>
      </c>
      <c r="B10" s="98" t="s">
        <v>80</v>
      </c>
      <c r="C10" s="98" t="s">
        <v>81</v>
      </c>
      <c r="D10" s="99" t="s">
        <v>78</v>
      </c>
      <c r="E10" s="62">
        <f>[1]门头石材铝板工程量计算式!D26</f>
        <v>47.23738</v>
      </c>
      <c r="F10" s="58">
        <v>90</v>
      </c>
      <c r="G10" s="97">
        <v>272.685</v>
      </c>
      <c r="H10" s="58">
        <v>15.9</v>
      </c>
      <c r="I10" s="108">
        <f>SUM(F10:H10)*$I$4</f>
        <v>37.8585</v>
      </c>
      <c r="J10" s="108">
        <f>SUM(F10:I10)*$J$4</f>
        <v>37.479915</v>
      </c>
      <c r="K10" s="58">
        <f t="shared" si="0"/>
        <v>453.923415</v>
      </c>
      <c r="L10" s="58">
        <f t="shared" si="1"/>
        <v>21442.1528452527</v>
      </c>
      <c r="M10" s="111" t="s">
        <v>79</v>
      </c>
      <c r="N10" s="109">
        <f t="shared" si="2"/>
        <v>21442.1528452527</v>
      </c>
      <c r="O10" s="112"/>
    </row>
    <row r="11" customFormat="1" ht="62" customHeight="1" spans="1:15">
      <c r="A11" s="81">
        <v>10</v>
      </c>
      <c r="B11" s="98" t="s">
        <v>82</v>
      </c>
      <c r="C11" s="98" t="s">
        <v>83</v>
      </c>
      <c r="D11" s="99" t="s">
        <v>84</v>
      </c>
      <c r="E11" s="62">
        <v>5.265</v>
      </c>
      <c r="F11" s="58">
        <v>15.9</v>
      </c>
      <c r="G11" s="97">
        <v>35.828</v>
      </c>
      <c r="H11" s="58">
        <v>2</v>
      </c>
      <c r="I11" s="108">
        <f>SUM(F11:H11)*$I$4</f>
        <v>5.3728</v>
      </c>
      <c r="J11" s="108">
        <f>SUM(F11:I11)*$J$4</f>
        <v>5.319072</v>
      </c>
      <c r="K11" s="58">
        <f t="shared" si="0"/>
        <v>64.419872</v>
      </c>
      <c r="L11" s="58">
        <f t="shared" si="1"/>
        <v>339.17062608</v>
      </c>
      <c r="M11" s="111" t="s">
        <v>79</v>
      </c>
      <c r="N11" s="109">
        <f t="shared" si="2"/>
        <v>339.17062608</v>
      </c>
      <c r="O11" s="112"/>
    </row>
    <row r="12" customFormat="1" ht="40" customHeight="1" spans="1:15">
      <c r="A12" s="81">
        <v>11</v>
      </c>
      <c r="B12" s="98" t="s">
        <v>85</v>
      </c>
      <c r="C12" s="98" t="s">
        <v>86</v>
      </c>
      <c r="D12" s="99" t="s">
        <v>84</v>
      </c>
      <c r="E12" s="62">
        <v>5.045</v>
      </c>
      <c r="F12" s="58">
        <v>31.8</v>
      </c>
      <c r="G12" s="97">
        <v>24.168</v>
      </c>
      <c r="H12" s="58">
        <v>5.3</v>
      </c>
      <c r="I12" s="108">
        <f>SUM(F12:H12)*$I$4</f>
        <v>6.1268</v>
      </c>
      <c r="J12" s="108">
        <f>SUM(F12:I12)*$J$4</f>
        <v>6.065532</v>
      </c>
      <c r="K12" s="58">
        <f t="shared" si="0"/>
        <v>73.460332</v>
      </c>
      <c r="L12" s="58">
        <f t="shared" si="1"/>
        <v>370.60737494</v>
      </c>
      <c r="M12" s="111" t="s">
        <v>79</v>
      </c>
      <c r="N12" s="109">
        <f t="shared" si="2"/>
        <v>370.60737494</v>
      </c>
      <c r="O12" s="112"/>
    </row>
    <row r="13" customFormat="1" ht="40" customHeight="1" spans="1:14">
      <c r="A13" s="81">
        <v>12</v>
      </c>
      <c r="B13" s="98" t="s">
        <v>82</v>
      </c>
      <c r="C13" s="98" t="s">
        <v>87</v>
      </c>
      <c r="D13" s="99" t="s">
        <v>78</v>
      </c>
      <c r="E13" s="62">
        <f>0.242*0.88*2</f>
        <v>0.42592</v>
      </c>
      <c r="F13" s="58">
        <v>85</v>
      </c>
      <c r="G13" s="97">
        <v>121.2004</v>
      </c>
      <c r="H13" s="58">
        <v>26.5</v>
      </c>
      <c r="I13" s="108">
        <f>SUM(F13:H13)*$I$4</f>
        <v>23.27004</v>
      </c>
      <c r="J13" s="108">
        <f>SUM(F13:I13)*$J$4</f>
        <v>23.0373396</v>
      </c>
      <c r="K13" s="58">
        <f t="shared" si="0"/>
        <v>279.0077796</v>
      </c>
      <c r="L13" s="58">
        <f t="shared" si="1"/>
        <v>118.834993487232</v>
      </c>
      <c r="M13" s="111" t="s">
        <v>79</v>
      </c>
      <c r="N13" s="109">
        <f t="shared" si="2"/>
        <v>118.834993487232</v>
      </c>
    </row>
    <row r="14" customFormat="1" ht="40" customHeight="1" spans="1:14">
      <c r="A14" s="81">
        <v>13</v>
      </c>
      <c r="B14" s="98" t="s">
        <v>88</v>
      </c>
      <c r="C14" s="98" t="s">
        <v>89</v>
      </c>
      <c r="D14" s="99" t="s">
        <v>90</v>
      </c>
      <c r="E14" s="62">
        <v>1</v>
      </c>
      <c r="F14" s="58">
        <v>145</v>
      </c>
      <c r="G14" s="97">
        <v>935</v>
      </c>
      <c r="H14" s="58">
        <v>142.464</v>
      </c>
      <c r="I14" s="108">
        <f>SUM(F14:H14)*$I$4</f>
        <v>122.2464</v>
      </c>
      <c r="J14" s="108">
        <f>SUM(F14:I14)*$J$4</f>
        <v>121.023936</v>
      </c>
      <c r="K14" s="58">
        <f t="shared" si="0"/>
        <v>1465.734336</v>
      </c>
      <c r="L14" s="58">
        <f t="shared" si="1"/>
        <v>1465.734336</v>
      </c>
      <c r="M14" s="58" t="s">
        <v>91</v>
      </c>
      <c r="N14" s="109">
        <f t="shared" si="2"/>
        <v>1465.734336</v>
      </c>
    </row>
    <row r="15" customFormat="1" ht="33" customHeight="1" spans="1:14">
      <c r="A15" s="81">
        <v>14</v>
      </c>
      <c r="B15" s="81" t="s">
        <v>92</v>
      </c>
      <c r="C15" s="81"/>
      <c r="D15" s="81" t="s">
        <v>93</v>
      </c>
      <c r="E15" s="62"/>
      <c r="F15" s="58"/>
      <c r="G15" s="97"/>
      <c r="H15" s="58"/>
      <c r="I15" s="108"/>
      <c r="J15" s="108"/>
      <c r="K15" s="58"/>
      <c r="L15" s="58">
        <f>SUM(L5:L14)</f>
        <v>48024.8207241595</v>
      </c>
      <c r="M15" s="58"/>
      <c r="N15" s="58">
        <f>SUM(N5:N14)</f>
        <v>48024.8207241595</v>
      </c>
    </row>
    <row r="16" customFormat="1" ht="24" customHeight="1" spans="1:14">
      <c r="A16" s="81" t="s">
        <v>94</v>
      </c>
      <c r="B16" s="98" t="s">
        <v>95</v>
      </c>
      <c r="C16" s="98" t="s">
        <v>66</v>
      </c>
      <c r="D16" s="99"/>
      <c r="E16" s="62"/>
      <c r="F16" s="58"/>
      <c r="G16" s="97"/>
      <c r="H16" s="58"/>
      <c r="I16" s="108"/>
      <c r="J16" s="108"/>
      <c r="K16" s="58"/>
      <c r="L16" s="58"/>
      <c r="M16" s="58"/>
      <c r="N16" s="109"/>
    </row>
    <row r="17" customFormat="1" ht="78.75" spans="1:14">
      <c r="A17" s="81">
        <v>1</v>
      </c>
      <c r="B17" s="98" t="s">
        <v>68</v>
      </c>
      <c r="C17" s="98" t="s">
        <v>69</v>
      </c>
      <c r="D17" s="99" t="s">
        <v>70</v>
      </c>
      <c r="E17" s="62">
        <f>([1]门头石材铝板工程量计算式!F30+[1]门头石材铝板工程量计算式!F31+[1]门头石材铝板工程量计算式!F32+[1]门头石材铝板工程量计算式!F33+[1]门头石材铝板工程量计算式!F37+[1]门头石材铝板工程量计算式!F38+[1]门头石材铝板工程量计算式!F39+[1]门头石材铝板工程量计算式!F40+[1]门头石材铝板工程量计算式!F44+[1]门头石材铝板工程量计算式!F45+[1]门头石材铝板工程量计算式!F47+[1]门头石材铝板工程量计算式!F49+[1]门头石材铝板工程量计算式!F51+[1]门头石材铝板工程量计算式!F54+[1]门头石材铝板工程量计算式!F55)/1000</f>
        <v>1.42014268</v>
      </c>
      <c r="F17" s="58">
        <f>$F$6</f>
        <v>2120</v>
      </c>
      <c r="G17" s="97">
        <f>$G$6</f>
        <v>5512</v>
      </c>
      <c r="H17" s="58">
        <f>$H$6</f>
        <v>2650</v>
      </c>
      <c r="I17" s="108">
        <f>SUM(F17:H17)*$I$4</f>
        <v>1028.2</v>
      </c>
      <c r="J17" s="108">
        <f>SUM(F17:I17)*$J$4</f>
        <v>1017.918</v>
      </c>
      <c r="K17" s="58">
        <f t="shared" ref="K17:K28" si="3">SUM(F17:J17)</f>
        <v>12328.118</v>
      </c>
      <c r="L17" s="58">
        <f t="shared" ref="L17:L28" si="4">K17*E17</f>
        <v>17507.6865358762</v>
      </c>
      <c r="M17" s="58"/>
      <c r="N17" s="109"/>
    </row>
    <row r="18" customFormat="1" ht="38.25" spans="1:14">
      <c r="A18" s="81">
        <v>2</v>
      </c>
      <c r="B18" s="98" t="s">
        <v>71</v>
      </c>
      <c r="C18" s="100" t="s">
        <v>96</v>
      </c>
      <c r="D18" s="101" t="s">
        <v>73</v>
      </c>
      <c r="E18" s="102">
        <v>2</v>
      </c>
      <c r="F18" s="58">
        <f t="shared" ref="F18:H18" si="5">F7</f>
        <v>32</v>
      </c>
      <c r="G18" s="97">
        <f t="shared" si="5"/>
        <v>75.26</v>
      </c>
      <c r="H18" s="58">
        <f t="shared" si="5"/>
        <v>11.872</v>
      </c>
      <c r="I18" s="108">
        <f>SUM(F18:H18)*$I$4</f>
        <v>11.9132</v>
      </c>
      <c r="J18" s="108">
        <f>SUM(F18:I18)*$J$4</f>
        <v>11.794068</v>
      </c>
      <c r="K18" s="58">
        <f t="shared" si="3"/>
        <v>142.839268</v>
      </c>
      <c r="L18" s="58">
        <f t="shared" si="4"/>
        <v>285.678536</v>
      </c>
      <c r="M18" s="58"/>
      <c r="N18" s="109"/>
    </row>
    <row r="19" customFormat="1" ht="33.75" spans="1:14">
      <c r="A19" s="81">
        <v>3</v>
      </c>
      <c r="B19" s="98" t="s">
        <v>71</v>
      </c>
      <c r="C19" s="98" t="s">
        <v>75</v>
      </c>
      <c r="D19" s="99" t="s">
        <v>73</v>
      </c>
      <c r="E19" s="62">
        <f>[1]门头石材铝板工程量计算式!D48+[1]门头石材铝板工程量计算式!D41+[1]门头石材铝板工程量计算式!D59</f>
        <v>53</v>
      </c>
      <c r="F19" s="58">
        <f t="shared" ref="F19:H19" si="6">F8</f>
        <v>32</v>
      </c>
      <c r="G19" s="97">
        <f t="shared" si="6"/>
        <v>20.14</v>
      </c>
      <c r="H19" s="58">
        <f t="shared" si="6"/>
        <v>26.712</v>
      </c>
      <c r="I19" s="108">
        <f>SUM(F19:H19)*$I$4</f>
        <v>7.8852</v>
      </c>
      <c r="J19" s="108">
        <f>SUM(F19:I19)*$J$4</f>
        <v>7.806348</v>
      </c>
      <c r="K19" s="58">
        <f t="shared" si="3"/>
        <v>94.543548</v>
      </c>
      <c r="L19" s="58">
        <f t="shared" si="4"/>
        <v>5010.808044</v>
      </c>
      <c r="M19" s="58"/>
      <c r="N19" s="109"/>
    </row>
    <row r="20" customFormat="1" ht="56.25" spans="1:14">
      <c r="A20" s="81">
        <v>5</v>
      </c>
      <c r="B20" s="98" t="s">
        <v>76</v>
      </c>
      <c r="C20" s="98" t="s">
        <v>77</v>
      </c>
      <c r="D20" s="99" t="s">
        <v>78</v>
      </c>
      <c r="E20" s="62">
        <f>[1]门头石材铝板工程量计算式!D62</f>
        <v>21.90805</v>
      </c>
      <c r="F20" s="58">
        <f>$F$9</f>
        <v>95</v>
      </c>
      <c r="G20" s="97">
        <f>$G$9</f>
        <v>269.028</v>
      </c>
      <c r="H20" s="58">
        <f>$H$9</f>
        <v>67.6068</v>
      </c>
      <c r="I20" s="108">
        <f>SUM(F20:H20)*$I$4</f>
        <v>43.16348</v>
      </c>
      <c r="J20" s="108">
        <f>SUM(F20:I20)*$J$4</f>
        <v>42.7318452</v>
      </c>
      <c r="K20" s="58">
        <f t="shared" si="3"/>
        <v>517.5301252</v>
      </c>
      <c r="L20" s="58">
        <f t="shared" si="4"/>
        <v>11338.0758593879</v>
      </c>
      <c r="M20" s="111" t="s">
        <v>79</v>
      </c>
      <c r="N20" s="112"/>
    </row>
    <row r="21" customFormat="1" ht="33.75" spans="1:14">
      <c r="A21" s="81">
        <v>6</v>
      </c>
      <c r="B21" s="98" t="s">
        <v>80</v>
      </c>
      <c r="C21" s="98" t="s">
        <v>81</v>
      </c>
      <c r="D21" s="99" t="s">
        <v>78</v>
      </c>
      <c r="E21" s="62">
        <f>[1]门头石材铝板工程量计算式!D63</f>
        <v>58.621315</v>
      </c>
      <c r="F21" s="58">
        <f>$F$10</f>
        <v>90</v>
      </c>
      <c r="G21" s="97">
        <f>$G$10</f>
        <v>272.685</v>
      </c>
      <c r="H21" s="58">
        <f>$H$10</f>
        <v>15.9</v>
      </c>
      <c r="I21" s="108">
        <f>SUM(F21:H21)*$I$4</f>
        <v>37.8585</v>
      </c>
      <c r="J21" s="108">
        <f>SUM(F21:I21)*$J$4</f>
        <v>37.479915</v>
      </c>
      <c r="K21" s="58">
        <f t="shared" si="3"/>
        <v>453.923415</v>
      </c>
      <c r="L21" s="58">
        <f t="shared" si="4"/>
        <v>26609.5874965907</v>
      </c>
      <c r="M21" s="111" t="s">
        <v>79</v>
      </c>
      <c r="N21" s="112"/>
    </row>
    <row r="22" customFormat="1" ht="32" customHeight="1" spans="1:14">
      <c r="A22" s="56">
        <v>7</v>
      </c>
      <c r="B22" s="103" t="s">
        <v>97</v>
      </c>
      <c r="C22" s="103" t="s">
        <v>98</v>
      </c>
      <c r="D22" s="104" t="s">
        <v>78</v>
      </c>
      <c r="E22" s="57">
        <f>[1]门头石材铝板工程量计算式!D54</f>
        <v>26.05</v>
      </c>
      <c r="F22" s="58">
        <f t="shared" ref="F22:H22" si="7">F10</f>
        <v>90</v>
      </c>
      <c r="G22" s="97">
        <f t="shared" si="7"/>
        <v>272.685</v>
      </c>
      <c r="H22" s="58">
        <f t="shared" si="7"/>
        <v>15.9</v>
      </c>
      <c r="I22" s="108">
        <f>SUM(F22:H22)*$I$4</f>
        <v>37.8585</v>
      </c>
      <c r="J22" s="108">
        <f>SUM(F22:I22)*$J$4</f>
        <v>37.479915</v>
      </c>
      <c r="K22" s="58">
        <f t="shared" si="3"/>
        <v>453.923415</v>
      </c>
      <c r="L22" s="58">
        <f t="shared" si="4"/>
        <v>11824.70496075</v>
      </c>
      <c r="M22" s="58"/>
      <c r="N22" s="109"/>
    </row>
    <row r="23" customFormat="1" ht="32" customHeight="1" spans="1:14">
      <c r="A23" s="56">
        <v>8</v>
      </c>
      <c r="B23" s="103" t="s">
        <v>99</v>
      </c>
      <c r="C23" s="103" t="s">
        <v>100</v>
      </c>
      <c r="D23" s="104" t="s">
        <v>78</v>
      </c>
      <c r="E23" s="57">
        <f>[1]门头石材铝板工程量计算式!D57</f>
        <v>12.8</v>
      </c>
      <c r="F23" s="58">
        <v>58.3</v>
      </c>
      <c r="G23" s="97">
        <v>62.4128</v>
      </c>
      <c r="H23" s="58">
        <v>5.5</v>
      </c>
      <c r="I23" s="108">
        <f>SUM(F23:H23)*$I$4</f>
        <v>12.62128</v>
      </c>
      <c r="J23" s="108">
        <f>SUM(F23:I23)*$J$4</f>
        <v>12.4950672</v>
      </c>
      <c r="K23" s="58">
        <f t="shared" si="3"/>
        <v>151.3291472</v>
      </c>
      <c r="L23" s="58">
        <f t="shared" si="4"/>
        <v>1937.01308416</v>
      </c>
      <c r="M23" s="58"/>
      <c r="N23" s="109"/>
    </row>
    <row r="24" customFormat="1" ht="32" customHeight="1" spans="1:14">
      <c r="A24" s="56">
        <v>9</v>
      </c>
      <c r="B24" s="103" t="s">
        <v>101</v>
      </c>
      <c r="C24" s="103" t="s">
        <v>102</v>
      </c>
      <c r="D24" s="104" t="s">
        <v>78</v>
      </c>
      <c r="E24" s="57">
        <f>[1]门头石材铝板工程量计算式!D58</f>
        <v>12.8</v>
      </c>
      <c r="F24" s="58">
        <v>22</v>
      </c>
      <c r="G24" s="97">
        <v>27.5</v>
      </c>
      <c r="H24" s="58">
        <v>1</v>
      </c>
      <c r="I24" s="108">
        <f>SUM(F24:H24)*$I$4</f>
        <v>5.05</v>
      </c>
      <c r="J24" s="108">
        <f>SUM(F24:I24)*$J$4</f>
        <v>4.9995</v>
      </c>
      <c r="K24" s="58">
        <f t="shared" si="3"/>
        <v>60.5495</v>
      </c>
      <c r="L24" s="58">
        <f t="shared" si="4"/>
        <v>775.0336</v>
      </c>
      <c r="M24" s="58"/>
      <c r="N24" s="109"/>
    </row>
    <row r="25" customFormat="1" ht="45" spans="1:14">
      <c r="A25" s="81">
        <v>10</v>
      </c>
      <c r="B25" s="98" t="s">
        <v>82</v>
      </c>
      <c r="C25" s="98" t="s">
        <v>83</v>
      </c>
      <c r="D25" s="99" t="s">
        <v>84</v>
      </c>
      <c r="E25" s="62">
        <v>7.1</v>
      </c>
      <c r="F25" s="58">
        <f>$F$11</f>
        <v>15.9</v>
      </c>
      <c r="G25" s="97">
        <f>$G$11</f>
        <v>35.828</v>
      </c>
      <c r="H25" s="58">
        <f>$H$11</f>
        <v>2</v>
      </c>
      <c r="I25" s="108">
        <f>SUM(F25:H25)*$I$4</f>
        <v>5.3728</v>
      </c>
      <c r="J25" s="108">
        <f>SUM(F25:I25)*$J$4</f>
        <v>5.319072</v>
      </c>
      <c r="K25" s="58">
        <f t="shared" si="3"/>
        <v>64.419872</v>
      </c>
      <c r="L25" s="58">
        <f t="shared" si="4"/>
        <v>457.3810912</v>
      </c>
      <c r="M25" s="58"/>
      <c r="N25" s="109"/>
    </row>
    <row r="26" customFormat="1" ht="22.5" spans="1:14">
      <c r="A26" s="81">
        <v>11</v>
      </c>
      <c r="B26" s="98" t="s">
        <v>85</v>
      </c>
      <c r="C26" s="98" t="s">
        <v>86</v>
      </c>
      <c r="D26" s="99" t="s">
        <v>84</v>
      </c>
      <c r="E26" s="62">
        <v>6.9</v>
      </c>
      <c r="F26" s="58">
        <f>$F$12</f>
        <v>31.8</v>
      </c>
      <c r="G26" s="97">
        <f>$G$12</f>
        <v>24.168</v>
      </c>
      <c r="H26" s="58">
        <f>$H$12</f>
        <v>5.3</v>
      </c>
      <c r="I26" s="108">
        <f>SUM(F26:H26)*$I$4</f>
        <v>6.1268</v>
      </c>
      <c r="J26" s="108">
        <f>SUM(F26:I26)*$J$4</f>
        <v>6.065532</v>
      </c>
      <c r="K26" s="58">
        <f t="shared" si="3"/>
        <v>73.460332</v>
      </c>
      <c r="L26" s="58">
        <f t="shared" si="4"/>
        <v>506.8762908</v>
      </c>
      <c r="M26" s="58"/>
      <c r="N26" s="109"/>
    </row>
    <row r="27" customFormat="1" ht="35" customHeight="1" spans="1:14">
      <c r="A27" s="81">
        <v>12</v>
      </c>
      <c r="B27" s="98" t="s">
        <v>103</v>
      </c>
      <c r="C27" s="98" t="s">
        <v>104</v>
      </c>
      <c r="D27" s="99" t="s">
        <v>90</v>
      </c>
      <c r="E27" s="105">
        <v>0</v>
      </c>
      <c r="F27" s="58">
        <v>93.5</v>
      </c>
      <c r="G27" s="97">
        <v>286</v>
      </c>
      <c r="H27" s="58">
        <v>110</v>
      </c>
      <c r="I27" s="108">
        <f>SUM(F27:H27)*$I$4</f>
        <v>48.95</v>
      </c>
      <c r="J27" s="108">
        <f>SUM(F27:I27)*$J$4</f>
        <v>48.4605</v>
      </c>
      <c r="K27" s="58">
        <f t="shared" si="3"/>
        <v>586.9105</v>
      </c>
      <c r="L27" s="58">
        <f t="shared" si="4"/>
        <v>0</v>
      </c>
      <c r="M27" s="58"/>
      <c r="N27" s="109"/>
    </row>
    <row r="28" customFormat="1" spans="1:14">
      <c r="A28" s="81">
        <v>13</v>
      </c>
      <c r="B28" s="98" t="s">
        <v>88</v>
      </c>
      <c r="C28" s="98" t="s">
        <v>89</v>
      </c>
      <c r="D28" s="99" t="s">
        <v>90</v>
      </c>
      <c r="E28" s="62">
        <v>1</v>
      </c>
      <c r="F28" s="58">
        <f>$F$14</f>
        <v>145</v>
      </c>
      <c r="G28" s="97">
        <f>$G$14</f>
        <v>935</v>
      </c>
      <c r="H28" s="58">
        <f>$H$14</f>
        <v>142.464</v>
      </c>
      <c r="I28" s="108">
        <f>SUM(F28:H28)*$I$4</f>
        <v>122.2464</v>
      </c>
      <c r="J28" s="108">
        <f>SUM(F28:I28)*$J$4</f>
        <v>121.023936</v>
      </c>
      <c r="K28" s="58">
        <f t="shared" si="3"/>
        <v>1465.734336</v>
      </c>
      <c r="L28" s="58">
        <f t="shared" si="4"/>
        <v>1465.734336</v>
      </c>
      <c r="M28" s="58" t="s">
        <v>91</v>
      </c>
      <c r="N28" s="109"/>
    </row>
    <row r="29" customFormat="1" ht="23" customHeight="1" spans="1:14">
      <c r="A29" s="81">
        <v>14</v>
      </c>
      <c r="B29" s="81" t="s">
        <v>92</v>
      </c>
      <c r="C29" s="81"/>
      <c r="D29" s="81" t="s">
        <v>93</v>
      </c>
      <c r="E29" s="62"/>
      <c r="F29" s="58"/>
      <c r="G29" s="97"/>
      <c r="H29" s="58"/>
      <c r="I29" s="108"/>
      <c r="J29" s="108"/>
      <c r="K29" s="58"/>
      <c r="L29" s="58">
        <f>SUM(L16:L28)</f>
        <v>77718.5798347648</v>
      </c>
      <c r="M29" s="58"/>
      <c r="N29" s="109"/>
    </row>
    <row r="30" customFormat="1" ht="23" customHeight="1" spans="1:14">
      <c r="A30" s="81" t="s">
        <v>105</v>
      </c>
      <c r="B30" s="98" t="s">
        <v>106</v>
      </c>
      <c r="C30" s="98" t="s">
        <v>66</v>
      </c>
      <c r="D30" s="99"/>
      <c r="E30" s="62"/>
      <c r="F30" s="58"/>
      <c r="G30" s="97"/>
      <c r="H30" s="58"/>
      <c r="I30" s="108"/>
      <c r="J30" s="108"/>
      <c r="K30" s="58"/>
      <c r="L30" s="58"/>
      <c r="M30" s="58"/>
      <c r="N30" s="109"/>
    </row>
    <row r="31" customFormat="1" ht="78.75" spans="1:14">
      <c r="A31" s="81">
        <v>1</v>
      </c>
      <c r="B31" s="98" t="s">
        <v>68</v>
      </c>
      <c r="C31" s="98" t="s">
        <v>69</v>
      </c>
      <c r="D31" s="99" t="s">
        <v>70</v>
      </c>
      <c r="E31" s="62">
        <f>([1]门头石材铝板工程量计算式!F67+[1]门头石材铝板工程量计算式!F68+[1]门头石材铝板工程量计算式!F69+[1]门头石材铝板工程量计算式!F70+[1]门头石材铝板工程量计算式!F74+[1]门头石材铝板工程量计算式!F75+[1]门头石材铝板工程量计算式!F76+[1]门头石材铝板工程量计算式!F77+[1]门头石材铝板工程量计算式!F81+[1]门头石材铝板工程量计算式!F82+[1]门头石材铝板工程量计算式!F83+[1]门头石材铝板工程量计算式!F84+[1]门头石材铝板工程量计算式!F87)/1000</f>
        <v>0.90887798</v>
      </c>
      <c r="F31" s="58">
        <f>$F$6</f>
        <v>2120</v>
      </c>
      <c r="G31" s="97">
        <f>$G$6</f>
        <v>5512</v>
      </c>
      <c r="H31" s="58">
        <f>$H$6</f>
        <v>2650</v>
      </c>
      <c r="I31" s="108">
        <f>SUM(F31:H31)*$I$4</f>
        <v>1028.2</v>
      </c>
      <c r="J31" s="108">
        <f>SUM(F31:I31)*$J$4</f>
        <v>1017.918</v>
      </c>
      <c r="K31" s="58">
        <f t="shared" ref="K31:K39" si="8">SUM(F31:J31)</f>
        <v>12328.118</v>
      </c>
      <c r="L31" s="58">
        <f t="shared" ref="L31:L39" si="9">K31*E31</f>
        <v>11204.7549850416</v>
      </c>
      <c r="M31" s="58"/>
      <c r="N31" s="109">
        <f>E31*K31</f>
        <v>11204.7549850416</v>
      </c>
    </row>
    <row r="32" customFormat="1" ht="38.25" spans="1:14">
      <c r="A32" s="81">
        <v>2</v>
      </c>
      <c r="B32" s="98" t="s">
        <v>71</v>
      </c>
      <c r="C32" s="100" t="s">
        <v>72</v>
      </c>
      <c r="D32" s="101" t="s">
        <v>73</v>
      </c>
      <c r="E32" s="102">
        <f>[1]门头石材铝板工程量计算式!D73+[1]门头石材铝板工程量计算式!D66</f>
        <v>2</v>
      </c>
      <c r="F32" s="58">
        <f t="shared" ref="F32:H32" si="10">F7</f>
        <v>32</v>
      </c>
      <c r="G32" s="97">
        <f t="shared" si="10"/>
        <v>75.26</v>
      </c>
      <c r="H32" s="58">
        <f t="shared" si="10"/>
        <v>11.872</v>
      </c>
      <c r="I32" s="108">
        <f>SUM(F32:H32)*$I$4</f>
        <v>11.9132</v>
      </c>
      <c r="J32" s="108">
        <f>SUM(F32:I32)*$J$4</f>
        <v>11.794068</v>
      </c>
      <c r="K32" s="58">
        <f t="shared" si="8"/>
        <v>142.839268</v>
      </c>
      <c r="L32" s="58">
        <f t="shared" si="9"/>
        <v>285.678536</v>
      </c>
      <c r="M32" s="58"/>
      <c r="N32" s="109">
        <f t="shared" ref="N32:N39" si="11">E32*K32</f>
        <v>285.678536</v>
      </c>
    </row>
    <row r="33" customFormat="1" ht="33.75" spans="1:14">
      <c r="A33" s="81">
        <v>3</v>
      </c>
      <c r="B33" s="98" t="s">
        <v>71</v>
      </c>
      <c r="C33" s="98" t="s">
        <v>75</v>
      </c>
      <c r="D33" s="99" t="s">
        <v>73</v>
      </c>
      <c r="E33" s="62">
        <f>[1]门头石材铝板工程量计算式!D85+[1]门头石材铝板工程量计算式!D88</f>
        <v>42</v>
      </c>
      <c r="F33" s="58">
        <f t="shared" ref="F33:H33" si="12">F8</f>
        <v>32</v>
      </c>
      <c r="G33" s="97">
        <f t="shared" si="12"/>
        <v>20.14</v>
      </c>
      <c r="H33" s="58">
        <f t="shared" si="12"/>
        <v>26.712</v>
      </c>
      <c r="I33" s="108">
        <f>SUM(F33:H33)*$I$4</f>
        <v>7.8852</v>
      </c>
      <c r="J33" s="108">
        <f>SUM(F33:I33)*$J$4</f>
        <v>7.806348</v>
      </c>
      <c r="K33" s="58">
        <f t="shared" si="8"/>
        <v>94.543548</v>
      </c>
      <c r="L33" s="58">
        <f t="shared" si="9"/>
        <v>3970.829016</v>
      </c>
      <c r="M33" s="58"/>
      <c r="N33" s="109">
        <f t="shared" si="11"/>
        <v>3970.829016</v>
      </c>
    </row>
    <row r="34" customFormat="1" ht="60" customHeight="1" spans="1:14">
      <c r="A34" s="81">
        <v>5</v>
      </c>
      <c r="B34" s="98" t="s">
        <v>76</v>
      </c>
      <c r="C34" s="98" t="s">
        <v>77</v>
      </c>
      <c r="D34" s="99" t="s">
        <v>78</v>
      </c>
      <c r="E34" s="62">
        <f>[1]门头石材铝板工程量计算式!D91</f>
        <v>21.3614</v>
      </c>
      <c r="F34" s="58">
        <f>$F$9</f>
        <v>95</v>
      </c>
      <c r="G34" s="97">
        <f>$G$9</f>
        <v>269.028</v>
      </c>
      <c r="H34" s="58">
        <f>$H$9</f>
        <v>67.6068</v>
      </c>
      <c r="I34" s="108">
        <f>SUM(F34:H34)*$I$4</f>
        <v>43.16348</v>
      </c>
      <c r="J34" s="108">
        <f>SUM(F34:I34)*$J$4</f>
        <v>42.7318452</v>
      </c>
      <c r="K34" s="58">
        <f t="shared" si="8"/>
        <v>517.5301252</v>
      </c>
      <c r="L34" s="58">
        <f t="shared" si="9"/>
        <v>11055.1680164473</v>
      </c>
      <c r="M34" s="111" t="s">
        <v>79</v>
      </c>
      <c r="N34" s="109">
        <f t="shared" si="11"/>
        <v>11055.1680164473</v>
      </c>
    </row>
    <row r="35" customFormat="1" ht="47" customHeight="1" spans="1:14">
      <c r="A35" s="81">
        <v>6</v>
      </c>
      <c r="B35" s="98" t="s">
        <v>80</v>
      </c>
      <c r="C35" s="98" t="s">
        <v>81</v>
      </c>
      <c r="D35" s="99" t="s">
        <v>78</v>
      </c>
      <c r="E35" s="62">
        <f>[1]门头石材铝板工程量计算式!D92</f>
        <v>67.00397</v>
      </c>
      <c r="F35" s="58">
        <f>$F$10</f>
        <v>90</v>
      </c>
      <c r="G35" s="97">
        <f>$G$10</f>
        <v>272.685</v>
      </c>
      <c r="H35" s="58">
        <f>$H$10</f>
        <v>15.9</v>
      </c>
      <c r="I35" s="108">
        <f>SUM(F35:H35)*$I$4</f>
        <v>37.8585</v>
      </c>
      <c r="J35" s="108">
        <f>SUM(F35:I35)*$J$4</f>
        <v>37.479915</v>
      </c>
      <c r="K35" s="58">
        <f t="shared" si="8"/>
        <v>453.923415</v>
      </c>
      <c r="L35" s="58">
        <f t="shared" si="9"/>
        <v>30414.6708809575</v>
      </c>
      <c r="M35" s="111" t="s">
        <v>79</v>
      </c>
      <c r="N35" s="109">
        <f t="shared" si="11"/>
        <v>30414.6708809575</v>
      </c>
    </row>
    <row r="36" customFormat="1" ht="60" customHeight="1" spans="1:14">
      <c r="A36" s="81">
        <v>10</v>
      </c>
      <c r="B36" s="98" t="s">
        <v>82</v>
      </c>
      <c r="C36" s="98" t="s">
        <v>83</v>
      </c>
      <c r="D36" s="99" t="s">
        <v>84</v>
      </c>
      <c r="E36" s="62">
        <v>6</v>
      </c>
      <c r="F36" s="58">
        <f>$F$11</f>
        <v>15.9</v>
      </c>
      <c r="G36" s="97">
        <f>$G$11</f>
        <v>35.828</v>
      </c>
      <c r="H36" s="58">
        <f>$H$11</f>
        <v>2</v>
      </c>
      <c r="I36" s="108">
        <f>SUM(F36:H36)*$I$4</f>
        <v>5.3728</v>
      </c>
      <c r="J36" s="108">
        <f>SUM(F36:I36)*$J$4</f>
        <v>5.319072</v>
      </c>
      <c r="K36" s="58">
        <f t="shared" si="8"/>
        <v>64.419872</v>
      </c>
      <c r="L36" s="58">
        <f t="shared" si="9"/>
        <v>386.519232</v>
      </c>
      <c r="M36" s="58"/>
      <c r="N36" s="109">
        <f t="shared" si="11"/>
        <v>386.519232</v>
      </c>
    </row>
    <row r="37" customFormat="1" ht="44" customHeight="1" spans="1:14">
      <c r="A37" s="81">
        <v>11</v>
      </c>
      <c r="B37" s="98" t="s">
        <v>85</v>
      </c>
      <c r="C37" s="98" t="s">
        <v>86</v>
      </c>
      <c r="D37" s="99" t="s">
        <v>84</v>
      </c>
      <c r="E37" s="62">
        <v>5.8</v>
      </c>
      <c r="F37" s="58">
        <f>$F$12</f>
        <v>31.8</v>
      </c>
      <c r="G37" s="97">
        <f>$G$12</f>
        <v>24.168</v>
      </c>
      <c r="H37" s="58">
        <f>$H$12</f>
        <v>5.3</v>
      </c>
      <c r="I37" s="108">
        <f>SUM(F37:H37)*$I$4</f>
        <v>6.1268</v>
      </c>
      <c r="J37" s="108">
        <f>SUM(F37:I37)*$J$4</f>
        <v>6.065532</v>
      </c>
      <c r="K37" s="58">
        <f t="shared" si="8"/>
        <v>73.460332</v>
      </c>
      <c r="L37" s="58">
        <f t="shared" si="9"/>
        <v>426.0699256</v>
      </c>
      <c r="M37" s="58"/>
      <c r="N37" s="109">
        <f t="shared" si="11"/>
        <v>426.0699256</v>
      </c>
    </row>
    <row r="38" customFormat="1" ht="36" customHeight="1" spans="1:14">
      <c r="A38" s="81">
        <v>12</v>
      </c>
      <c r="B38" s="98" t="s">
        <v>82</v>
      </c>
      <c r="C38" s="98" t="s">
        <v>87</v>
      </c>
      <c r="D38" s="99" t="s">
        <v>78</v>
      </c>
      <c r="E38" s="62">
        <f>0.242*0.66*2</f>
        <v>0.31944</v>
      </c>
      <c r="F38" s="58">
        <f>$F$13</f>
        <v>85</v>
      </c>
      <c r="G38" s="97">
        <f>$G$13</f>
        <v>121.2004</v>
      </c>
      <c r="H38" s="58">
        <f>$H$13</f>
        <v>26.5</v>
      </c>
      <c r="I38" s="108">
        <f>SUM(F38:H38)*$I$4</f>
        <v>23.27004</v>
      </c>
      <c r="J38" s="108">
        <f>SUM(F38:I38)*$J$4</f>
        <v>23.0373396</v>
      </c>
      <c r="K38" s="58">
        <f t="shared" si="8"/>
        <v>279.0077796</v>
      </c>
      <c r="L38" s="58">
        <f t="shared" si="9"/>
        <v>89.126245115424</v>
      </c>
      <c r="M38" s="111" t="s">
        <v>79</v>
      </c>
      <c r="N38" s="109">
        <f t="shared" si="11"/>
        <v>89.126245115424</v>
      </c>
    </row>
    <row r="39" customFormat="1" ht="43" customHeight="1" spans="1:14">
      <c r="A39" s="81">
        <v>13</v>
      </c>
      <c r="B39" s="98" t="s">
        <v>88</v>
      </c>
      <c r="C39" s="98" t="s">
        <v>89</v>
      </c>
      <c r="D39" s="99" t="s">
        <v>90</v>
      </c>
      <c r="E39" s="62">
        <v>1</v>
      </c>
      <c r="F39" s="58">
        <f>$F$14</f>
        <v>145</v>
      </c>
      <c r="G39" s="97">
        <f>$G$14</f>
        <v>935</v>
      </c>
      <c r="H39" s="58">
        <f>$H$14</f>
        <v>142.464</v>
      </c>
      <c r="I39" s="108">
        <f>SUM(F39:H39)*$I$4</f>
        <v>122.2464</v>
      </c>
      <c r="J39" s="108">
        <f>SUM(F39:I39)*$J$4</f>
        <v>121.023936</v>
      </c>
      <c r="K39" s="58">
        <f t="shared" si="8"/>
        <v>1465.734336</v>
      </c>
      <c r="L39" s="58">
        <f t="shared" si="9"/>
        <v>1465.734336</v>
      </c>
      <c r="M39" s="58" t="s">
        <v>91</v>
      </c>
      <c r="N39" s="109">
        <f t="shared" si="11"/>
        <v>1465.734336</v>
      </c>
    </row>
    <row r="40" customFormat="1" ht="23" customHeight="1" spans="1:14">
      <c r="A40" s="81">
        <v>14</v>
      </c>
      <c r="B40" s="81" t="s">
        <v>92</v>
      </c>
      <c r="C40" s="81"/>
      <c r="D40" s="81" t="s">
        <v>93</v>
      </c>
      <c r="E40" s="62"/>
      <c r="F40" s="58"/>
      <c r="G40" s="97"/>
      <c r="H40" s="58"/>
      <c r="I40" s="108"/>
      <c r="J40" s="108"/>
      <c r="K40" s="58"/>
      <c r="L40" s="58">
        <f>SUM(L30:L39)</f>
        <v>59298.5511731619</v>
      </c>
      <c r="M40" s="58"/>
      <c r="N40" s="58">
        <f>SUM(N30:N39)</f>
        <v>59298.5511731619</v>
      </c>
    </row>
    <row r="41" customFormat="1" spans="1:14">
      <c r="A41" s="81" t="s">
        <v>105</v>
      </c>
      <c r="B41" s="98" t="s">
        <v>107</v>
      </c>
      <c r="C41" s="98" t="s">
        <v>66</v>
      </c>
      <c r="D41" s="99"/>
      <c r="E41" s="62"/>
      <c r="F41" s="58"/>
      <c r="G41" s="97"/>
      <c r="H41" s="58"/>
      <c r="I41" s="108"/>
      <c r="J41" s="108"/>
      <c r="K41" s="58"/>
      <c r="L41" s="58"/>
      <c r="M41" s="58"/>
      <c r="N41" s="109"/>
    </row>
    <row r="42" customFormat="1" ht="78.75" spans="1:14">
      <c r="A42" s="81">
        <v>1</v>
      </c>
      <c r="B42" s="98" t="s">
        <v>68</v>
      </c>
      <c r="C42" s="98" t="s">
        <v>69</v>
      </c>
      <c r="D42" s="99" t="s">
        <v>70</v>
      </c>
      <c r="E42" s="62">
        <f>([1]门头石材铝板工程量计算式!F96+[1]门头石材铝板工程量计算式!F97+[1]门头石材铝板工程量计算式!F98+[1]门头石材铝板工程量计算式!F99+[1]门头石材铝板工程量计算式!F103+[1]门头石材铝板工程量计算式!F104+[1]门头石材铝板工程量计算式!F105+[1]门头石材铝板工程量计算式!F106+[1]门头石材铝板工程量计算式!F110+[1]门头石材铝板工程量计算式!F111+[1]门头石材铝板工程量计算式!F112+[1]门头石材铝板工程量计算式!F113+[1]门头石材铝板工程量计算式!F116)/1000</f>
        <v>0.85464546</v>
      </c>
      <c r="F42" s="58">
        <f>$F$6</f>
        <v>2120</v>
      </c>
      <c r="G42" s="97">
        <f>$G$6</f>
        <v>5512</v>
      </c>
      <c r="H42" s="58">
        <f>$H$6</f>
        <v>2650</v>
      </c>
      <c r="I42" s="108">
        <f>SUM(F42:H42)*$I$4</f>
        <v>1028.2</v>
      </c>
      <c r="J42" s="108">
        <f>SUM(F42:I42)*$J$4</f>
        <v>1017.918</v>
      </c>
      <c r="K42" s="58">
        <f t="shared" ref="K42:K50" si="13">SUM(F42:J42)</f>
        <v>12328.118</v>
      </c>
      <c r="L42" s="58">
        <f t="shared" ref="L42:L50" si="14">K42*E42</f>
        <v>10536.1700790443</v>
      </c>
      <c r="M42" s="58"/>
      <c r="N42" s="109">
        <f>E42*K42</f>
        <v>10536.1700790443</v>
      </c>
    </row>
    <row r="43" customFormat="1" ht="38.25" spans="1:14">
      <c r="A43" s="81">
        <v>2</v>
      </c>
      <c r="B43" s="98" t="s">
        <v>71</v>
      </c>
      <c r="C43" s="100" t="s">
        <v>96</v>
      </c>
      <c r="D43" s="101" t="s">
        <v>73</v>
      </c>
      <c r="E43" s="102">
        <f>[1]门头石材铝板工程量计算式!D95+[1]门头石材铝板工程量计算式!D102</f>
        <v>2</v>
      </c>
      <c r="F43" s="58">
        <f t="shared" ref="F43:H43" si="15">F7</f>
        <v>32</v>
      </c>
      <c r="G43" s="97">
        <f t="shared" si="15"/>
        <v>75.26</v>
      </c>
      <c r="H43" s="58">
        <f t="shared" si="15"/>
        <v>11.872</v>
      </c>
      <c r="I43" s="108">
        <f>SUM(F43:H43)*$I$4</f>
        <v>11.9132</v>
      </c>
      <c r="J43" s="108">
        <f>SUM(F43:I43)*$J$4</f>
        <v>11.794068</v>
      </c>
      <c r="K43" s="58">
        <f t="shared" si="13"/>
        <v>142.839268</v>
      </c>
      <c r="L43" s="58">
        <f t="shared" si="14"/>
        <v>285.678536</v>
      </c>
      <c r="M43" s="58"/>
      <c r="N43" s="109">
        <f t="shared" ref="N43:N50" si="16">E43*K43</f>
        <v>285.678536</v>
      </c>
    </row>
    <row r="44" customFormat="1" ht="33.75" spans="1:14">
      <c r="A44" s="81">
        <v>3</v>
      </c>
      <c r="B44" s="98" t="s">
        <v>71</v>
      </c>
      <c r="C44" s="98" t="s">
        <v>75</v>
      </c>
      <c r="D44" s="99" t="s">
        <v>73</v>
      </c>
      <c r="E44" s="62">
        <f>[1]门头石材铝板工程量计算式!D114+[1]门头石材铝板工程量计算式!D117</f>
        <v>14</v>
      </c>
      <c r="F44" s="58">
        <f t="shared" ref="F44:H44" si="17">F8</f>
        <v>32</v>
      </c>
      <c r="G44" s="97">
        <f t="shared" si="17"/>
        <v>20.14</v>
      </c>
      <c r="H44" s="58">
        <f t="shared" si="17"/>
        <v>26.712</v>
      </c>
      <c r="I44" s="108">
        <f>SUM(F44:H44)*$I$4</f>
        <v>7.8852</v>
      </c>
      <c r="J44" s="108">
        <f>SUM(F44:I44)*$J$4</f>
        <v>7.806348</v>
      </c>
      <c r="K44" s="58">
        <f t="shared" si="13"/>
        <v>94.543548</v>
      </c>
      <c r="L44" s="58">
        <f t="shared" si="14"/>
        <v>1323.609672</v>
      </c>
      <c r="M44" s="58"/>
      <c r="N44" s="109">
        <f t="shared" si="16"/>
        <v>1323.609672</v>
      </c>
    </row>
    <row r="45" customFormat="1" ht="56.25" spans="1:14">
      <c r="A45" s="81">
        <v>5</v>
      </c>
      <c r="B45" s="98" t="s">
        <v>76</v>
      </c>
      <c r="C45" s="98" t="s">
        <v>77</v>
      </c>
      <c r="D45" s="99" t="s">
        <v>78</v>
      </c>
      <c r="E45" s="62">
        <f>[1]门头石材铝板工程量计算式!D120</f>
        <v>21.3614</v>
      </c>
      <c r="F45" s="58">
        <f>$F$9</f>
        <v>95</v>
      </c>
      <c r="G45" s="97">
        <f>$G$9</f>
        <v>269.028</v>
      </c>
      <c r="H45" s="58">
        <f>$H$9</f>
        <v>67.6068</v>
      </c>
      <c r="I45" s="108">
        <f>SUM(F45:H45)*$I$4</f>
        <v>43.16348</v>
      </c>
      <c r="J45" s="108">
        <f>SUM(F45:I45)*$J$4</f>
        <v>42.7318452</v>
      </c>
      <c r="K45" s="58">
        <f t="shared" si="13"/>
        <v>517.5301252</v>
      </c>
      <c r="L45" s="58">
        <f t="shared" si="14"/>
        <v>11055.1680164473</v>
      </c>
      <c r="M45" s="111" t="s">
        <v>79</v>
      </c>
      <c r="N45" s="109">
        <f t="shared" si="16"/>
        <v>11055.1680164473</v>
      </c>
    </row>
    <row r="46" customFormat="1" ht="33.75" spans="1:14">
      <c r="A46" s="81">
        <v>6</v>
      </c>
      <c r="B46" s="98" t="s">
        <v>80</v>
      </c>
      <c r="C46" s="98" t="s">
        <v>81</v>
      </c>
      <c r="D46" s="99" t="s">
        <v>78</v>
      </c>
      <c r="E46" s="62">
        <f>[1]门头石材铝板工程量计算式!D121</f>
        <v>43.74027</v>
      </c>
      <c r="F46" s="58">
        <f>$F$10</f>
        <v>90</v>
      </c>
      <c r="G46" s="97">
        <f>$G$10</f>
        <v>272.685</v>
      </c>
      <c r="H46" s="58">
        <f>$H$10</f>
        <v>15.9</v>
      </c>
      <c r="I46" s="108">
        <f>SUM(F46:H46)*$I$4</f>
        <v>37.8585</v>
      </c>
      <c r="J46" s="108">
        <f>SUM(F46:I46)*$J$4</f>
        <v>37.479915</v>
      </c>
      <c r="K46" s="58">
        <f t="shared" si="13"/>
        <v>453.923415</v>
      </c>
      <c r="L46" s="58">
        <f t="shared" si="14"/>
        <v>19854.732731422</v>
      </c>
      <c r="M46" s="111" t="s">
        <v>79</v>
      </c>
      <c r="N46" s="109">
        <f t="shared" si="16"/>
        <v>19854.732731422</v>
      </c>
    </row>
    <row r="47" customFormat="1" ht="45" spans="1:14">
      <c r="A47" s="81">
        <v>10</v>
      </c>
      <c r="B47" s="98" t="s">
        <v>82</v>
      </c>
      <c r="C47" s="98" t="s">
        <v>83</v>
      </c>
      <c r="D47" s="99" t="s">
        <v>84</v>
      </c>
      <c r="E47" s="62">
        <v>2.6</v>
      </c>
      <c r="F47" s="58">
        <f>$F$11</f>
        <v>15.9</v>
      </c>
      <c r="G47" s="97">
        <f>$G$11</f>
        <v>35.828</v>
      </c>
      <c r="H47" s="58">
        <f>$H$11</f>
        <v>2</v>
      </c>
      <c r="I47" s="108">
        <f>SUM(F47:H47)*$I$4</f>
        <v>5.3728</v>
      </c>
      <c r="J47" s="108">
        <f>SUM(F47:I47)*$J$4</f>
        <v>5.319072</v>
      </c>
      <c r="K47" s="58">
        <f t="shared" si="13"/>
        <v>64.419872</v>
      </c>
      <c r="L47" s="58">
        <f t="shared" si="14"/>
        <v>167.4916672</v>
      </c>
      <c r="M47" s="58"/>
      <c r="N47" s="109">
        <f t="shared" si="16"/>
        <v>167.4916672</v>
      </c>
    </row>
    <row r="48" customFormat="1" ht="24" customHeight="1" spans="1:14">
      <c r="A48" s="81">
        <v>11</v>
      </c>
      <c r="B48" s="98" t="s">
        <v>85</v>
      </c>
      <c r="C48" s="98" t="s">
        <v>86</v>
      </c>
      <c r="D48" s="99" t="s">
        <v>84</v>
      </c>
      <c r="E48" s="62">
        <v>2.4</v>
      </c>
      <c r="F48" s="58">
        <f>$F$12</f>
        <v>31.8</v>
      </c>
      <c r="G48" s="97">
        <f>$G$12</f>
        <v>24.168</v>
      </c>
      <c r="H48" s="58">
        <f>$H$12</f>
        <v>5.3</v>
      </c>
      <c r="I48" s="108">
        <f>SUM(F48:H48)*$I$4</f>
        <v>6.1268</v>
      </c>
      <c r="J48" s="108">
        <f>SUM(F48:I48)*$J$4</f>
        <v>6.065532</v>
      </c>
      <c r="K48" s="58">
        <f t="shared" si="13"/>
        <v>73.460332</v>
      </c>
      <c r="L48" s="58">
        <f t="shared" si="14"/>
        <v>176.3047968</v>
      </c>
      <c r="M48" s="58"/>
      <c r="N48" s="109">
        <f t="shared" si="16"/>
        <v>176.3047968</v>
      </c>
    </row>
    <row r="49" customFormat="1" ht="24" customHeight="1" spans="1:14">
      <c r="A49" s="81">
        <v>12</v>
      </c>
      <c r="B49" s="98" t="s">
        <v>82</v>
      </c>
      <c r="C49" s="98" t="s">
        <v>87</v>
      </c>
      <c r="D49" s="99" t="s">
        <v>78</v>
      </c>
      <c r="E49" s="62">
        <f>0.242*0.66*2</f>
        <v>0.31944</v>
      </c>
      <c r="F49" s="58">
        <f>$F$13</f>
        <v>85</v>
      </c>
      <c r="G49" s="97">
        <f>$G$13</f>
        <v>121.2004</v>
      </c>
      <c r="H49" s="58">
        <f>$H$13</f>
        <v>26.5</v>
      </c>
      <c r="I49" s="108">
        <f>SUM(F49:H49)*$I$4</f>
        <v>23.27004</v>
      </c>
      <c r="J49" s="108">
        <f>SUM(F49:I49)*$J$4</f>
        <v>23.0373396</v>
      </c>
      <c r="K49" s="58">
        <f t="shared" si="13"/>
        <v>279.0077796</v>
      </c>
      <c r="L49" s="58">
        <f t="shared" si="14"/>
        <v>89.126245115424</v>
      </c>
      <c r="M49" s="111" t="s">
        <v>79</v>
      </c>
      <c r="N49" s="109">
        <f t="shared" si="16"/>
        <v>89.126245115424</v>
      </c>
    </row>
    <row r="50" customFormat="1" ht="24" customHeight="1" spans="1:14">
      <c r="A50" s="81">
        <v>13</v>
      </c>
      <c r="B50" s="98" t="s">
        <v>88</v>
      </c>
      <c r="C50" s="98" t="s">
        <v>89</v>
      </c>
      <c r="D50" s="99" t="s">
        <v>90</v>
      </c>
      <c r="E50" s="62">
        <v>1</v>
      </c>
      <c r="F50" s="58">
        <f>$F$14</f>
        <v>145</v>
      </c>
      <c r="G50" s="97">
        <f>$G$14</f>
        <v>935</v>
      </c>
      <c r="H50" s="58">
        <f>$H$14</f>
        <v>142.464</v>
      </c>
      <c r="I50" s="108">
        <f>SUM(F50:H50)*$I$4</f>
        <v>122.2464</v>
      </c>
      <c r="J50" s="108">
        <f>SUM(F50:I50)*$J$4</f>
        <v>121.023936</v>
      </c>
      <c r="K50" s="58">
        <f t="shared" si="13"/>
        <v>1465.734336</v>
      </c>
      <c r="L50" s="58">
        <f t="shared" si="14"/>
        <v>1465.734336</v>
      </c>
      <c r="M50" s="58" t="s">
        <v>91</v>
      </c>
      <c r="N50" s="109">
        <f t="shared" si="16"/>
        <v>1465.734336</v>
      </c>
    </row>
    <row r="51" customFormat="1" ht="24" customHeight="1" spans="1:14">
      <c r="A51" s="81">
        <v>14</v>
      </c>
      <c r="B51" s="81" t="s">
        <v>92</v>
      </c>
      <c r="C51" s="81"/>
      <c r="D51" s="81" t="s">
        <v>93</v>
      </c>
      <c r="E51" s="62"/>
      <c r="F51" s="58"/>
      <c r="G51" s="97"/>
      <c r="H51" s="58"/>
      <c r="I51" s="108"/>
      <c r="J51" s="108"/>
      <c r="K51" s="58"/>
      <c r="L51" s="58">
        <f>SUM(L41:L50)</f>
        <v>44954.016080029</v>
      </c>
      <c r="M51" s="58"/>
      <c r="N51" s="58">
        <f>SUM(N41:N50)</f>
        <v>44954.016080029</v>
      </c>
    </row>
    <row r="52" customFormat="1" spans="1:14">
      <c r="A52" s="81" t="s">
        <v>108</v>
      </c>
      <c r="B52" s="98" t="s">
        <v>109</v>
      </c>
      <c r="C52" s="98" t="s">
        <v>66</v>
      </c>
      <c r="D52" s="99"/>
      <c r="E52" s="62"/>
      <c r="F52" s="58"/>
      <c r="G52" s="97"/>
      <c r="H52" s="58"/>
      <c r="I52" s="108"/>
      <c r="J52" s="108"/>
      <c r="K52" s="58"/>
      <c r="L52" s="58"/>
      <c r="M52" s="58"/>
      <c r="N52" s="109"/>
    </row>
    <row r="53" customFormat="1" ht="78.75" spans="1:14">
      <c r="A53" s="81">
        <v>1</v>
      </c>
      <c r="B53" s="98" t="s">
        <v>68</v>
      </c>
      <c r="C53" s="98" t="s">
        <v>69</v>
      </c>
      <c r="D53" s="99" t="s">
        <v>70</v>
      </c>
      <c r="E53" s="62">
        <f>SUM([1]门头石材铝板工程量计算式!F124:F145)/1000</f>
        <v>0.33740884</v>
      </c>
      <c r="F53" s="58">
        <f>$F$6</f>
        <v>2120</v>
      </c>
      <c r="G53" s="97">
        <f>$G$6</f>
        <v>5512</v>
      </c>
      <c r="H53" s="58">
        <f>$H$6</f>
        <v>2650</v>
      </c>
      <c r="I53" s="108">
        <f>SUM(F53:H53)*$I$4</f>
        <v>1028.2</v>
      </c>
      <c r="J53" s="108">
        <f>SUM(F53:I53)*$J$4</f>
        <v>1017.918</v>
      </c>
      <c r="K53" s="58">
        <f t="shared" ref="K53:K60" si="18">SUM(F53:J53)</f>
        <v>12328.118</v>
      </c>
      <c r="L53" s="58">
        <f t="shared" ref="L53:L60" si="19">K53*E53</f>
        <v>4159.61599376312</v>
      </c>
      <c r="M53" s="58"/>
      <c r="N53" s="109"/>
    </row>
    <row r="54" customFormat="1" ht="33.75" spans="1:14">
      <c r="A54" s="81">
        <v>2</v>
      </c>
      <c r="B54" s="98" t="s">
        <v>71</v>
      </c>
      <c r="C54" s="98" t="s">
        <v>75</v>
      </c>
      <c r="D54" s="99" t="s">
        <v>73</v>
      </c>
      <c r="E54" s="62">
        <f>[1]门头石材铝板工程量计算式!D129+[1]门头石材铝板工程量计算式!D136+[1]门头石材铝板工程量计算式!D143</f>
        <v>22</v>
      </c>
      <c r="F54" s="58">
        <f t="shared" ref="F54:H54" si="20">F8</f>
        <v>32</v>
      </c>
      <c r="G54" s="97">
        <f t="shared" si="20"/>
        <v>20.14</v>
      </c>
      <c r="H54" s="58">
        <f t="shared" si="20"/>
        <v>26.712</v>
      </c>
      <c r="I54" s="108">
        <f>SUM(F54:H54)*$I$4</f>
        <v>7.8852</v>
      </c>
      <c r="J54" s="108">
        <f>SUM(F54:I54)*$J$4</f>
        <v>7.806348</v>
      </c>
      <c r="K54" s="58">
        <f t="shared" si="18"/>
        <v>94.543548</v>
      </c>
      <c r="L54" s="58">
        <f t="shared" si="19"/>
        <v>2079.958056</v>
      </c>
      <c r="M54" s="58"/>
      <c r="N54" s="109"/>
    </row>
    <row r="55" customFormat="1" ht="56.25" spans="1:14">
      <c r="A55" s="81">
        <v>3</v>
      </c>
      <c r="B55" s="98" t="s">
        <v>76</v>
      </c>
      <c r="C55" s="98" t="s">
        <v>77</v>
      </c>
      <c r="D55" s="99" t="s">
        <v>78</v>
      </c>
      <c r="E55" s="62">
        <f>[1]门头石材铝板工程量计算式!D145</f>
        <v>9.324</v>
      </c>
      <c r="F55" s="58">
        <f>$F$9</f>
        <v>95</v>
      </c>
      <c r="G55" s="97">
        <f>$G$9</f>
        <v>269.028</v>
      </c>
      <c r="H55" s="58">
        <f>$H$9</f>
        <v>67.6068</v>
      </c>
      <c r="I55" s="108">
        <f>SUM(F55:H55)*$I$4</f>
        <v>43.16348</v>
      </c>
      <c r="J55" s="108">
        <f>SUM(F55:I55)*$J$4</f>
        <v>42.7318452</v>
      </c>
      <c r="K55" s="58">
        <f t="shared" si="18"/>
        <v>517.5301252</v>
      </c>
      <c r="L55" s="58">
        <f t="shared" si="19"/>
        <v>4825.4508873648</v>
      </c>
      <c r="M55" s="111" t="s">
        <v>79</v>
      </c>
      <c r="N55" s="112"/>
    </row>
    <row r="56" customFormat="1" ht="33.75" spans="1:14">
      <c r="A56" s="81">
        <v>4</v>
      </c>
      <c r="B56" s="98" t="s">
        <v>80</v>
      </c>
      <c r="C56" s="98" t="s">
        <v>81</v>
      </c>
      <c r="D56" s="99" t="s">
        <v>78</v>
      </c>
      <c r="E56" s="62">
        <f>[1]门头石材铝板工程量计算式!D146</f>
        <v>26.9056</v>
      </c>
      <c r="F56" s="58">
        <f>$F$10</f>
        <v>90</v>
      </c>
      <c r="G56" s="97">
        <f>$G$10</f>
        <v>272.685</v>
      </c>
      <c r="H56" s="58">
        <f>$H$10</f>
        <v>15.9</v>
      </c>
      <c r="I56" s="108">
        <f>SUM(F56:H56)*$I$4</f>
        <v>37.8585</v>
      </c>
      <c r="J56" s="108">
        <f>SUM(F56:I56)*$J$4</f>
        <v>37.479915</v>
      </c>
      <c r="K56" s="58">
        <f t="shared" si="18"/>
        <v>453.923415</v>
      </c>
      <c r="L56" s="58">
        <f t="shared" si="19"/>
        <v>12213.081834624</v>
      </c>
      <c r="M56" s="111" t="s">
        <v>79</v>
      </c>
      <c r="N56" s="112"/>
    </row>
    <row r="57" customFormat="1" ht="45" spans="1:14">
      <c r="A57" s="81">
        <v>5</v>
      </c>
      <c r="B57" s="98" t="s">
        <v>82</v>
      </c>
      <c r="C57" s="98" t="s">
        <v>83</v>
      </c>
      <c r="D57" s="99" t="s">
        <v>84</v>
      </c>
      <c r="E57" s="62">
        <v>2.9</v>
      </c>
      <c r="F57" s="58">
        <f>$F$11</f>
        <v>15.9</v>
      </c>
      <c r="G57" s="97">
        <f>$G$11</f>
        <v>35.828</v>
      </c>
      <c r="H57" s="58">
        <f>$H$11</f>
        <v>2</v>
      </c>
      <c r="I57" s="108">
        <f>SUM(F57:H57)*$I$4</f>
        <v>5.3728</v>
      </c>
      <c r="J57" s="108">
        <f>SUM(F57:I57)*$J$4</f>
        <v>5.319072</v>
      </c>
      <c r="K57" s="58">
        <f t="shared" si="18"/>
        <v>64.419872</v>
      </c>
      <c r="L57" s="58">
        <f t="shared" si="19"/>
        <v>186.8176288</v>
      </c>
      <c r="M57" s="58"/>
      <c r="N57" s="109"/>
    </row>
    <row r="58" customFormat="1" ht="22.5" spans="1:14">
      <c r="A58" s="81">
        <v>6</v>
      </c>
      <c r="B58" s="98" t="s">
        <v>85</v>
      </c>
      <c r="C58" s="98" t="s">
        <v>86</v>
      </c>
      <c r="D58" s="99" t="s">
        <v>84</v>
      </c>
      <c r="E58" s="62">
        <v>2.9</v>
      </c>
      <c r="F58" s="58">
        <f>$F$12</f>
        <v>31.8</v>
      </c>
      <c r="G58" s="97">
        <f>$G$12</f>
        <v>24.168</v>
      </c>
      <c r="H58" s="58">
        <f>$H$12</f>
        <v>5.3</v>
      </c>
      <c r="I58" s="108">
        <f>SUM(F58:H58)*$I$4</f>
        <v>6.1268</v>
      </c>
      <c r="J58" s="108">
        <f>SUM(F58:I58)*$J$4</f>
        <v>6.065532</v>
      </c>
      <c r="K58" s="58">
        <f t="shared" si="18"/>
        <v>73.460332</v>
      </c>
      <c r="L58" s="58">
        <f t="shared" si="19"/>
        <v>213.0349628</v>
      </c>
      <c r="M58" s="58"/>
      <c r="N58" s="109"/>
    </row>
    <row r="59" customFormat="1" ht="32" customHeight="1" spans="1:14">
      <c r="A59" s="81">
        <v>7</v>
      </c>
      <c r="B59" s="98" t="s">
        <v>82</v>
      </c>
      <c r="C59" s="98" t="s">
        <v>87</v>
      </c>
      <c r="D59" s="99" t="s">
        <v>78</v>
      </c>
      <c r="E59" s="62">
        <f>0.55*0.2*2</f>
        <v>0.22</v>
      </c>
      <c r="F59" s="58">
        <f>$F$13</f>
        <v>85</v>
      </c>
      <c r="G59" s="97">
        <f>$G$13</f>
        <v>121.2004</v>
      </c>
      <c r="H59" s="58">
        <f>$H$13</f>
        <v>26.5</v>
      </c>
      <c r="I59" s="108">
        <f>SUM(F59:H59)*$I$4</f>
        <v>23.27004</v>
      </c>
      <c r="J59" s="108">
        <f>SUM(F59:I59)*$J$4</f>
        <v>23.0373396</v>
      </c>
      <c r="K59" s="58">
        <f t="shared" si="18"/>
        <v>279.0077796</v>
      </c>
      <c r="L59" s="58">
        <f t="shared" si="19"/>
        <v>61.381711512</v>
      </c>
      <c r="M59" s="111" t="s">
        <v>79</v>
      </c>
      <c r="N59" s="112"/>
    </row>
    <row r="60" customFormat="1" spans="1:14">
      <c r="A60" s="81">
        <v>8</v>
      </c>
      <c r="B60" s="98" t="s">
        <v>88</v>
      </c>
      <c r="C60" s="98" t="s">
        <v>89</v>
      </c>
      <c r="D60" s="99" t="s">
        <v>90</v>
      </c>
      <c r="E60" s="62">
        <v>1</v>
      </c>
      <c r="F60" s="58">
        <f>$F$14</f>
        <v>145</v>
      </c>
      <c r="G60" s="97">
        <f>$G$14</f>
        <v>935</v>
      </c>
      <c r="H60" s="58">
        <f>$H$14</f>
        <v>142.464</v>
      </c>
      <c r="I60" s="108">
        <f>SUM(F60:H60)*$I$4</f>
        <v>122.2464</v>
      </c>
      <c r="J60" s="108">
        <f>SUM(F60:I60)*$J$4</f>
        <v>121.023936</v>
      </c>
      <c r="K60" s="58">
        <f t="shared" si="18"/>
        <v>1465.734336</v>
      </c>
      <c r="L60" s="58">
        <f t="shared" si="19"/>
        <v>1465.734336</v>
      </c>
      <c r="M60" s="58" t="s">
        <v>91</v>
      </c>
      <c r="N60" s="109"/>
    </row>
    <row r="61" customFormat="1" spans="1:14">
      <c r="A61" s="81">
        <v>9</v>
      </c>
      <c r="B61" s="81" t="s">
        <v>92</v>
      </c>
      <c r="C61" s="81"/>
      <c r="D61" s="81" t="s">
        <v>93</v>
      </c>
      <c r="E61" s="62"/>
      <c r="F61" s="58"/>
      <c r="G61" s="97"/>
      <c r="H61" s="58"/>
      <c r="I61" s="108"/>
      <c r="J61" s="108"/>
      <c r="K61" s="58"/>
      <c r="L61" s="58">
        <f>SUM(L52:L60)</f>
        <v>25205.0754108639</v>
      </c>
      <c r="M61" s="58"/>
      <c r="N61" s="109"/>
    </row>
    <row r="62" customFormat="1" spans="1:14">
      <c r="A62" s="81" t="s">
        <v>110</v>
      </c>
      <c r="B62" s="98" t="s">
        <v>111</v>
      </c>
      <c r="C62" s="98" t="s">
        <v>66</v>
      </c>
      <c r="D62" s="99"/>
      <c r="E62" s="62"/>
      <c r="F62" s="58"/>
      <c r="G62" s="97"/>
      <c r="H62" s="58"/>
      <c r="I62" s="108"/>
      <c r="J62" s="108"/>
      <c r="K62" s="58"/>
      <c r="L62" s="58"/>
      <c r="M62" s="58"/>
      <c r="N62" s="109"/>
    </row>
    <row r="63" customFormat="1" ht="78.75" spans="1:14">
      <c r="A63" s="81">
        <v>1</v>
      </c>
      <c r="B63" s="98" t="s">
        <v>68</v>
      </c>
      <c r="C63" s="98" t="s">
        <v>69</v>
      </c>
      <c r="D63" s="99" t="s">
        <v>70</v>
      </c>
      <c r="E63" s="62">
        <f>SUM([1]门头石材铝板工程量计算式!F150:F168)/1000</f>
        <v>0.33725584</v>
      </c>
      <c r="F63" s="58">
        <f>$F$6</f>
        <v>2120</v>
      </c>
      <c r="G63" s="97">
        <f>$G$6</f>
        <v>5512</v>
      </c>
      <c r="H63" s="58">
        <f>$H$6</f>
        <v>2650</v>
      </c>
      <c r="I63" s="108">
        <f>SUM(F63:H63)*$I$4</f>
        <v>1028.2</v>
      </c>
      <c r="J63" s="108">
        <f>SUM(F63:I63)*$J$4</f>
        <v>1017.918</v>
      </c>
      <c r="K63" s="58">
        <f t="shared" ref="K63:K70" si="21">SUM(F63:J63)</f>
        <v>12328.118</v>
      </c>
      <c r="L63" s="58">
        <f t="shared" ref="L63:L70" si="22">K63*E63</f>
        <v>4157.72979170912</v>
      </c>
      <c r="M63" s="58"/>
      <c r="N63" s="109"/>
    </row>
    <row r="64" customFormat="1" ht="33.75" spans="1:14">
      <c r="A64" s="81">
        <v>2</v>
      </c>
      <c r="B64" s="98" t="s">
        <v>71</v>
      </c>
      <c r="C64" s="98" t="s">
        <v>75</v>
      </c>
      <c r="D64" s="99" t="s">
        <v>73</v>
      </c>
      <c r="E64" s="62">
        <f>[1]门头石材铝板工程量计算式!D154+[1]门头石材铝板工程量计算式!D161+[1]门头石材铝板工程量计算式!D168</f>
        <v>22</v>
      </c>
      <c r="F64" s="58">
        <f t="shared" ref="F64:H64" si="23">F8</f>
        <v>32</v>
      </c>
      <c r="G64" s="97">
        <f t="shared" si="23"/>
        <v>20.14</v>
      </c>
      <c r="H64" s="58">
        <f t="shared" si="23"/>
        <v>26.712</v>
      </c>
      <c r="I64" s="108">
        <f>SUM(F64:H64)*$I$4</f>
        <v>7.8852</v>
      </c>
      <c r="J64" s="108">
        <f>SUM(F64:I64)*$J$4</f>
        <v>7.806348</v>
      </c>
      <c r="K64" s="58">
        <f t="shared" si="21"/>
        <v>94.543548</v>
      </c>
      <c r="L64" s="58">
        <f t="shared" si="22"/>
        <v>2079.958056</v>
      </c>
      <c r="M64" s="58"/>
      <c r="N64" s="109"/>
    </row>
    <row r="65" customFormat="1" ht="56.25" spans="1:14">
      <c r="A65" s="81">
        <v>3</v>
      </c>
      <c r="B65" s="98" t="s">
        <v>76</v>
      </c>
      <c r="C65" s="98" t="s">
        <v>77</v>
      </c>
      <c r="D65" s="99" t="s">
        <v>78</v>
      </c>
      <c r="E65" s="62">
        <f>[1]门头石材铝板工程量计算式!D170</f>
        <v>9.324</v>
      </c>
      <c r="F65" s="58">
        <f>$F$9</f>
        <v>95</v>
      </c>
      <c r="G65" s="97">
        <f>$G$9</f>
        <v>269.028</v>
      </c>
      <c r="H65" s="58">
        <f>$H$9</f>
        <v>67.6068</v>
      </c>
      <c r="I65" s="108">
        <f>SUM(F65:H65)*$I$4</f>
        <v>43.16348</v>
      </c>
      <c r="J65" s="108">
        <f>SUM(F65:I65)*$J$4</f>
        <v>42.7318452</v>
      </c>
      <c r="K65" s="58">
        <f t="shared" si="21"/>
        <v>517.5301252</v>
      </c>
      <c r="L65" s="58">
        <f t="shared" si="22"/>
        <v>4825.4508873648</v>
      </c>
      <c r="M65" s="111" t="s">
        <v>79</v>
      </c>
      <c r="N65" s="112"/>
    </row>
    <row r="66" customFormat="1" ht="33.75" spans="1:14">
      <c r="A66" s="81">
        <v>4</v>
      </c>
      <c r="B66" s="98" t="s">
        <v>80</v>
      </c>
      <c r="C66" s="98" t="s">
        <v>81</v>
      </c>
      <c r="D66" s="99" t="s">
        <v>78</v>
      </c>
      <c r="E66" s="62">
        <f>[1]门头石材铝板工程量计算式!D171</f>
        <v>26.71775</v>
      </c>
      <c r="F66" s="58">
        <f>$F$10</f>
        <v>90</v>
      </c>
      <c r="G66" s="97">
        <f>$G$10</f>
        <v>272.685</v>
      </c>
      <c r="H66" s="58">
        <f>$H$10</f>
        <v>15.9</v>
      </c>
      <c r="I66" s="108">
        <f>SUM(F66:H66)*$I$4</f>
        <v>37.8585</v>
      </c>
      <c r="J66" s="108">
        <f>SUM(F66:I66)*$J$4</f>
        <v>37.479915</v>
      </c>
      <c r="K66" s="58">
        <f t="shared" si="21"/>
        <v>453.923415</v>
      </c>
      <c r="L66" s="58">
        <f t="shared" si="22"/>
        <v>12127.8123211162</v>
      </c>
      <c r="M66" s="111" t="s">
        <v>79</v>
      </c>
      <c r="N66" s="112"/>
    </row>
    <row r="67" customFormat="1" ht="45" spans="1:14">
      <c r="A67" s="81">
        <v>5</v>
      </c>
      <c r="B67" s="98" t="s">
        <v>82</v>
      </c>
      <c r="C67" s="98" t="s">
        <v>83</v>
      </c>
      <c r="D67" s="99" t="s">
        <v>84</v>
      </c>
      <c r="E67" s="62">
        <v>2.87</v>
      </c>
      <c r="F67" s="58">
        <f>$F$11</f>
        <v>15.9</v>
      </c>
      <c r="G67" s="97">
        <f>$G$11</f>
        <v>35.828</v>
      </c>
      <c r="H67" s="58">
        <f>$H$11</f>
        <v>2</v>
      </c>
      <c r="I67" s="108">
        <f>SUM(F67:H67)*$I$4</f>
        <v>5.3728</v>
      </c>
      <c r="J67" s="108">
        <f>SUM(F67:I67)*$J$4</f>
        <v>5.319072</v>
      </c>
      <c r="K67" s="58">
        <f t="shared" si="21"/>
        <v>64.419872</v>
      </c>
      <c r="L67" s="58">
        <f t="shared" si="22"/>
        <v>184.88503264</v>
      </c>
      <c r="M67" s="58"/>
      <c r="N67" s="109"/>
    </row>
    <row r="68" customFormat="1" ht="22.5" spans="1:14">
      <c r="A68" s="81">
        <v>6</v>
      </c>
      <c r="B68" s="98" t="s">
        <v>85</v>
      </c>
      <c r="C68" s="98" t="s">
        <v>86</v>
      </c>
      <c r="D68" s="99" t="s">
        <v>84</v>
      </c>
      <c r="E68" s="62">
        <v>2.87</v>
      </c>
      <c r="F68" s="58">
        <f>$F$12</f>
        <v>31.8</v>
      </c>
      <c r="G68" s="97">
        <f>$G$12</f>
        <v>24.168</v>
      </c>
      <c r="H68" s="58">
        <f>$H$12</f>
        <v>5.3</v>
      </c>
      <c r="I68" s="108">
        <f>SUM(F68:H68)*$I$4</f>
        <v>6.1268</v>
      </c>
      <c r="J68" s="108">
        <f>SUM(F68:I68)*$J$4</f>
        <v>6.065532</v>
      </c>
      <c r="K68" s="58">
        <f t="shared" si="21"/>
        <v>73.460332</v>
      </c>
      <c r="L68" s="58">
        <f t="shared" si="22"/>
        <v>210.83115284</v>
      </c>
      <c r="M68" s="58"/>
      <c r="N68" s="109"/>
    </row>
    <row r="69" customFormat="1" ht="27" spans="1:14">
      <c r="A69" s="81">
        <v>7</v>
      </c>
      <c r="B69" s="98" t="s">
        <v>82</v>
      </c>
      <c r="C69" s="98" t="s">
        <v>87</v>
      </c>
      <c r="D69" s="99" t="s">
        <v>78</v>
      </c>
      <c r="E69" s="62">
        <f>0.55*0.2*2</f>
        <v>0.22</v>
      </c>
      <c r="F69" s="58">
        <f>$F$13</f>
        <v>85</v>
      </c>
      <c r="G69" s="97">
        <f>$G$13</f>
        <v>121.2004</v>
      </c>
      <c r="H69" s="58">
        <f>$H$13</f>
        <v>26.5</v>
      </c>
      <c r="I69" s="108">
        <f>SUM(F69:H69)*$I$4</f>
        <v>23.27004</v>
      </c>
      <c r="J69" s="108">
        <f>SUM(F69:I69)*$J$4</f>
        <v>23.0373396</v>
      </c>
      <c r="K69" s="58">
        <f t="shared" si="21"/>
        <v>279.0077796</v>
      </c>
      <c r="L69" s="58">
        <f t="shared" si="22"/>
        <v>61.381711512</v>
      </c>
      <c r="M69" s="111" t="s">
        <v>79</v>
      </c>
      <c r="N69" s="112"/>
    </row>
    <row r="70" customFormat="1" spans="1:14">
      <c r="A70" s="81">
        <v>8</v>
      </c>
      <c r="B70" s="98" t="s">
        <v>88</v>
      </c>
      <c r="C70" s="98" t="s">
        <v>89</v>
      </c>
      <c r="D70" s="99" t="s">
        <v>90</v>
      </c>
      <c r="E70" s="62">
        <v>1</v>
      </c>
      <c r="F70" s="58">
        <f>$F$14</f>
        <v>145</v>
      </c>
      <c r="G70" s="97">
        <f>$G$14</f>
        <v>935</v>
      </c>
      <c r="H70" s="58">
        <f>$H$14</f>
        <v>142.464</v>
      </c>
      <c r="I70" s="108">
        <f>SUM(F70:H70)*$I$4</f>
        <v>122.2464</v>
      </c>
      <c r="J70" s="108">
        <f>SUM(F70:I70)*$J$4</f>
        <v>121.023936</v>
      </c>
      <c r="K70" s="58">
        <f t="shared" si="21"/>
        <v>1465.734336</v>
      </c>
      <c r="L70" s="58">
        <f t="shared" si="22"/>
        <v>1465.734336</v>
      </c>
      <c r="M70" s="58" t="s">
        <v>91</v>
      </c>
      <c r="N70" s="109"/>
    </row>
    <row r="71" customFormat="1" spans="1:14">
      <c r="A71" s="81">
        <v>9</v>
      </c>
      <c r="B71" s="81" t="s">
        <v>92</v>
      </c>
      <c r="C71" s="81"/>
      <c r="D71" s="81" t="s">
        <v>93</v>
      </c>
      <c r="E71" s="62"/>
      <c r="F71" s="58"/>
      <c r="G71" s="97"/>
      <c r="H71" s="58"/>
      <c r="I71" s="108"/>
      <c r="J71" s="108"/>
      <c r="K71" s="58"/>
      <c r="L71" s="58">
        <f>SUM(L62:L70)</f>
        <v>25113.7832891822</v>
      </c>
      <c r="M71" s="58"/>
      <c r="N71" s="109"/>
    </row>
    <row r="72" customFormat="1" spans="1:14">
      <c r="A72" s="81" t="s">
        <v>112</v>
      </c>
      <c r="B72" s="98" t="s">
        <v>113</v>
      </c>
      <c r="C72" s="98" t="s">
        <v>66</v>
      </c>
      <c r="D72" s="99"/>
      <c r="E72" s="62"/>
      <c r="F72" s="58"/>
      <c r="G72" s="97"/>
      <c r="H72" s="58"/>
      <c r="I72" s="108"/>
      <c r="J72" s="108"/>
      <c r="K72" s="58"/>
      <c r="L72" s="58"/>
      <c r="M72" s="58"/>
      <c r="N72" s="109"/>
    </row>
    <row r="73" customFormat="1" ht="78.75" spans="1:14">
      <c r="A73" s="81">
        <v>1</v>
      </c>
      <c r="B73" s="98" t="s">
        <v>68</v>
      </c>
      <c r="C73" s="98" t="s">
        <v>69</v>
      </c>
      <c r="D73" s="99" t="s">
        <v>70</v>
      </c>
      <c r="E73" s="62">
        <f>SUM([1]门头石材铝板工程量计算式!F174:F196)/1000</f>
        <v>0.33847984</v>
      </c>
      <c r="F73" s="58">
        <f>$F$6</f>
        <v>2120</v>
      </c>
      <c r="G73" s="97">
        <f>$G$6</f>
        <v>5512</v>
      </c>
      <c r="H73" s="58">
        <f>$H$6</f>
        <v>2650</v>
      </c>
      <c r="I73" s="108">
        <f>SUM(F73:H73)*$I$4</f>
        <v>1028.2</v>
      </c>
      <c r="J73" s="108">
        <f>SUM(F73:I73)*$J$4</f>
        <v>1017.918</v>
      </c>
      <c r="K73" s="58">
        <f t="shared" ref="K73:K80" si="24">SUM(F73:J73)</f>
        <v>12328.118</v>
      </c>
      <c r="L73" s="58">
        <f t="shared" ref="L73:L80" si="25">K73*E73</f>
        <v>4172.81940814112</v>
      </c>
      <c r="M73" s="58"/>
      <c r="N73" s="109"/>
    </row>
    <row r="74" customFormat="1" ht="33.75" spans="1:14">
      <c r="A74" s="81">
        <v>2</v>
      </c>
      <c r="B74" s="98" t="s">
        <v>71</v>
      </c>
      <c r="C74" s="98" t="s">
        <v>75</v>
      </c>
      <c r="D74" s="99" t="s">
        <v>73</v>
      </c>
      <c r="E74" s="62">
        <f>[1]门头石材铝板工程量计算式!D179+[1]门头石材铝板工程量计算式!D186+[1]门头石材铝板工程量计算式!D193</f>
        <v>22</v>
      </c>
      <c r="F74" s="58">
        <f t="shared" ref="F74:H74" si="26">F8</f>
        <v>32</v>
      </c>
      <c r="G74" s="97">
        <f t="shared" si="26"/>
        <v>20.14</v>
      </c>
      <c r="H74" s="58">
        <f t="shared" si="26"/>
        <v>26.712</v>
      </c>
      <c r="I74" s="108">
        <f>SUM(F74:H74)*$I$4</f>
        <v>7.8852</v>
      </c>
      <c r="J74" s="108">
        <f>SUM(F74:I74)*$J$4</f>
        <v>7.806348</v>
      </c>
      <c r="K74" s="58">
        <f t="shared" si="24"/>
        <v>94.543548</v>
      </c>
      <c r="L74" s="58">
        <f t="shared" si="25"/>
        <v>2079.958056</v>
      </c>
      <c r="M74" s="58"/>
      <c r="N74" s="109"/>
    </row>
    <row r="75" customFormat="1" ht="56.25" spans="1:14">
      <c r="A75" s="81">
        <v>3</v>
      </c>
      <c r="B75" s="98" t="s">
        <v>76</v>
      </c>
      <c r="C75" s="98" t="s">
        <v>77</v>
      </c>
      <c r="D75" s="99" t="s">
        <v>78</v>
      </c>
      <c r="E75" s="62">
        <f>[1]门头石材铝板工程量计算式!D195</f>
        <v>9.324</v>
      </c>
      <c r="F75" s="58">
        <f>$F$9</f>
        <v>95</v>
      </c>
      <c r="G75" s="97">
        <f>$G$9</f>
        <v>269.028</v>
      </c>
      <c r="H75" s="58">
        <f>$H$9</f>
        <v>67.6068</v>
      </c>
      <c r="I75" s="108">
        <f>SUM(F75:H75)*$I$4</f>
        <v>43.16348</v>
      </c>
      <c r="J75" s="108">
        <f>SUM(F75:I75)*$J$4</f>
        <v>42.7318452</v>
      </c>
      <c r="K75" s="58">
        <f t="shared" si="24"/>
        <v>517.5301252</v>
      </c>
      <c r="L75" s="58">
        <f t="shared" si="25"/>
        <v>4825.4508873648</v>
      </c>
      <c r="M75" s="111" t="s">
        <v>79</v>
      </c>
      <c r="N75" s="112"/>
    </row>
    <row r="76" customFormat="1" ht="33.75" spans="1:14">
      <c r="A76" s="81">
        <v>4</v>
      </c>
      <c r="B76" s="98" t="s">
        <v>80</v>
      </c>
      <c r="C76" s="98" t="s">
        <v>81</v>
      </c>
      <c r="D76" s="99" t="s">
        <v>78</v>
      </c>
      <c r="E76" s="62">
        <f>[1]门头石材铝板工程量计算式!D196</f>
        <v>27.743075</v>
      </c>
      <c r="F76" s="58">
        <f>$F$10</f>
        <v>90</v>
      </c>
      <c r="G76" s="97">
        <f>$G$10</f>
        <v>272.685</v>
      </c>
      <c r="H76" s="58">
        <f>$H$10</f>
        <v>15.9</v>
      </c>
      <c r="I76" s="108">
        <f>SUM(F76:H76)*$I$4</f>
        <v>37.8585</v>
      </c>
      <c r="J76" s="108">
        <f>SUM(F76:I76)*$J$4</f>
        <v>37.479915</v>
      </c>
      <c r="K76" s="58">
        <f t="shared" si="24"/>
        <v>453.923415</v>
      </c>
      <c r="L76" s="58">
        <f t="shared" si="25"/>
        <v>12593.2313466011</v>
      </c>
      <c r="M76" s="111" t="s">
        <v>79</v>
      </c>
      <c r="N76" s="112"/>
    </row>
    <row r="77" customFormat="1" ht="45" spans="1:14">
      <c r="A77" s="81">
        <v>5</v>
      </c>
      <c r="B77" s="98" t="s">
        <v>82</v>
      </c>
      <c r="C77" s="98" t="s">
        <v>83</v>
      </c>
      <c r="D77" s="99" t="s">
        <v>84</v>
      </c>
      <c r="E77" s="62">
        <v>3.075</v>
      </c>
      <c r="F77" s="58">
        <f>$F$11</f>
        <v>15.9</v>
      </c>
      <c r="G77" s="97">
        <f>$G$11</f>
        <v>35.828</v>
      </c>
      <c r="H77" s="58">
        <f>$H$11</f>
        <v>2</v>
      </c>
      <c r="I77" s="108">
        <f>SUM(F77:H77)*$I$4</f>
        <v>5.3728</v>
      </c>
      <c r="J77" s="108">
        <f>SUM(F77:I77)*$J$4</f>
        <v>5.319072</v>
      </c>
      <c r="K77" s="58">
        <f t="shared" si="24"/>
        <v>64.419872</v>
      </c>
      <c r="L77" s="58">
        <f t="shared" si="25"/>
        <v>198.0911064</v>
      </c>
      <c r="M77" s="58"/>
      <c r="N77" s="109"/>
    </row>
    <row r="78" customFormat="1" ht="22.5" spans="1:14">
      <c r="A78" s="81">
        <v>6</v>
      </c>
      <c r="B78" s="98" t="s">
        <v>85</v>
      </c>
      <c r="C78" s="98" t="s">
        <v>86</v>
      </c>
      <c r="D78" s="99" t="s">
        <v>84</v>
      </c>
      <c r="E78" s="62">
        <v>3.075</v>
      </c>
      <c r="F78" s="58">
        <f>$F$12</f>
        <v>31.8</v>
      </c>
      <c r="G78" s="97">
        <f>$G$12</f>
        <v>24.168</v>
      </c>
      <c r="H78" s="58">
        <f>$H$12</f>
        <v>5.3</v>
      </c>
      <c r="I78" s="108">
        <f>SUM(F78:H78)*$I$4</f>
        <v>6.1268</v>
      </c>
      <c r="J78" s="108">
        <f>SUM(F78:I78)*$J$4</f>
        <v>6.065532</v>
      </c>
      <c r="K78" s="58">
        <f t="shared" si="24"/>
        <v>73.460332</v>
      </c>
      <c r="L78" s="58">
        <f t="shared" si="25"/>
        <v>225.8905209</v>
      </c>
      <c r="M78" s="58"/>
      <c r="N78" s="109"/>
    </row>
    <row r="79" customFormat="1" ht="27" spans="1:14">
      <c r="A79" s="81">
        <v>7</v>
      </c>
      <c r="B79" s="98" t="s">
        <v>82</v>
      </c>
      <c r="C79" s="98" t="s">
        <v>87</v>
      </c>
      <c r="D79" s="99" t="s">
        <v>78</v>
      </c>
      <c r="E79" s="62">
        <f>0.55*0.2*2</f>
        <v>0.22</v>
      </c>
      <c r="F79" s="58">
        <f>$F$13</f>
        <v>85</v>
      </c>
      <c r="G79" s="97">
        <f>$G$13</f>
        <v>121.2004</v>
      </c>
      <c r="H79" s="58">
        <f>$H$13</f>
        <v>26.5</v>
      </c>
      <c r="I79" s="108">
        <f>SUM(F79:H79)*$I$4</f>
        <v>23.27004</v>
      </c>
      <c r="J79" s="108">
        <f>SUM(F79:I79)*$J$4</f>
        <v>23.0373396</v>
      </c>
      <c r="K79" s="58">
        <f t="shared" si="24"/>
        <v>279.0077796</v>
      </c>
      <c r="L79" s="58">
        <f t="shared" si="25"/>
        <v>61.381711512</v>
      </c>
      <c r="M79" s="111" t="s">
        <v>79</v>
      </c>
      <c r="N79" s="112"/>
    </row>
    <row r="80" customFormat="1" spans="1:14">
      <c r="A80" s="81">
        <v>8</v>
      </c>
      <c r="B80" s="98" t="s">
        <v>88</v>
      </c>
      <c r="C80" s="98" t="s">
        <v>89</v>
      </c>
      <c r="D80" s="99" t="s">
        <v>90</v>
      </c>
      <c r="E80" s="62">
        <v>1</v>
      </c>
      <c r="F80" s="58">
        <f>$F$14</f>
        <v>145</v>
      </c>
      <c r="G80" s="97">
        <f>$G$14</f>
        <v>935</v>
      </c>
      <c r="H80" s="58">
        <f>$H$14</f>
        <v>142.464</v>
      </c>
      <c r="I80" s="108">
        <f>SUM(F80:H80)*$I$4</f>
        <v>122.2464</v>
      </c>
      <c r="J80" s="108">
        <f>SUM(F80:I80)*$J$4</f>
        <v>121.023936</v>
      </c>
      <c r="K80" s="58">
        <f t="shared" si="24"/>
        <v>1465.734336</v>
      </c>
      <c r="L80" s="58">
        <f t="shared" si="25"/>
        <v>1465.734336</v>
      </c>
      <c r="M80" s="58" t="s">
        <v>91</v>
      </c>
      <c r="N80" s="109"/>
    </row>
    <row r="81" customFormat="1" spans="1:14">
      <c r="A81" s="81">
        <v>9</v>
      </c>
      <c r="B81" s="81" t="s">
        <v>92</v>
      </c>
      <c r="C81" s="81"/>
      <c r="D81" s="81" t="s">
        <v>93</v>
      </c>
      <c r="E81" s="62"/>
      <c r="F81" s="58"/>
      <c r="G81" s="97"/>
      <c r="H81" s="58"/>
      <c r="I81" s="108"/>
      <c r="J81" s="108"/>
      <c r="K81" s="58"/>
      <c r="L81" s="58">
        <f>SUM(L72:L80)</f>
        <v>25622.557372919</v>
      </c>
      <c r="M81" s="58"/>
      <c r="N81" s="109"/>
    </row>
    <row r="82" customFormat="1" spans="1:14">
      <c r="A82" s="81" t="s">
        <v>114</v>
      </c>
      <c r="B82" s="98" t="s">
        <v>115</v>
      </c>
      <c r="C82" s="98" t="s">
        <v>66</v>
      </c>
      <c r="D82" s="99"/>
      <c r="E82" s="62"/>
      <c r="F82" s="58"/>
      <c r="G82" s="97"/>
      <c r="H82" s="58"/>
      <c r="I82" s="108"/>
      <c r="J82" s="108"/>
      <c r="K82" s="58"/>
      <c r="L82" s="58"/>
      <c r="M82" s="58"/>
      <c r="N82" s="109"/>
    </row>
    <row r="83" customFormat="1" ht="78.75" spans="1:14">
      <c r="A83" s="81">
        <v>1</v>
      </c>
      <c r="B83" s="98" t="s">
        <v>68</v>
      </c>
      <c r="C83" s="98" t="s">
        <v>69</v>
      </c>
      <c r="D83" s="99" t="s">
        <v>70</v>
      </c>
      <c r="E83" s="62">
        <f>SUM([1]门头石材铝板工程量计算式!F200:F218)/1000</f>
        <v>0.37287418</v>
      </c>
      <c r="F83" s="58">
        <f>$F$6</f>
        <v>2120</v>
      </c>
      <c r="G83" s="97">
        <f>$G$6</f>
        <v>5512</v>
      </c>
      <c r="H83" s="58">
        <f>$H$6</f>
        <v>2650</v>
      </c>
      <c r="I83" s="108">
        <f>SUM(F83:H83)*$I$4</f>
        <v>1028.2</v>
      </c>
      <c r="J83" s="108">
        <f>SUM(F83:I83)*$J$4</f>
        <v>1017.918</v>
      </c>
      <c r="K83" s="58">
        <f t="shared" ref="K83:K90" si="27">SUM(F83:J83)</f>
        <v>12328.118</v>
      </c>
      <c r="L83" s="58">
        <f t="shared" ref="L83:L90" si="28">K83*E83</f>
        <v>4596.83689019324</v>
      </c>
      <c r="M83" s="58"/>
      <c r="N83" s="109"/>
    </row>
    <row r="84" customFormat="1" ht="33.75" spans="1:14">
      <c r="A84" s="81">
        <v>2</v>
      </c>
      <c r="B84" s="98" t="s">
        <v>71</v>
      </c>
      <c r="C84" s="98" t="s">
        <v>75</v>
      </c>
      <c r="D84" s="99" t="s">
        <v>73</v>
      </c>
      <c r="E84" s="62">
        <f>[1]门头石材铝板工程量计算式!D204+[1]门头石材铝板工程量计算式!D211+[1]门头石材铝板工程量计算式!D218</f>
        <v>25</v>
      </c>
      <c r="F84" s="58">
        <f t="shared" ref="F84:H84" si="29">F8</f>
        <v>32</v>
      </c>
      <c r="G84" s="97">
        <f t="shared" si="29"/>
        <v>20.14</v>
      </c>
      <c r="H84" s="58">
        <f t="shared" si="29"/>
        <v>26.712</v>
      </c>
      <c r="I84" s="108">
        <f>SUM(F84:H84)*$I$4</f>
        <v>7.8852</v>
      </c>
      <c r="J84" s="108">
        <f>SUM(F84:I84)*$J$4</f>
        <v>7.806348</v>
      </c>
      <c r="K84" s="58">
        <f t="shared" si="27"/>
        <v>94.543548</v>
      </c>
      <c r="L84" s="58">
        <f t="shared" si="28"/>
        <v>2363.5887</v>
      </c>
      <c r="M84" s="58"/>
      <c r="N84" s="109"/>
    </row>
    <row r="85" customFormat="1" ht="56.25" spans="1:14">
      <c r="A85" s="81">
        <v>3</v>
      </c>
      <c r="B85" s="98" t="s">
        <v>76</v>
      </c>
      <c r="C85" s="98" t="s">
        <v>77</v>
      </c>
      <c r="D85" s="99" t="s">
        <v>78</v>
      </c>
      <c r="E85" s="62">
        <f>[1]门头石材铝板工程量计算式!D220</f>
        <v>9.324</v>
      </c>
      <c r="F85" s="58">
        <f>$F$9</f>
        <v>95</v>
      </c>
      <c r="G85" s="97">
        <f>$G$9</f>
        <v>269.028</v>
      </c>
      <c r="H85" s="58">
        <f>$H$9</f>
        <v>67.6068</v>
      </c>
      <c r="I85" s="108">
        <f>SUM(F85:H85)*$I$4</f>
        <v>43.16348</v>
      </c>
      <c r="J85" s="108">
        <f>SUM(F85:I85)*$J$4</f>
        <v>42.7318452</v>
      </c>
      <c r="K85" s="58">
        <f t="shared" si="27"/>
        <v>517.5301252</v>
      </c>
      <c r="L85" s="58">
        <f t="shared" si="28"/>
        <v>4825.4508873648</v>
      </c>
      <c r="M85" s="111" t="s">
        <v>79</v>
      </c>
      <c r="N85" s="112"/>
    </row>
    <row r="86" customFormat="1" ht="33.75" spans="1:14">
      <c r="A86" s="81">
        <v>4</v>
      </c>
      <c r="B86" s="98" t="s">
        <v>80</v>
      </c>
      <c r="C86" s="98" t="s">
        <v>81</v>
      </c>
      <c r="D86" s="99" t="s">
        <v>78</v>
      </c>
      <c r="E86" s="62">
        <f>[1]门头石材铝板工程量计算式!D221</f>
        <v>33.0897</v>
      </c>
      <c r="F86" s="58">
        <f>$F$10</f>
        <v>90</v>
      </c>
      <c r="G86" s="97">
        <f>$G$10</f>
        <v>272.685</v>
      </c>
      <c r="H86" s="58">
        <f>$H$10</f>
        <v>15.9</v>
      </c>
      <c r="I86" s="108">
        <f>SUM(F86:H86)*$I$4</f>
        <v>37.8585</v>
      </c>
      <c r="J86" s="108">
        <f>SUM(F86:I86)*$J$4</f>
        <v>37.479915</v>
      </c>
      <c r="K86" s="58">
        <f t="shared" si="27"/>
        <v>453.923415</v>
      </c>
      <c r="L86" s="58">
        <f t="shared" si="28"/>
        <v>15020.1896253255</v>
      </c>
      <c r="M86" s="111" t="s">
        <v>79</v>
      </c>
      <c r="N86" s="112"/>
    </row>
    <row r="87" customFormat="1" ht="45" spans="1:14">
      <c r="A87" s="81">
        <v>5</v>
      </c>
      <c r="B87" s="98" t="s">
        <v>82</v>
      </c>
      <c r="C87" s="98" t="s">
        <v>83</v>
      </c>
      <c r="D87" s="99" t="s">
        <v>84</v>
      </c>
      <c r="E87" s="62">
        <v>4.2</v>
      </c>
      <c r="F87" s="58">
        <f>$F$11</f>
        <v>15.9</v>
      </c>
      <c r="G87" s="97">
        <f>$G$11</f>
        <v>35.828</v>
      </c>
      <c r="H87" s="58">
        <f>$H$11</f>
        <v>2</v>
      </c>
      <c r="I87" s="108">
        <f>SUM(F87:H87)*$I$4</f>
        <v>5.3728</v>
      </c>
      <c r="J87" s="108">
        <f>SUM(F87:I87)*$J$4</f>
        <v>5.319072</v>
      </c>
      <c r="K87" s="58">
        <f t="shared" si="27"/>
        <v>64.419872</v>
      </c>
      <c r="L87" s="58">
        <f t="shared" si="28"/>
        <v>270.5634624</v>
      </c>
      <c r="M87" s="58"/>
      <c r="N87" s="109"/>
    </row>
    <row r="88" customFormat="1" ht="22.5" spans="1:14">
      <c r="A88" s="81">
        <v>6</v>
      </c>
      <c r="B88" s="98" t="s">
        <v>85</v>
      </c>
      <c r="C88" s="98" t="s">
        <v>86</v>
      </c>
      <c r="D88" s="99" t="s">
        <v>84</v>
      </c>
      <c r="E88" s="62">
        <v>4.2</v>
      </c>
      <c r="F88" s="58">
        <f>$F$12</f>
        <v>31.8</v>
      </c>
      <c r="G88" s="97">
        <f>$G$12</f>
        <v>24.168</v>
      </c>
      <c r="H88" s="58">
        <f>$H$12</f>
        <v>5.3</v>
      </c>
      <c r="I88" s="108">
        <f>SUM(F88:H88)*$I$4</f>
        <v>6.1268</v>
      </c>
      <c r="J88" s="108">
        <f>SUM(F88:I88)*$J$4</f>
        <v>6.065532</v>
      </c>
      <c r="K88" s="58">
        <f t="shared" si="27"/>
        <v>73.460332</v>
      </c>
      <c r="L88" s="58">
        <f t="shared" si="28"/>
        <v>308.5333944</v>
      </c>
      <c r="M88" s="58"/>
      <c r="N88" s="109"/>
    </row>
    <row r="89" customFormat="1" ht="27" spans="1:14">
      <c r="A89" s="81">
        <v>7</v>
      </c>
      <c r="B89" s="98" t="s">
        <v>82</v>
      </c>
      <c r="C89" s="98" t="s">
        <v>87</v>
      </c>
      <c r="D89" s="99" t="s">
        <v>78</v>
      </c>
      <c r="E89" s="62">
        <f>0.55*0.2*2</f>
        <v>0.22</v>
      </c>
      <c r="F89" s="58">
        <f>$F$13</f>
        <v>85</v>
      </c>
      <c r="G89" s="97">
        <f>$G$13</f>
        <v>121.2004</v>
      </c>
      <c r="H89" s="58">
        <f>$H$13</f>
        <v>26.5</v>
      </c>
      <c r="I89" s="108">
        <f>SUM(F89:H89)*$I$4</f>
        <v>23.27004</v>
      </c>
      <c r="J89" s="108">
        <f>SUM(F89:I89)*$J$4</f>
        <v>23.0373396</v>
      </c>
      <c r="K89" s="58">
        <f t="shared" si="27"/>
        <v>279.0077796</v>
      </c>
      <c r="L89" s="58">
        <f t="shared" si="28"/>
        <v>61.381711512</v>
      </c>
      <c r="M89" s="111" t="s">
        <v>79</v>
      </c>
      <c r="N89" s="112"/>
    </row>
    <row r="90" customFormat="1" spans="1:14">
      <c r="A90" s="81">
        <v>8</v>
      </c>
      <c r="B90" s="98" t="s">
        <v>88</v>
      </c>
      <c r="C90" s="98" t="s">
        <v>89</v>
      </c>
      <c r="D90" s="99" t="s">
        <v>90</v>
      </c>
      <c r="E90" s="62">
        <v>1</v>
      </c>
      <c r="F90" s="58">
        <f>$F$14</f>
        <v>145</v>
      </c>
      <c r="G90" s="97">
        <f>$G$14</f>
        <v>935</v>
      </c>
      <c r="H90" s="58">
        <f>$H$14</f>
        <v>142.464</v>
      </c>
      <c r="I90" s="108">
        <f>SUM(F90:H90)*$I$4</f>
        <v>122.2464</v>
      </c>
      <c r="J90" s="108">
        <f>SUM(F90:I90)*$J$4</f>
        <v>121.023936</v>
      </c>
      <c r="K90" s="58">
        <f t="shared" si="27"/>
        <v>1465.734336</v>
      </c>
      <c r="L90" s="58">
        <f t="shared" si="28"/>
        <v>1465.734336</v>
      </c>
      <c r="M90" s="58" t="s">
        <v>91</v>
      </c>
      <c r="N90" s="109"/>
    </row>
    <row r="91" customFormat="1" spans="1:14">
      <c r="A91" s="81">
        <v>9</v>
      </c>
      <c r="B91" s="81" t="s">
        <v>92</v>
      </c>
      <c r="C91" s="81"/>
      <c r="D91" s="81" t="s">
        <v>93</v>
      </c>
      <c r="E91" s="62"/>
      <c r="F91" s="58"/>
      <c r="G91" s="97"/>
      <c r="H91" s="58"/>
      <c r="I91" s="108"/>
      <c r="J91" s="108"/>
      <c r="K91" s="58"/>
      <c r="L91" s="58">
        <f>SUM(L82:L90)</f>
        <v>28912.2790071955</v>
      </c>
      <c r="M91" s="58"/>
      <c r="N91" s="109"/>
    </row>
    <row r="92" customFormat="1" spans="1:14">
      <c r="A92" s="81" t="s">
        <v>116</v>
      </c>
      <c r="B92" s="98" t="s">
        <v>117</v>
      </c>
      <c r="C92" s="98" t="s">
        <v>66</v>
      </c>
      <c r="D92" s="99"/>
      <c r="E92" s="62"/>
      <c r="F92" s="58"/>
      <c r="G92" s="97"/>
      <c r="H92" s="58"/>
      <c r="I92" s="108"/>
      <c r="J92" s="108"/>
      <c r="K92" s="58"/>
      <c r="L92" s="58"/>
      <c r="M92" s="58"/>
      <c r="N92" s="109"/>
    </row>
    <row r="93" customFormat="1" ht="78.75" spans="1:14">
      <c r="A93" s="81">
        <v>1</v>
      </c>
      <c r="B93" s="98" t="s">
        <v>68</v>
      </c>
      <c r="C93" s="98" t="s">
        <v>69</v>
      </c>
      <c r="D93" s="99" t="s">
        <v>70</v>
      </c>
      <c r="E93" s="62">
        <f>SUM([1]门头石材铝板工程量计算式!F225:F243)/1000</f>
        <v>0.34108084</v>
      </c>
      <c r="F93" s="58">
        <f>$F$6</f>
        <v>2120</v>
      </c>
      <c r="G93" s="97">
        <f>$G$6</f>
        <v>5512</v>
      </c>
      <c r="H93" s="58">
        <f>$H$6</f>
        <v>2650</v>
      </c>
      <c r="I93" s="108">
        <f>SUM(F93:H93)*$I$4</f>
        <v>1028.2</v>
      </c>
      <c r="J93" s="108">
        <f>SUM(F93:I93)*$J$4</f>
        <v>1017.918</v>
      </c>
      <c r="K93" s="58">
        <f t="shared" ref="K93:K100" si="30">SUM(F93:J93)</f>
        <v>12328.118</v>
      </c>
      <c r="L93" s="58">
        <f t="shared" ref="L93:L100" si="31">K93*E93</f>
        <v>4204.88484305912</v>
      </c>
      <c r="M93" s="58"/>
      <c r="N93" s="109">
        <f>E93*K93</f>
        <v>4204.88484305912</v>
      </c>
    </row>
    <row r="94" customFormat="1" ht="33.75" spans="1:14">
      <c r="A94" s="81">
        <v>2</v>
      </c>
      <c r="B94" s="98" t="s">
        <v>71</v>
      </c>
      <c r="C94" s="98" t="s">
        <v>75</v>
      </c>
      <c r="D94" s="99" t="s">
        <v>73</v>
      </c>
      <c r="E94" s="62">
        <f>[1]门头石材铝板工程量计算式!D229+[1]门头石材铝板工程量计算式!D236+[1]门头石材铝板工程量计算式!D243</f>
        <v>22</v>
      </c>
      <c r="F94" s="58">
        <f t="shared" ref="F94:H94" si="32">F8</f>
        <v>32</v>
      </c>
      <c r="G94" s="97">
        <f t="shared" si="32"/>
        <v>20.14</v>
      </c>
      <c r="H94" s="58">
        <f t="shared" si="32"/>
        <v>26.712</v>
      </c>
      <c r="I94" s="108">
        <f>SUM(F94:H94)*$I$4</f>
        <v>7.8852</v>
      </c>
      <c r="J94" s="108">
        <f>SUM(F94:I94)*$J$4</f>
        <v>7.806348</v>
      </c>
      <c r="K94" s="58">
        <f t="shared" si="30"/>
        <v>94.543548</v>
      </c>
      <c r="L94" s="58">
        <f t="shared" si="31"/>
        <v>2079.958056</v>
      </c>
      <c r="M94" s="58"/>
      <c r="N94" s="109">
        <f t="shared" ref="N94:N100" si="33">E94*K94</f>
        <v>2079.958056</v>
      </c>
    </row>
    <row r="95" customFormat="1" ht="56.25" spans="1:14">
      <c r="A95" s="81">
        <v>3</v>
      </c>
      <c r="B95" s="98" t="s">
        <v>76</v>
      </c>
      <c r="C95" s="98" t="s">
        <v>77</v>
      </c>
      <c r="D95" s="99" t="s">
        <v>78</v>
      </c>
      <c r="E95" s="62">
        <f>[1]门头石材铝板工程量计算式!D245</f>
        <v>9.324</v>
      </c>
      <c r="F95" s="58">
        <f>$F$9</f>
        <v>95</v>
      </c>
      <c r="G95" s="97">
        <f>$G$9</f>
        <v>269.028</v>
      </c>
      <c r="H95" s="58">
        <f>$H$9</f>
        <v>67.6068</v>
      </c>
      <c r="I95" s="108">
        <f>SUM(F95:H95)*$I$4</f>
        <v>43.16348</v>
      </c>
      <c r="J95" s="108">
        <f>SUM(F95:I95)*$J$4</f>
        <v>42.7318452</v>
      </c>
      <c r="K95" s="58">
        <f t="shared" si="30"/>
        <v>517.5301252</v>
      </c>
      <c r="L95" s="58">
        <f t="shared" si="31"/>
        <v>4825.4508873648</v>
      </c>
      <c r="M95" s="111" t="s">
        <v>79</v>
      </c>
      <c r="N95" s="109">
        <f t="shared" si="33"/>
        <v>4825.4508873648</v>
      </c>
    </row>
    <row r="96" customFormat="1" ht="33.75" spans="1:14">
      <c r="A96" s="81">
        <v>4</v>
      </c>
      <c r="B96" s="98" t="s">
        <v>80</v>
      </c>
      <c r="C96" s="98" t="s">
        <v>81</v>
      </c>
      <c r="D96" s="99" t="s">
        <v>78</v>
      </c>
      <c r="E96" s="62">
        <f>[1]门头石材铝板工程量计算式!D246</f>
        <v>29.7598</v>
      </c>
      <c r="F96" s="58">
        <f>$F$10</f>
        <v>90</v>
      </c>
      <c r="G96" s="97">
        <f>$G$10</f>
        <v>272.685</v>
      </c>
      <c r="H96" s="58">
        <f>$H$10</f>
        <v>15.9</v>
      </c>
      <c r="I96" s="108">
        <f>SUM(F96:H96)*$I$4</f>
        <v>37.8585</v>
      </c>
      <c r="J96" s="108">
        <f>SUM(F96:I96)*$J$4</f>
        <v>37.479915</v>
      </c>
      <c r="K96" s="58">
        <f t="shared" si="30"/>
        <v>453.923415</v>
      </c>
      <c r="L96" s="58">
        <f t="shared" si="31"/>
        <v>13508.670045717</v>
      </c>
      <c r="M96" s="111" t="s">
        <v>79</v>
      </c>
      <c r="N96" s="109">
        <f t="shared" si="33"/>
        <v>13508.670045717</v>
      </c>
    </row>
    <row r="97" customFormat="1" ht="45" spans="1:14">
      <c r="A97" s="81">
        <v>5</v>
      </c>
      <c r="B97" s="98" t="s">
        <v>82</v>
      </c>
      <c r="C97" s="98" t="s">
        <v>83</v>
      </c>
      <c r="D97" s="99" t="s">
        <v>84</v>
      </c>
      <c r="E97" s="62">
        <v>3.5</v>
      </c>
      <c r="F97" s="58">
        <f>$F$11</f>
        <v>15.9</v>
      </c>
      <c r="G97" s="97">
        <f>$G$11</f>
        <v>35.828</v>
      </c>
      <c r="H97" s="58">
        <f>$H$11</f>
        <v>2</v>
      </c>
      <c r="I97" s="108">
        <f>SUM(F97:H97)*$I$4</f>
        <v>5.3728</v>
      </c>
      <c r="J97" s="108">
        <f>SUM(F97:I97)*$J$4</f>
        <v>5.319072</v>
      </c>
      <c r="K97" s="58">
        <f t="shared" si="30"/>
        <v>64.419872</v>
      </c>
      <c r="L97" s="58">
        <f t="shared" si="31"/>
        <v>225.469552</v>
      </c>
      <c r="M97" s="58"/>
      <c r="N97" s="109">
        <f t="shared" si="33"/>
        <v>225.469552</v>
      </c>
    </row>
    <row r="98" customFormat="1" ht="22.5" spans="1:14">
      <c r="A98" s="81">
        <v>6</v>
      </c>
      <c r="B98" s="98" t="s">
        <v>85</v>
      </c>
      <c r="C98" s="98" t="s">
        <v>86</v>
      </c>
      <c r="D98" s="99" t="s">
        <v>84</v>
      </c>
      <c r="E98" s="62">
        <v>3.5</v>
      </c>
      <c r="F98" s="58">
        <f>$F$12</f>
        <v>31.8</v>
      </c>
      <c r="G98" s="97">
        <f>$G$12</f>
        <v>24.168</v>
      </c>
      <c r="H98" s="58">
        <f>$H$12</f>
        <v>5.3</v>
      </c>
      <c r="I98" s="108">
        <f>SUM(F98:H98)*$I$4</f>
        <v>6.1268</v>
      </c>
      <c r="J98" s="108">
        <f>SUM(F98:I98)*$J$4</f>
        <v>6.065532</v>
      </c>
      <c r="K98" s="58">
        <f t="shared" si="30"/>
        <v>73.460332</v>
      </c>
      <c r="L98" s="58">
        <f t="shared" si="31"/>
        <v>257.111162</v>
      </c>
      <c r="M98" s="58"/>
      <c r="N98" s="109">
        <f t="shared" si="33"/>
        <v>257.111162</v>
      </c>
    </row>
    <row r="99" customFormat="1" ht="27" spans="1:14">
      <c r="A99" s="81">
        <v>7</v>
      </c>
      <c r="B99" s="98" t="s">
        <v>82</v>
      </c>
      <c r="C99" s="98" t="s">
        <v>87</v>
      </c>
      <c r="D99" s="99" t="s">
        <v>78</v>
      </c>
      <c r="E99" s="62">
        <f>0.55*0.2*2</f>
        <v>0.22</v>
      </c>
      <c r="F99" s="58">
        <f>$F$13</f>
        <v>85</v>
      </c>
      <c r="G99" s="97">
        <f>$G$13</f>
        <v>121.2004</v>
      </c>
      <c r="H99" s="58">
        <f>$H$13</f>
        <v>26.5</v>
      </c>
      <c r="I99" s="108">
        <f>SUM(F99:H99)*$I$4</f>
        <v>23.27004</v>
      </c>
      <c r="J99" s="108">
        <f>SUM(F99:I99)*$J$4</f>
        <v>23.0373396</v>
      </c>
      <c r="K99" s="58">
        <f t="shared" si="30"/>
        <v>279.0077796</v>
      </c>
      <c r="L99" s="58">
        <f t="shared" si="31"/>
        <v>61.381711512</v>
      </c>
      <c r="M99" s="111" t="s">
        <v>79</v>
      </c>
      <c r="N99" s="109">
        <f t="shared" si="33"/>
        <v>61.381711512</v>
      </c>
    </row>
    <row r="100" customFormat="1" spans="1:14">
      <c r="A100" s="81">
        <v>8</v>
      </c>
      <c r="B100" s="98" t="s">
        <v>88</v>
      </c>
      <c r="C100" s="98" t="s">
        <v>89</v>
      </c>
      <c r="D100" s="99" t="s">
        <v>90</v>
      </c>
      <c r="E100" s="62">
        <v>1</v>
      </c>
      <c r="F100" s="58">
        <f>$F$14</f>
        <v>145</v>
      </c>
      <c r="G100" s="97">
        <f>$G$14</f>
        <v>935</v>
      </c>
      <c r="H100" s="58">
        <f>$H$14</f>
        <v>142.464</v>
      </c>
      <c r="I100" s="108">
        <f>SUM(F100:H100)*$I$4</f>
        <v>122.2464</v>
      </c>
      <c r="J100" s="108">
        <f>SUM(F100:I100)*$J$4</f>
        <v>121.023936</v>
      </c>
      <c r="K100" s="58">
        <f t="shared" si="30"/>
        <v>1465.734336</v>
      </c>
      <c r="L100" s="58">
        <f t="shared" si="31"/>
        <v>1465.734336</v>
      </c>
      <c r="M100" s="58" t="s">
        <v>91</v>
      </c>
      <c r="N100" s="109">
        <f t="shared" si="33"/>
        <v>1465.734336</v>
      </c>
    </row>
    <row r="101" customFormat="1" spans="1:14">
      <c r="A101" s="81">
        <v>9</v>
      </c>
      <c r="B101" s="81" t="s">
        <v>92</v>
      </c>
      <c r="C101" s="81"/>
      <c r="D101" s="81" t="s">
        <v>93</v>
      </c>
      <c r="E101" s="62"/>
      <c r="F101" s="58"/>
      <c r="G101" s="97"/>
      <c r="H101" s="58"/>
      <c r="I101" s="108"/>
      <c r="J101" s="108"/>
      <c r="K101" s="58"/>
      <c r="L101" s="58">
        <f>SUM(L92:L100)</f>
        <v>26628.6605936529</v>
      </c>
      <c r="M101" s="58"/>
      <c r="N101" s="58">
        <f>SUM(N92:N100)</f>
        <v>26628.6605936529</v>
      </c>
    </row>
    <row r="102" customFormat="1" spans="1:14">
      <c r="A102" s="81" t="s">
        <v>118</v>
      </c>
      <c r="B102" s="98" t="s">
        <v>119</v>
      </c>
      <c r="C102" s="98" t="s">
        <v>66</v>
      </c>
      <c r="D102" s="99"/>
      <c r="E102" s="62"/>
      <c r="F102" s="58"/>
      <c r="G102" s="97"/>
      <c r="H102" s="58"/>
      <c r="I102" s="108"/>
      <c r="J102" s="108"/>
      <c r="K102" s="58"/>
      <c r="L102" s="58"/>
      <c r="M102" s="58"/>
      <c r="N102" s="109"/>
    </row>
    <row r="103" customFormat="1" ht="78.75" spans="1:14">
      <c r="A103" s="81">
        <v>1</v>
      </c>
      <c r="B103" s="98" t="s">
        <v>68</v>
      </c>
      <c r="C103" s="98" t="s">
        <v>69</v>
      </c>
      <c r="D103" s="99" t="s">
        <v>70</v>
      </c>
      <c r="E103" s="62">
        <f>SUM([1]门头石材铝板工程量计算式!F249:F269)/1000</f>
        <v>0.34108084</v>
      </c>
      <c r="F103" s="58">
        <f>$F$6</f>
        <v>2120</v>
      </c>
      <c r="G103" s="97">
        <f>$G$6</f>
        <v>5512</v>
      </c>
      <c r="H103" s="58">
        <f>$H$6</f>
        <v>2650</v>
      </c>
      <c r="I103" s="108">
        <f>SUM(F103:H103)*$I$4</f>
        <v>1028.2</v>
      </c>
      <c r="J103" s="108">
        <f>SUM(F103:I103)*$J$4</f>
        <v>1017.918</v>
      </c>
      <c r="K103" s="58">
        <f t="shared" ref="K103:K110" si="34">SUM(F103:J103)</f>
        <v>12328.118</v>
      </c>
      <c r="L103" s="58">
        <f t="shared" ref="L103:L110" si="35">K103*E103</f>
        <v>4204.88484305912</v>
      </c>
      <c r="M103" s="58"/>
      <c r="N103" s="109">
        <f>E103*K103</f>
        <v>4204.88484305912</v>
      </c>
    </row>
    <row r="104" customFormat="1" ht="33.75" spans="1:14">
      <c r="A104" s="81">
        <v>2</v>
      </c>
      <c r="B104" s="98" t="s">
        <v>71</v>
      </c>
      <c r="C104" s="98" t="s">
        <v>75</v>
      </c>
      <c r="D104" s="99" t="s">
        <v>73</v>
      </c>
      <c r="E104" s="62">
        <f>[1]门头石材铝板工程量计算式!D254+[1]门头石材铝板工程量计算式!D261+[1]门头石材铝板工程量计算式!D268</f>
        <v>22</v>
      </c>
      <c r="F104" s="58">
        <f t="shared" ref="F104:H104" si="36">F8</f>
        <v>32</v>
      </c>
      <c r="G104" s="97">
        <f t="shared" si="36"/>
        <v>20.14</v>
      </c>
      <c r="H104" s="58">
        <f t="shared" si="36"/>
        <v>26.712</v>
      </c>
      <c r="I104" s="108">
        <f>SUM(F104:H104)*$I$4</f>
        <v>7.8852</v>
      </c>
      <c r="J104" s="108">
        <f>SUM(F104:I104)*$J$4</f>
        <v>7.806348</v>
      </c>
      <c r="K104" s="58">
        <f t="shared" si="34"/>
        <v>94.543548</v>
      </c>
      <c r="L104" s="58">
        <f t="shared" si="35"/>
        <v>2079.958056</v>
      </c>
      <c r="M104" s="58"/>
      <c r="N104" s="109">
        <f t="shared" ref="N104:N110" si="37">E104*K104</f>
        <v>2079.958056</v>
      </c>
    </row>
    <row r="105" customFormat="1" ht="56.25" spans="1:14">
      <c r="A105" s="81">
        <v>3</v>
      </c>
      <c r="B105" s="98" t="s">
        <v>76</v>
      </c>
      <c r="C105" s="98" t="s">
        <v>77</v>
      </c>
      <c r="D105" s="99" t="s">
        <v>78</v>
      </c>
      <c r="E105" s="62">
        <f>[1]门头石材铝板工程量计算式!D270</f>
        <v>9.324</v>
      </c>
      <c r="F105" s="58">
        <f>$F$9</f>
        <v>95</v>
      </c>
      <c r="G105" s="97">
        <f>$G$9</f>
        <v>269.028</v>
      </c>
      <c r="H105" s="58">
        <f>$H$9</f>
        <v>67.6068</v>
      </c>
      <c r="I105" s="108">
        <f>SUM(F105:H105)*$I$4</f>
        <v>43.16348</v>
      </c>
      <c r="J105" s="108">
        <f>SUM(F105:I105)*$J$4</f>
        <v>42.7318452</v>
      </c>
      <c r="K105" s="58">
        <f t="shared" si="34"/>
        <v>517.5301252</v>
      </c>
      <c r="L105" s="58">
        <f t="shared" si="35"/>
        <v>4825.4508873648</v>
      </c>
      <c r="M105" s="111" t="s">
        <v>79</v>
      </c>
      <c r="N105" s="109">
        <f t="shared" si="37"/>
        <v>4825.4508873648</v>
      </c>
    </row>
    <row r="106" customFormat="1" ht="33.75" spans="1:14">
      <c r="A106" s="81">
        <v>4</v>
      </c>
      <c r="B106" s="98" t="s">
        <v>80</v>
      </c>
      <c r="C106" s="98" t="s">
        <v>81</v>
      </c>
      <c r="D106" s="99" t="s">
        <v>78</v>
      </c>
      <c r="E106" s="62">
        <f>[1]门头石材铝板工程量计算式!D271</f>
        <v>29.4898</v>
      </c>
      <c r="F106" s="58">
        <f>$F$10</f>
        <v>90</v>
      </c>
      <c r="G106" s="97">
        <f>$G$10</f>
        <v>272.685</v>
      </c>
      <c r="H106" s="58">
        <f>$H$10</f>
        <v>15.9</v>
      </c>
      <c r="I106" s="108">
        <f>SUM(F106:H106)*$I$4</f>
        <v>37.8585</v>
      </c>
      <c r="J106" s="108">
        <f>SUM(F106:I106)*$J$4</f>
        <v>37.479915</v>
      </c>
      <c r="K106" s="58">
        <f t="shared" si="34"/>
        <v>453.923415</v>
      </c>
      <c r="L106" s="58">
        <f t="shared" si="35"/>
        <v>13386.110723667</v>
      </c>
      <c r="M106" s="111" t="s">
        <v>79</v>
      </c>
      <c r="N106" s="109">
        <f t="shared" si="37"/>
        <v>13386.110723667</v>
      </c>
    </row>
    <row r="107" customFormat="1" ht="45" spans="1:14">
      <c r="A107" s="81">
        <v>5</v>
      </c>
      <c r="B107" s="98" t="s">
        <v>82</v>
      </c>
      <c r="C107" s="98" t="s">
        <v>83</v>
      </c>
      <c r="D107" s="99" t="s">
        <v>84</v>
      </c>
      <c r="E107" s="62">
        <v>3.5</v>
      </c>
      <c r="F107" s="58">
        <f>$F$11</f>
        <v>15.9</v>
      </c>
      <c r="G107" s="97">
        <f>$G$11</f>
        <v>35.828</v>
      </c>
      <c r="H107" s="58">
        <f>$H$11</f>
        <v>2</v>
      </c>
      <c r="I107" s="108">
        <f>SUM(F107:H107)*$I$4</f>
        <v>5.3728</v>
      </c>
      <c r="J107" s="108">
        <f>SUM(F107:I107)*$J$4</f>
        <v>5.319072</v>
      </c>
      <c r="K107" s="58">
        <f t="shared" si="34"/>
        <v>64.419872</v>
      </c>
      <c r="L107" s="58">
        <f t="shared" si="35"/>
        <v>225.469552</v>
      </c>
      <c r="M107" s="58"/>
      <c r="N107" s="109">
        <f t="shared" si="37"/>
        <v>225.469552</v>
      </c>
    </row>
    <row r="108" customFormat="1" ht="22.5" spans="1:14">
      <c r="A108" s="81">
        <v>6</v>
      </c>
      <c r="B108" s="98" t="s">
        <v>85</v>
      </c>
      <c r="C108" s="98" t="s">
        <v>86</v>
      </c>
      <c r="D108" s="99" t="s">
        <v>84</v>
      </c>
      <c r="E108" s="62">
        <v>3.5</v>
      </c>
      <c r="F108" s="58">
        <f>$F$12</f>
        <v>31.8</v>
      </c>
      <c r="G108" s="97">
        <f>$G$12</f>
        <v>24.168</v>
      </c>
      <c r="H108" s="58">
        <f>$H$12</f>
        <v>5.3</v>
      </c>
      <c r="I108" s="108">
        <f>SUM(F108:H108)*$I$4</f>
        <v>6.1268</v>
      </c>
      <c r="J108" s="108">
        <f>SUM(F108:I108)*$J$4</f>
        <v>6.065532</v>
      </c>
      <c r="K108" s="58">
        <f t="shared" si="34"/>
        <v>73.460332</v>
      </c>
      <c r="L108" s="58">
        <f t="shared" si="35"/>
        <v>257.111162</v>
      </c>
      <c r="M108" s="58"/>
      <c r="N108" s="109">
        <f t="shared" si="37"/>
        <v>257.111162</v>
      </c>
    </row>
    <row r="109" customFormat="1" ht="27" spans="1:14">
      <c r="A109" s="81">
        <v>7</v>
      </c>
      <c r="B109" s="98" t="s">
        <v>82</v>
      </c>
      <c r="C109" s="98" t="s">
        <v>87</v>
      </c>
      <c r="D109" s="99" t="s">
        <v>78</v>
      </c>
      <c r="E109" s="62">
        <f>0.55*0.2*2</f>
        <v>0.22</v>
      </c>
      <c r="F109" s="58">
        <f>$F$13</f>
        <v>85</v>
      </c>
      <c r="G109" s="97">
        <f>$G$13</f>
        <v>121.2004</v>
      </c>
      <c r="H109" s="58">
        <f>$H$13</f>
        <v>26.5</v>
      </c>
      <c r="I109" s="108">
        <f>SUM(F109:H109)*$I$4</f>
        <v>23.27004</v>
      </c>
      <c r="J109" s="108">
        <f>SUM(F109:I109)*$J$4</f>
        <v>23.0373396</v>
      </c>
      <c r="K109" s="58">
        <f t="shared" si="34"/>
        <v>279.0077796</v>
      </c>
      <c r="L109" s="58">
        <f t="shared" si="35"/>
        <v>61.381711512</v>
      </c>
      <c r="M109" s="111" t="s">
        <v>79</v>
      </c>
      <c r="N109" s="109">
        <f t="shared" si="37"/>
        <v>61.381711512</v>
      </c>
    </row>
    <row r="110" customFormat="1" spans="1:14">
      <c r="A110" s="81">
        <v>8</v>
      </c>
      <c r="B110" s="98" t="s">
        <v>88</v>
      </c>
      <c r="C110" s="98" t="s">
        <v>89</v>
      </c>
      <c r="D110" s="99" t="s">
        <v>90</v>
      </c>
      <c r="E110" s="62">
        <v>1</v>
      </c>
      <c r="F110" s="58">
        <f>$F$14</f>
        <v>145</v>
      </c>
      <c r="G110" s="97">
        <f>$G$14</f>
        <v>935</v>
      </c>
      <c r="H110" s="58">
        <f>$H$14</f>
        <v>142.464</v>
      </c>
      <c r="I110" s="108">
        <f>SUM(F110:H110)*$I$4</f>
        <v>122.2464</v>
      </c>
      <c r="J110" s="108">
        <f>SUM(F110:I110)*$J$4</f>
        <v>121.023936</v>
      </c>
      <c r="K110" s="58">
        <f t="shared" si="34"/>
        <v>1465.734336</v>
      </c>
      <c r="L110" s="58">
        <f t="shared" si="35"/>
        <v>1465.734336</v>
      </c>
      <c r="M110" s="58" t="s">
        <v>91</v>
      </c>
      <c r="N110" s="109">
        <f t="shared" si="37"/>
        <v>1465.734336</v>
      </c>
    </row>
    <row r="111" customFormat="1" spans="1:14">
      <c r="A111" s="81">
        <v>9</v>
      </c>
      <c r="B111" s="81" t="s">
        <v>92</v>
      </c>
      <c r="C111" s="81"/>
      <c r="D111" s="81" t="s">
        <v>93</v>
      </c>
      <c r="E111" s="62"/>
      <c r="F111" s="58"/>
      <c r="G111" s="97"/>
      <c r="H111" s="58"/>
      <c r="I111" s="108"/>
      <c r="J111" s="108"/>
      <c r="K111" s="58"/>
      <c r="L111" s="58">
        <f>SUM(L102:L110)</f>
        <v>26506.1012716029</v>
      </c>
      <c r="M111" s="58"/>
      <c r="N111" s="58">
        <f>SUM(N102:N110)</f>
        <v>26506.1012716029</v>
      </c>
    </row>
  </sheetData>
  <mergeCells count="23">
    <mergeCell ref="A1:M1"/>
    <mergeCell ref="F2:J2"/>
    <mergeCell ref="B15:C15"/>
    <mergeCell ref="B29:C29"/>
    <mergeCell ref="B40:C40"/>
    <mergeCell ref="B51:C51"/>
    <mergeCell ref="B61:C61"/>
    <mergeCell ref="B71:C71"/>
    <mergeCell ref="B81:C81"/>
    <mergeCell ref="B91:C91"/>
    <mergeCell ref="B101:C101"/>
    <mergeCell ref="B111:C111"/>
    <mergeCell ref="A2:A4"/>
    <mergeCell ref="B2:B4"/>
    <mergeCell ref="C2:C4"/>
    <mergeCell ref="D2:D4"/>
    <mergeCell ref="E2:E4"/>
    <mergeCell ref="F3:F4"/>
    <mergeCell ref="G3:G4"/>
    <mergeCell ref="H3:H4"/>
    <mergeCell ref="K2:K4"/>
    <mergeCell ref="L2:L4"/>
    <mergeCell ref="M2:M4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9"/>
  <sheetViews>
    <sheetView topLeftCell="A32" workbookViewId="0">
      <selection activeCell="C50" sqref="C50"/>
    </sheetView>
  </sheetViews>
  <sheetFormatPr defaultColWidth="9" defaultRowHeight="13.5"/>
  <cols>
    <col min="1" max="1" width="7.125" style="49" customWidth="1"/>
    <col min="2" max="2" width="15.875" style="43" customWidth="1"/>
    <col min="3" max="3" width="38.125" style="43" customWidth="1"/>
    <col min="4" max="4" width="6.375" style="49" customWidth="1"/>
    <col min="5" max="5" width="9" style="50"/>
    <col min="6" max="6" width="6.5" style="51" customWidth="1"/>
    <col min="7" max="7" width="7.375" style="51" customWidth="1"/>
    <col min="8" max="8" width="10.75" style="51" customWidth="1"/>
    <col min="9" max="9" width="11" style="50" customWidth="1"/>
    <col min="10" max="11" width="9" style="50" customWidth="1"/>
    <col min="12" max="12" width="12.125" style="50" customWidth="1"/>
    <col min="13" max="14" width="15.625" style="49" customWidth="1"/>
    <col min="15" max="18" width="12.625" style="43" customWidth="1"/>
    <col min="19" max="19" width="9.375" style="43"/>
    <col min="20" max="20" width="10.375" style="43"/>
    <col min="21" max="21" width="9.375" style="43"/>
    <col min="22" max="16384" width="9" style="43"/>
  </cols>
  <sheetData>
    <row r="1" s="43" customFormat="1" ht="35.1" customHeight="1" spans="1:14">
      <c r="A1" s="52" t="s">
        <v>120</v>
      </c>
      <c r="B1" s="53"/>
      <c r="C1" s="52"/>
      <c r="D1" s="52"/>
      <c r="E1" s="54"/>
      <c r="F1" s="55"/>
      <c r="G1" s="55"/>
      <c r="H1" s="55"/>
      <c r="I1" s="54"/>
      <c r="J1" s="54"/>
      <c r="K1" s="54"/>
      <c r="L1" s="54"/>
      <c r="M1" s="52"/>
      <c r="N1" s="72"/>
    </row>
    <row r="2" s="44" customFormat="1" ht="33.95" customHeight="1" spans="1:14">
      <c r="A2" s="56" t="s">
        <v>1</v>
      </c>
      <c r="B2" s="56" t="s">
        <v>51</v>
      </c>
      <c r="C2" s="56" t="s">
        <v>52</v>
      </c>
      <c r="D2" s="56" t="s">
        <v>53</v>
      </c>
      <c r="E2" s="57" t="s">
        <v>54</v>
      </c>
      <c r="F2" s="58" t="s">
        <v>55</v>
      </c>
      <c r="G2" s="58"/>
      <c r="H2" s="58"/>
      <c r="I2" s="73"/>
      <c r="J2" s="73"/>
      <c r="K2" s="73" t="s">
        <v>56</v>
      </c>
      <c r="L2" s="73" t="s">
        <v>57</v>
      </c>
      <c r="M2" s="73" t="s">
        <v>58</v>
      </c>
      <c r="N2" s="74"/>
    </row>
    <row r="3" s="44" customFormat="1" ht="33.95" customHeight="1" spans="1:14">
      <c r="A3" s="56"/>
      <c r="B3" s="56"/>
      <c r="C3" s="56"/>
      <c r="D3" s="56"/>
      <c r="E3" s="57"/>
      <c r="F3" s="58" t="s">
        <v>59</v>
      </c>
      <c r="G3" s="58" t="s">
        <v>60</v>
      </c>
      <c r="H3" s="58" t="s">
        <v>61</v>
      </c>
      <c r="I3" s="73" t="s">
        <v>62</v>
      </c>
      <c r="J3" s="73" t="s">
        <v>63</v>
      </c>
      <c r="K3" s="73"/>
      <c r="L3" s="73"/>
      <c r="M3" s="73"/>
      <c r="N3" s="74"/>
    </row>
    <row r="4" s="44" customFormat="1" ht="21.95" customHeight="1" spans="1:14">
      <c r="A4" s="56"/>
      <c r="B4" s="56"/>
      <c r="C4" s="56"/>
      <c r="D4" s="56"/>
      <c r="E4" s="57"/>
      <c r="F4" s="58"/>
      <c r="G4" s="58"/>
      <c r="H4" s="58"/>
      <c r="I4" s="73">
        <v>0.1</v>
      </c>
      <c r="J4" s="73">
        <v>0.09</v>
      </c>
      <c r="K4" s="73"/>
      <c r="L4" s="73"/>
      <c r="M4" s="73"/>
      <c r="N4" s="74"/>
    </row>
    <row r="5" s="44" customFormat="1" ht="30" customHeight="1" spans="1:14">
      <c r="A5" s="56" t="s">
        <v>64</v>
      </c>
      <c r="B5" s="56" t="s">
        <v>121</v>
      </c>
      <c r="C5" s="56" t="s">
        <v>122</v>
      </c>
      <c r="D5" s="56"/>
      <c r="E5" s="57"/>
      <c r="F5" s="58"/>
      <c r="G5" s="58"/>
      <c r="H5" s="58"/>
      <c r="I5" s="73"/>
      <c r="J5" s="73"/>
      <c r="K5" s="73"/>
      <c r="L5" s="73"/>
      <c r="M5" s="73" t="s">
        <v>123</v>
      </c>
      <c r="N5" s="74"/>
    </row>
    <row r="6" s="45" customFormat="1" ht="29.1" customHeight="1" outlineLevel="1" spans="1:18">
      <c r="A6" s="56">
        <v>1</v>
      </c>
      <c r="B6" s="56" t="s">
        <v>124</v>
      </c>
      <c r="C6" s="56"/>
      <c r="D6" s="56"/>
      <c r="E6" s="57"/>
      <c r="F6" s="58"/>
      <c r="G6" s="58"/>
      <c r="H6" s="58"/>
      <c r="I6" s="73"/>
      <c r="J6" s="73"/>
      <c r="K6" s="73"/>
      <c r="L6" s="73"/>
      <c r="M6" s="73"/>
      <c r="N6" s="74"/>
      <c r="O6" s="43"/>
      <c r="P6" s="43"/>
      <c r="Q6" s="43"/>
      <c r="R6" s="43"/>
    </row>
    <row r="7" s="45" customFormat="1" ht="93" customHeight="1" outlineLevel="1" spans="1:21">
      <c r="A7" s="56">
        <v>1.1</v>
      </c>
      <c r="B7" s="56" t="s">
        <v>125</v>
      </c>
      <c r="C7" s="59" t="s">
        <v>126</v>
      </c>
      <c r="D7" s="56" t="s">
        <v>78</v>
      </c>
      <c r="E7" s="57">
        <v>29.02</v>
      </c>
      <c r="F7" s="58">
        <v>62</v>
      </c>
      <c r="G7" s="58">
        <v>58</v>
      </c>
      <c r="H7" s="58">
        <v>65</v>
      </c>
      <c r="I7" s="73">
        <f>SUM(F7:H7)*$I$4</f>
        <v>18.5</v>
      </c>
      <c r="J7" s="73">
        <f>SUM(F7:I7)*$J$4</f>
        <v>18.315</v>
      </c>
      <c r="K7" s="73">
        <f t="shared" ref="K7:K11" si="0">SUM(F7:J7)</f>
        <v>221.815</v>
      </c>
      <c r="L7" s="73">
        <f t="shared" ref="L7:L11" si="1">E7*K7</f>
        <v>6437.0713</v>
      </c>
      <c r="M7" s="73" t="s">
        <v>127</v>
      </c>
      <c r="N7" s="74"/>
      <c r="O7" s="43"/>
      <c r="P7" s="43"/>
      <c r="Q7" s="43"/>
      <c r="R7" s="43"/>
      <c r="S7" s="80"/>
      <c r="T7" s="80"/>
      <c r="U7" s="80"/>
    </row>
    <row r="8" s="45" customFormat="1" ht="26.1" customHeight="1" outlineLevel="1" spans="1:21">
      <c r="A8" s="56">
        <v>2</v>
      </c>
      <c r="B8" s="56" t="s">
        <v>128</v>
      </c>
      <c r="C8" s="56"/>
      <c r="D8" s="56"/>
      <c r="E8" s="57"/>
      <c r="F8" s="58"/>
      <c r="G8" s="58"/>
      <c r="H8" s="58"/>
      <c r="I8" s="73"/>
      <c r="J8" s="73"/>
      <c r="K8" s="73"/>
      <c r="L8" s="73"/>
      <c r="M8" s="73"/>
      <c r="N8" s="74"/>
      <c r="O8" s="43"/>
      <c r="P8" s="43"/>
      <c r="Q8" s="43"/>
      <c r="R8" s="43"/>
      <c r="S8" s="80"/>
      <c r="T8" s="80"/>
      <c r="U8" s="80"/>
    </row>
    <row r="9" s="43" customFormat="1" ht="72.95" customHeight="1" outlineLevel="1" spans="1:21">
      <c r="A9" s="56">
        <v>2.1</v>
      </c>
      <c r="B9" s="60" t="s">
        <v>129</v>
      </c>
      <c r="C9" s="61" t="s">
        <v>130</v>
      </c>
      <c r="D9" s="56" t="s">
        <v>78</v>
      </c>
      <c r="E9" s="57">
        <f>3.09+6.2-4.65+6.98+17.2-0.96-2.35+23.82-1.9+12.34-2.85-2.15-0.52+12.33-2.457*2-2.5+9.54-2.04+9.54+2.3*2+1.58*2</f>
        <v>83.966</v>
      </c>
      <c r="F9" s="62">
        <v>55</v>
      </c>
      <c r="G9" s="62">
        <f>G7</f>
        <v>58</v>
      </c>
      <c r="H9" s="62">
        <v>25.4</v>
      </c>
      <c r="I9" s="73">
        <f>SUM(F9:H9)*$I$4</f>
        <v>13.84</v>
      </c>
      <c r="J9" s="73">
        <f>SUM(F9:I9)*$J$4</f>
        <v>13.7016</v>
      </c>
      <c r="K9" s="73">
        <f t="shared" si="0"/>
        <v>165.9416</v>
      </c>
      <c r="L9" s="73">
        <f t="shared" si="1"/>
        <v>13933.4523856</v>
      </c>
      <c r="M9" s="56"/>
      <c r="N9" s="75"/>
      <c r="S9" s="80"/>
      <c r="T9" s="80"/>
      <c r="U9" s="80"/>
    </row>
    <row r="10" s="45" customFormat="1" ht="44.1" customHeight="1" outlineLevel="1" spans="1:21">
      <c r="A10" s="56">
        <v>2.2</v>
      </c>
      <c r="B10" s="56" t="s">
        <v>131</v>
      </c>
      <c r="C10" s="59" t="s">
        <v>132</v>
      </c>
      <c r="D10" s="56" t="s">
        <v>78</v>
      </c>
      <c r="E10" s="57">
        <f>1.2*2.9+2*2.9</f>
        <v>9.28</v>
      </c>
      <c r="F10" s="58">
        <v>165</v>
      </c>
      <c r="G10" s="58">
        <v>153.7</v>
      </c>
      <c r="H10" s="58">
        <v>420</v>
      </c>
      <c r="I10" s="73">
        <f>SUM(F10:H10)*$I$4</f>
        <v>73.87</v>
      </c>
      <c r="J10" s="73">
        <f>SUM(F10:I10)*$J$4</f>
        <v>73.1313</v>
      </c>
      <c r="K10" s="73">
        <f t="shared" si="0"/>
        <v>885.7013</v>
      </c>
      <c r="L10" s="73">
        <f t="shared" si="1"/>
        <v>8219.308064</v>
      </c>
      <c r="M10" s="73"/>
      <c r="N10" s="74"/>
      <c r="O10" s="43"/>
      <c r="P10" s="43"/>
      <c r="Q10" s="43"/>
      <c r="R10" s="43"/>
      <c r="S10" s="80"/>
      <c r="T10" s="80"/>
      <c r="U10" s="80"/>
    </row>
    <row r="11" s="45" customFormat="1" ht="51" customHeight="1" outlineLevel="1" spans="1:21">
      <c r="A11" s="56">
        <v>2.3</v>
      </c>
      <c r="B11" s="56" t="s">
        <v>133</v>
      </c>
      <c r="C11" s="59" t="s">
        <v>134</v>
      </c>
      <c r="D11" s="56" t="s">
        <v>135</v>
      </c>
      <c r="E11" s="57">
        <v>1</v>
      </c>
      <c r="F11" s="58">
        <v>165</v>
      </c>
      <c r="G11" s="58">
        <v>324</v>
      </c>
      <c r="H11" s="58">
        <v>115</v>
      </c>
      <c r="I11" s="73">
        <f>SUM(F11:H11)*$I$4</f>
        <v>60.4</v>
      </c>
      <c r="J11" s="73">
        <f>SUM(F11:I11)*$J$4</f>
        <v>59.796</v>
      </c>
      <c r="K11" s="73">
        <f t="shared" si="0"/>
        <v>724.196</v>
      </c>
      <c r="L11" s="73">
        <f t="shared" si="1"/>
        <v>724.196</v>
      </c>
      <c r="M11" s="73"/>
      <c r="N11" s="74"/>
      <c r="P11" s="43"/>
      <c r="Q11" s="43"/>
      <c r="R11" s="43"/>
      <c r="S11" s="80"/>
      <c r="T11" s="80"/>
      <c r="U11" s="80"/>
    </row>
    <row r="12" s="45" customFormat="1" ht="30" customHeight="1" outlineLevel="1" spans="1:21">
      <c r="A12" s="56">
        <v>3</v>
      </c>
      <c r="B12" s="56" t="s">
        <v>136</v>
      </c>
      <c r="C12" s="56"/>
      <c r="D12" s="56"/>
      <c r="E12" s="57"/>
      <c r="F12" s="58"/>
      <c r="G12" s="58"/>
      <c r="H12" s="58"/>
      <c r="I12" s="73"/>
      <c r="J12" s="73"/>
      <c r="K12" s="73"/>
      <c r="L12" s="73"/>
      <c r="M12" s="73"/>
      <c r="N12" s="74"/>
      <c r="O12" s="43"/>
      <c r="P12" s="43"/>
      <c r="Q12" s="43"/>
      <c r="R12" s="43"/>
      <c r="S12" s="80"/>
      <c r="T12" s="80"/>
      <c r="U12" s="80"/>
    </row>
    <row r="13" s="45" customFormat="1" ht="124" customHeight="1" outlineLevel="1" spans="1:21">
      <c r="A13" s="56">
        <v>3.1</v>
      </c>
      <c r="B13" s="56" t="s">
        <v>137</v>
      </c>
      <c r="C13" s="59" t="s">
        <v>138</v>
      </c>
      <c r="D13" s="56" t="s">
        <v>139</v>
      </c>
      <c r="E13" s="57">
        <v>6</v>
      </c>
      <c r="F13" s="58">
        <v>114.904</v>
      </c>
      <c r="G13" s="58">
        <v>10.219248</v>
      </c>
      <c r="H13" s="58">
        <v>159</v>
      </c>
      <c r="I13" s="73">
        <f>SUM(F13:H13)*$I$4</f>
        <v>28.4123248</v>
      </c>
      <c r="J13" s="73">
        <f>SUM(F13:I13)*$J$4</f>
        <v>28.128201552</v>
      </c>
      <c r="K13" s="73">
        <f t="shared" ref="K13:K17" si="2">SUM(F13:J13)</f>
        <v>340.663774352</v>
      </c>
      <c r="L13" s="73">
        <f t="shared" ref="L13:L17" si="3">E13*K13</f>
        <v>2043.982646112</v>
      </c>
      <c r="M13" s="73"/>
      <c r="N13" s="74"/>
      <c r="O13" s="43"/>
      <c r="P13" s="50"/>
      <c r="Q13" s="43"/>
      <c r="R13" s="50"/>
      <c r="S13" s="80"/>
      <c r="T13" s="80"/>
      <c r="U13" s="80"/>
    </row>
    <row r="14" s="45" customFormat="1" ht="51.95" customHeight="1" outlineLevel="1" spans="1:21">
      <c r="A14" s="56">
        <v>3.2</v>
      </c>
      <c r="B14" s="56" t="s">
        <v>140</v>
      </c>
      <c r="C14" s="59" t="s">
        <v>141</v>
      </c>
      <c r="D14" s="56" t="s">
        <v>84</v>
      </c>
      <c r="E14" s="57">
        <v>7.98</v>
      </c>
      <c r="F14" s="58">
        <v>12</v>
      </c>
      <c r="G14" s="58">
        <v>24.1468</v>
      </c>
      <c r="H14" s="58">
        <v>4</v>
      </c>
      <c r="I14" s="73">
        <f>SUM(F14:H14)*$I$4</f>
        <v>4.01468</v>
      </c>
      <c r="J14" s="73">
        <f>SUM(F14:I14)*$J$4</f>
        <v>3.9745332</v>
      </c>
      <c r="K14" s="73">
        <f t="shared" si="2"/>
        <v>48.1360132</v>
      </c>
      <c r="L14" s="73">
        <f t="shared" si="3"/>
        <v>384.125385336</v>
      </c>
      <c r="M14" s="73"/>
      <c r="N14" s="74"/>
      <c r="O14" s="76"/>
      <c r="P14" s="50"/>
      <c r="Q14" s="76"/>
      <c r="R14" s="50"/>
      <c r="S14" s="80"/>
      <c r="T14" s="80"/>
      <c r="U14" s="80"/>
    </row>
    <row r="15" s="45" customFormat="1" ht="112" customHeight="1" outlineLevel="1" spans="1:21">
      <c r="A15" s="56">
        <v>3.3</v>
      </c>
      <c r="B15" s="56" t="s">
        <v>142</v>
      </c>
      <c r="C15" s="59" t="s">
        <v>143</v>
      </c>
      <c r="D15" s="56" t="s">
        <v>78</v>
      </c>
      <c r="E15" s="57">
        <f>2.08+2.01+4</f>
        <v>8.09</v>
      </c>
      <c r="F15" s="58">
        <v>75</v>
      </c>
      <c r="G15" s="58">
        <v>5</v>
      </c>
      <c r="H15" s="58">
        <v>62.2006</v>
      </c>
      <c r="I15" s="73">
        <f>SUM(F15:H15)*$I$4</f>
        <v>14.22006</v>
      </c>
      <c r="J15" s="73">
        <f>SUM(F15:I15)*$J$4</f>
        <v>14.0778594</v>
      </c>
      <c r="K15" s="73">
        <f t="shared" si="2"/>
        <v>170.4985194</v>
      </c>
      <c r="L15" s="73">
        <f t="shared" si="3"/>
        <v>1379.333021946</v>
      </c>
      <c r="M15" s="73"/>
      <c r="N15" s="74"/>
      <c r="O15" s="43"/>
      <c r="P15" s="43"/>
      <c r="Q15" s="43"/>
      <c r="R15" s="43"/>
      <c r="S15" s="80"/>
      <c r="T15" s="80"/>
      <c r="U15" s="80"/>
    </row>
    <row r="16" s="45" customFormat="1" ht="60" customHeight="1" outlineLevel="1" spans="1:21">
      <c r="A16" s="56">
        <v>3.4</v>
      </c>
      <c r="B16" s="56" t="s">
        <v>144</v>
      </c>
      <c r="C16" s="59" t="s">
        <v>145</v>
      </c>
      <c r="D16" s="56" t="s">
        <v>78</v>
      </c>
      <c r="E16" s="57">
        <v>6.37</v>
      </c>
      <c r="F16" s="58">
        <v>19</v>
      </c>
      <c r="G16" s="58">
        <f>G15</f>
        <v>5</v>
      </c>
      <c r="H16" s="58">
        <v>4</v>
      </c>
      <c r="I16" s="73">
        <f>SUM(F16:H16)*$I$4</f>
        <v>2.8</v>
      </c>
      <c r="J16" s="73">
        <f>SUM(F16:I16)*$J$4</f>
        <v>2.772</v>
      </c>
      <c r="K16" s="73">
        <f t="shared" si="2"/>
        <v>33.572</v>
      </c>
      <c r="L16" s="73">
        <f t="shared" si="3"/>
        <v>213.85364</v>
      </c>
      <c r="M16" s="73" t="s">
        <v>146</v>
      </c>
      <c r="N16" s="74"/>
      <c r="O16" s="43"/>
      <c r="P16" s="43"/>
      <c r="Q16" s="43"/>
      <c r="R16" s="43"/>
      <c r="S16" s="80"/>
      <c r="T16" s="80"/>
      <c r="U16" s="80"/>
    </row>
    <row r="17" s="45" customFormat="1" ht="68.1" customHeight="1" outlineLevel="1" spans="1:21">
      <c r="A17" s="56">
        <v>3.5</v>
      </c>
      <c r="B17" s="56" t="s">
        <v>147</v>
      </c>
      <c r="C17" s="59" t="s">
        <v>148</v>
      </c>
      <c r="D17" s="56" t="s">
        <v>84</v>
      </c>
      <c r="E17" s="57">
        <v>12.7</v>
      </c>
      <c r="F17" s="58">
        <v>38</v>
      </c>
      <c r="G17" s="58">
        <v>1.75</v>
      </c>
      <c r="H17" s="58">
        <v>54.537</v>
      </c>
      <c r="I17" s="73">
        <f>SUM(F17:H17)*$I$4</f>
        <v>9.4287</v>
      </c>
      <c r="J17" s="73">
        <f>SUM(F17:I17)*$J$4</f>
        <v>9.334413</v>
      </c>
      <c r="K17" s="73">
        <f t="shared" si="2"/>
        <v>113.050113</v>
      </c>
      <c r="L17" s="73">
        <f t="shared" si="3"/>
        <v>1435.7364351</v>
      </c>
      <c r="M17" s="77"/>
      <c r="N17" s="74"/>
      <c r="O17" s="43"/>
      <c r="P17" s="43"/>
      <c r="Q17" s="43"/>
      <c r="R17" s="43"/>
      <c r="S17" s="80"/>
      <c r="T17" s="80"/>
      <c r="U17" s="80"/>
    </row>
    <row r="18" s="45" customFormat="1" ht="39" customHeight="1" outlineLevel="1" spans="1:21">
      <c r="A18" s="56">
        <v>4</v>
      </c>
      <c r="B18" s="56" t="s">
        <v>92</v>
      </c>
      <c r="C18" s="56"/>
      <c r="D18" s="56" t="s">
        <v>93</v>
      </c>
      <c r="E18" s="57"/>
      <c r="F18" s="58"/>
      <c r="G18" s="58"/>
      <c r="H18" s="58"/>
      <c r="I18" s="73"/>
      <c r="J18" s="73"/>
      <c r="K18" s="73"/>
      <c r="L18" s="73">
        <f>SUM(L7:L17)</f>
        <v>34771.058878094</v>
      </c>
      <c r="M18" s="77"/>
      <c r="N18" s="74"/>
      <c r="O18" s="43"/>
      <c r="P18" s="43"/>
      <c r="Q18" s="43"/>
      <c r="R18" s="43"/>
      <c r="S18" s="80"/>
      <c r="T18" s="80"/>
      <c r="U18" s="80"/>
    </row>
    <row r="19" s="45" customFormat="1" ht="39" customHeight="1" spans="1:21">
      <c r="A19" s="56" t="s">
        <v>94</v>
      </c>
      <c r="B19" s="63" t="s">
        <v>149</v>
      </c>
      <c r="C19" s="56" t="s">
        <v>150</v>
      </c>
      <c r="D19" s="64"/>
      <c r="E19" s="65"/>
      <c r="F19" s="58"/>
      <c r="G19" s="58"/>
      <c r="H19" s="58"/>
      <c r="I19" s="73"/>
      <c r="J19" s="73"/>
      <c r="K19" s="73"/>
      <c r="L19" s="73"/>
      <c r="M19" s="73" t="s">
        <v>123</v>
      </c>
      <c r="N19" s="74"/>
      <c r="O19" s="43"/>
      <c r="P19" s="43"/>
      <c r="Q19" s="43"/>
      <c r="R19" s="43"/>
      <c r="S19" s="80"/>
      <c r="T19" s="80"/>
      <c r="U19" s="80"/>
    </row>
    <row r="20" s="45" customFormat="1" ht="39" customHeight="1" outlineLevel="1" spans="1:21">
      <c r="A20" s="66">
        <v>1</v>
      </c>
      <c r="B20" s="66" t="s">
        <v>124</v>
      </c>
      <c r="C20" s="66"/>
      <c r="D20" s="66"/>
      <c r="E20" s="67"/>
      <c r="F20" s="58"/>
      <c r="G20" s="58"/>
      <c r="H20" s="58"/>
      <c r="I20" s="73"/>
      <c r="J20" s="73"/>
      <c r="K20" s="73"/>
      <c r="L20" s="73"/>
      <c r="M20" s="73"/>
      <c r="N20" s="74"/>
      <c r="O20" s="43"/>
      <c r="P20" s="43"/>
      <c r="Q20" s="43"/>
      <c r="R20" s="43"/>
      <c r="S20" s="80"/>
      <c r="T20" s="80"/>
      <c r="U20" s="80"/>
    </row>
    <row r="21" s="45" customFormat="1" ht="91" customHeight="1" outlineLevel="1" spans="1:21">
      <c r="A21" s="66">
        <v>1.1</v>
      </c>
      <c r="B21" s="66" t="s">
        <v>125</v>
      </c>
      <c r="C21" s="68" t="s">
        <v>151</v>
      </c>
      <c r="D21" s="66" t="s">
        <v>78</v>
      </c>
      <c r="E21" s="67">
        <f>41.46/2+1.26/2</f>
        <v>21.36</v>
      </c>
      <c r="F21" s="58">
        <f>$F$7</f>
        <v>62</v>
      </c>
      <c r="G21" s="58">
        <f>$G$7</f>
        <v>58</v>
      </c>
      <c r="H21" s="58">
        <f>$H$7</f>
        <v>65</v>
      </c>
      <c r="I21" s="73">
        <f>SUM(F21:H21)*$I$4</f>
        <v>18.5</v>
      </c>
      <c r="J21" s="73">
        <f>SUM(F21:I21)*$J$4</f>
        <v>18.315</v>
      </c>
      <c r="K21" s="73">
        <f t="shared" ref="K21:K28" si="4">SUM(F21:J21)</f>
        <v>221.815</v>
      </c>
      <c r="L21" s="73">
        <f t="shared" ref="L21:L28" si="5">E21*K21</f>
        <v>4737.9684</v>
      </c>
      <c r="M21" s="73" t="s">
        <v>152</v>
      </c>
      <c r="N21" s="74"/>
      <c r="O21" s="43"/>
      <c r="P21" s="43"/>
      <c r="Q21" s="43"/>
      <c r="R21" s="43"/>
      <c r="S21" s="80"/>
      <c r="T21" s="80"/>
      <c r="U21" s="80"/>
    </row>
    <row r="22" s="45" customFormat="1" ht="39" customHeight="1" outlineLevel="1" spans="1:21">
      <c r="A22" s="66">
        <v>2</v>
      </c>
      <c r="B22" s="66" t="s">
        <v>128</v>
      </c>
      <c r="C22" s="66"/>
      <c r="D22" s="66"/>
      <c r="E22" s="67"/>
      <c r="F22" s="58"/>
      <c r="G22" s="58"/>
      <c r="H22" s="58"/>
      <c r="I22" s="73"/>
      <c r="J22" s="73"/>
      <c r="K22" s="73"/>
      <c r="L22" s="73"/>
      <c r="M22" s="73"/>
      <c r="N22" s="74"/>
      <c r="O22" s="43"/>
      <c r="P22" s="43"/>
      <c r="Q22" s="43"/>
      <c r="R22" s="43"/>
      <c r="S22" s="80"/>
      <c r="T22" s="80"/>
      <c r="U22" s="80"/>
    </row>
    <row r="23" s="45" customFormat="1" ht="84" customHeight="1" outlineLevel="1" spans="1:21">
      <c r="A23" s="66">
        <v>2.1</v>
      </c>
      <c r="B23" s="69" t="s">
        <v>129</v>
      </c>
      <c r="C23" s="70" t="s">
        <v>153</v>
      </c>
      <c r="D23" s="66" t="s">
        <v>78</v>
      </c>
      <c r="E23" s="67">
        <f>94.34/2</f>
        <v>47.17</v>
      </c>
      <c r="F23" s="58">
        <f>$F$9</f>
        <v>55</v>
      </c>
      <c r="G23" s="58">
        <f>$G$9</f>
        <v>58</v>
      </c>
      <c r="H23" s="58">
        <f>$H$9</f>
        <v>25.4</v>
      </c>
      <c r="I23" s="73">
        <f>SUM(F23:H23)*$I$4</f>
        <v>13.84</v>
      </c>
      <c r="J23" s="73">
        <f>SUM(F23:I23)*$J$4</f>
        <v>13.7016</v>
      </c>
      <c r="K23" s="73">
        <f t="shared" si="4"/>
        <v>165.9416</v>
      </c>
      <c r="L23" s="73">
        <f t="shared" si="5"/>
        <v>7827.465272</v>
      </c>
      <c r="M23" s="73"/>
      <c r="N23" s="74"/>
      <c r="O23" s="43"/>
      <c r="P23" s="43"/>
      <c r="Q23" s="43"/>
      <c r="R23" s="43"/>
      <c r="S23" s="80"/>
      <c r="T23" s="80"/>
      <c r="U23" s="80"/>
    </row>
    <row r="24" s="45" customFormat="1" ht="52" customHeight="1" outlineLevel="1" spans="1:21">
      <c r="A24" s="66">
        <v>2.2</v>
      </c>
      <c r="B24" s="66" t="s">
        <v>133</v>
      </c>
      <c r="C24" s="68" t="s">
        <v>134</v>
      </c>
      <c r="D24" s="66" t="s">
        <v>135</v>
      </c>
      <c r="E24" s="67">
        <v>1</v>
      </c>
      <c r="F24" s="58">
        <f>$F$11</f>
        <v>165</v>
      </c>
      <c r="G24" s="58">
        <f>$G$11</f>
        <v>324</v>
      </c>
      <c r="H24" s="58">
        <f>$H$11</f>
        <v>115</v>
      </c>
      <c r="I24" s="73">
        <f>SUM(F24:H24)*$I$4</f>
        <v>60.4</v>
      </c>
      <c r="J24" s="73">
        <f>SUM(F24:I24)*$J$4</f>
        <v>59.796</v>
      </c>
      <c r="K24" s="73">
        <f t="shared" si="4"/>
        <v>724.196</v>
      </c>
      <c r="L24" s="73">
        <f t="shared" si="5"/>
        <v>724.196</v>
      </c>
      <c r="M24" s="73"/>
      <c r="N24" s="74"/>
      <c r="O24" s="43"/>
      <c r="P24" s="43"/>
      <c r="Q24" s="43"/>
      <c r="R24" s="43"/>
      <c r="S24" s="80"/>
      <c r="T24" s="80"/>
      <c r="U24" s="80"/>
    </row>
    <row r="25" s="45" customFormat="1" ht="46" customHeight="1" outlineLevel="1" spans="1:21">
      <c r="A25" s="66">
        <v>2.3</v>
      </c>
      <c r="B25" s="66" t="s">
        <v>154</v>
      </c>
      <c r="C25" s="68" t="s">
        <v>155</v>
      </c>
      <c r="D25" s="66" t="s">
        <v>78</v>
      </c>
      <c r="E25" s="67">
        <f>3.67/2</f>
        <v>1.835</v>
      </c>
      <c r="F25" s="58">
        <f>F14</f>
        <v>12</v>
      </c>
      <c r="G25" s="58">
        <v>19.6948</v>
      </c>
      <c r="H25" s="58">
        <v>1</v>
      </c>
      <c r="I25" s="73">
        <f>SUM(F25:H25)*$I$4</f>
        <v>3.26948</v>
      </c>
      <c r="J25" s="73">
        <f>SUM(F25:I25)*$J$4</f>
        <v>3.2367852</v>
      </c>
      <c r="K25" s="73">
        <f t="shared" si="4"/>
        <v>39.2010652</v>
      </c>
      <c r="L25" s="73">
        <f t="shared" si="5"/>
        <v>71.933954642</v>
      </c>
      <c r="M25" s="73"/>
      <c r="N25" s="74"/>
      <c r="O25" s="43"/>
      <c r="P25" s="43"/>
      <c r="Q25" s="43"/>
      <c r="R25" s="43"/>
      <c r="S25" s="80"/>
      <c r="T25" s="80"/>
      <c r="U25" s="80"/>
    </row>
    <row r="26" s="45" customFormat="1" ht="57" customHeight="1" outlineLevel="1" spans="1:21">
      <c r="A26" s="66">
        <v>2.4</v>
      </c>
      <c r="B26" s="66" t="s">
        <v>156</v>
      </c>
      <c r="C26" s="68" t="s">
        <v>157</v>
      </c>
      <c r="D26" s="66" t="s">
        <v>78</v>
      </c>
      <c r="E26" s="67">
        <f>2.4/2</f>
        <v>1.2</v>
      </c>
      <c r="F26" s="58">
        <f t="shared" ref="F26:H26" si="6">F16</f>
        <v>19</v>
      </c>
      <c r="G26" s="58">
        <f t="shared" si="6"/>
        <v>5</v>
      </c>
      <c r="H26" s="58">
        <f t="shared" si="6"/>
        <v>4</v>
      </c>
      <c r="I26" s="73">
        <f>SUM(F26:H26)*$I$4</f>
        <v>2.8</v>
      </c>
      <c r="J26" s="73">
        <f>SUM(F26:I26)*$J$4</f>
        <v>2.772</v>
      </c>
      <c r="K26" s="73">
        <f t="shared" si="4"/>
        <v>33.572</v>
      </c>
      <c r="L26" s="73">
        <f t="shared" si="5"/>
        <v>40.2864</v>
      </c>
      <c r="M26" s="73"/>
      <c r="N26" s="74"/>
      <c r="O26" s="43"/>
      <c r="P26" s="43"/>
      <c r="Q26" s="43"/>
      <c r="R26" s="43"/>
      <c r="S26" s="80"/>
      <c r="T26" s="80"/>
      <c r="U26" s="80"/>
    </row>
    <row r="27" s="45" customFormat="1" ht="59" customHeight="1" outlineLevel="1" spans="1:21">
      <c r="A27" s="66">
        <v>2.5</v>
      </c>
      <c r="B27" s="66" t="s">
        <v>158</v>
      </c>
      <c r="C27" s="68" t="s">
        <v>159</v>
      </c>
      <c r="D27" s="66" t="s">
        <v>78</v>
      </c>
      <c r="E27" s="67">
        <f>3.5/2</f>
        <v>1.75</v>
      </c>
      <c r="F27" s="58">
        <v>165</v>
      </c>
      <c r="G27" s="58">
        <v>1100</v>
      </c>
      <c r="H27" s="58">
        <v>0</v>
      </c>
      <c r="I27" s="73">
        <f>SUM(F27:H27)*$I$4</f>
        <v>126.5</v>
      </c>
      <c r="J27" s="73">
        <f>SUM(F27:I27)*$J$4</f>
        <v>125.235</v>
      </c>
      <c r="K27" s="73">
        <f t="shared" si="4"/>
        <v>1516.735</v>
      </c>
      <c r="L27" s="73">
        <f t="shared" si="5"/>
        <v>2654.28625</v>
      </c>
      <c r="M27" s="73"/>
      <c r="N27" s="74"/>
      <c r="O27" s="43"/>
      <c r="P27" s="43"/>
      <c r="Q27" s="43"/>
      <c r="R27" s="43"/>
      <c r="S27" s="80"/>
      <c r="T27" s="80"/>
      <c r="U27" s="80"/>
    </row>
    <row r="28" s="45" customFormat="1" ht="50" customHeight="1" outlineLevel="1" spans="1:21">
      <c r="A28" s="66">
        <v>2.6</v>
      </c>
      <c r="B28" s="66" t="s">
        <v>160</v>
      </c>
      <c r="C28" s="68" t="s">
        <v>161</v>
      </c>
      <c r="D28" s="66" t="s">
        <v>78</v>
      </c>
      <c r="E28" s="67">
        <f>9/2</f>
        <v>4.5</v>
      </c>
      <c r="F28" s="58">
        <f>F10</f>
        <v>165</v>
      </c>
      <c r="G28" s="58">
        <v>135</v>
      </c>
      <c r="H28" s="58">
        <f>H10</f>
        <v>420</v>
      </c>
      <c r="I28" s="73">
        <f>SUM(F28:H28)*$I$4</f>
        <v>72</v>
      </c>
      <c r="J28" s="73">
        <f>SUM(F28:I28)*$J$4</f>
        <v>71.28</v>
      </c>
      <c r="K28" s="73">
        <f t="shared" si="4"/>
        <v>863.28</v>
      </c>
      <c r="L28" s="73">
        <f t="shared" si="5"/>
        <v>3884.76</v>
      </c>
      <c r="M28" s="73"/>
      <c r="N28" s="74"/>
      <c r="O28" s="43"/>
      <c r="P28" s="43"/>
      <c r="Q28" s="43"/>
      <c r="R28" s="43"/>
      <c r="S28" s="80"/>
      <c r="T28" s="80"/>
      <c r="U28" s="80"/>
    </row>
    <row r="29" s="45" customFormat="1" ht="39" customHeight="1" outlineLevel="1" spans="1:21">
      <c r="A29" s="66">
        <v>3</v>
      </c>
      <c r="B29" s="66" t="s">
        <v>136</v>
      </c>
      <c r="C29" s="66"/>
      <c r="D29" s="66"/>
      <c r="E29" s="67"/>
      <c r="F29" s="58"/>
      <c r="G29" s="58"/>
      <c r="H29" s="58"/>
      <c r="I29" s="73"/>
      <c r="J29" s="73"/>
      <c r="K29" s="73"/>
      <c r="L29" s="73"/>
      <c r="M29" s="73"/>
      <c r="N29" s="74"/>
      <c r="O29" s="43"/>
      <c r="P29" s="43"/>
      <c r="Q29" s="43"/>
      <c r="R29" s="43"/>
      <c r="S29" s="80"/>
      <c r="T29" s="80"/>
      <c r="U29" s="80"/>
    </row>
    <row r="30" s="45" customFormat="1" ht="126" customHeight="1" outlineLevel="1" spans="1:21">
      <c r="A30" s="66">
        <v>3.1</v>
      </c>
      <c r="B30" s="66" t="s">
        <v>137</v>
      </c>
      <c r="C30" s="68" t="s">
        <v>162</v>
      </c>
      <c r="D30" s="66" t="s">
        <v>139</v>
      </c>
      <c r="E30" s="67">
        <f>15.86/2</f>
        <v>7.93</v>
      </c>
      <c r="F30" s="58">
        <f t="shared" ref="F30:H30" si="7">F13</f>
        <v>114.904</v>
      </c>
      <c r="G30" s="58">
        <f t="shared" si="7"/>
        <v>10.219248</v>
      </c>
      <c r="H30" s="58">
        <f t="shared" si="7"/>
        <v>159</v>
      </c>
      <c r="I30" s="73">
        <f>SUM(F30:H30)*$I$4</f>
        <v>28.4123248</v>
      </c>
      <c r="J30" s="73">
        <f>SUM(F30:I30)*$J$4</f>
        <v>28.128201552</v>
      </c>
      <c r="K30" s="73">
        <f t="shared" ref="K30:K34" si="8">SUM(F30:J30)</f>
        <v>340.663774352</v>
      </c>
      <c r="L30" s="73">
        <f t="shared" ref="L30:L34" si="9">E30*K30</f>
        <v>2701.46373061136</v>
      </c>
      <c r="M30" s="73"/>
      <c r="N30" s="74"/>
      <c r="O30" s="43"/>
      <c r="P30" s="43"/>
      <c r="Q30" s="43"/>
      <c r="R30" s="43"/>
      <c r="S30" s="80"/>
      <c r="T30" s="80"/>
      <c r="U30" s="80"/>
    </row>
    <row r="31" s="45" customFormat="1" ht="39" customHeight="1" outlineLevel="1" spans="1:21">
      <c r="A31" s="66">
        <v>3.2</v>
      </c>
      <c r="B31" s="66" t="s">
        <v>140</v>
      </c>
      <c r="C31" s="68" t="s">
        <v>141</v>
      </c>
      <c r="D31" s="66" t="s">
        <v>84</v>
      </c>
      <c r="E31" s="67">
        <f>23.16/2</f>
        <v>11.58</v>
      </c>
      <c r="F31" s="58">
        <f t="shared" ref="F31:H31" si="10">F14</f>
        <v>12</v>
      </c>
      <c r="G31" s="58">
        <f t="shared" si="10"/>
        <v>24.1468</v>
      </c>
      <c r="H31" s="58">
        <f t="shared" si="10"/>
        <v>4</v>
      </c>
      <c r="I31" s="73">
        <f>SUM(F31:H31)*$I$4</f>
        <v>4.01468</v>
      </c>
      <c r="J31" s="73">
        <f>SUM(F31:I31)*$J$4</f>
        <v>3.9745332</v>
      </c>
      <c r="K31" s="73">
        <f t="shared" si="8"/>
        <v>48.1360132</v>
      </c>
      <c r="L31" s="73">
        <f t="shared" si="9"/>
        <v>557.415032856</v>
      </c>
      <c r="M31" s="73"/>
      <c r="N31" s="74"/>
      <c r="O31" s="43"/>
      <c r="P31" s="43"/>
      <c r="Q31" s="43"/>
      <c r="R31" s="43"/>
      <c r="S31" s="80"/>
      <c r="T31" s="80"/>
      <c r="U31" s="80"/>
    </row>
    <row r="32" s="45" customFormat="1" ht="96" customHeight="1" outlineLevel="1" spans="1:21">
      <c r="A32" s="66">
        <v>3.3</v>
      </c>
      <c r="B32" s="66" t="s">
        <v>142</v>
      </c>
      <c r="C32" s="68" t="s">
        <v>163</v>
      </c>
      <c r="D32" s="66" t="s">
        <v>78</v>
      </c>
      <c r="E32" s="67">
        <f>16.34/2</f>
        <v>8.17</v>
      </c>
      <c r="F32" s="58">
        <f t="shared" ref="F32:H32" si="11">F15</f>
        <v>75</v>
      </c>
      <c r="G32" s="58">
        <f t="shared" si="11"/>
        <v>5</v>
      </c>
      <c r="H32" s="58">
        <f t="shared" si="11"/>
        <v>62.2006</v>
      </c>
      <c r="I32" s="73">
        <f>SUM(F32:H32)*$I$4</f>
        <v>14.22006</v>
      </c>
      <c r="J32" s="73">
        <f>SUM(F32:I32)*$J$4</f>
        <v>14.0778594</v>
      </c>
      <c r="K32" s="73">
        <f t="shared" si="8"/>
        <v>170.4985194</v>
      </c>
      <c r="L32" s="73">
        <f t="shared" si="9"/>
        <v>1392.972903498</v>
      </c>
      <c r="M32" s="73"/>
      <c r="N32" s="74"/>
      <c r="O32" s="43"/>
      <c r="P32" s="43"/>
      <c r="Q32" s="43"/>
      <c r="R32" s="43"/>
      <c r="S32" s="80"/>
      <c r="T32" s="80"/>
      <c r="U32" s="80"/>
    </row>
    <row r="33" s="45" customFormat="1" ht="61" customHeight="1" outlineLevel="1" spans="1:21">
      <c r="A33" s="66">
        <v>3.4</v>
      </c>
      <c r="B33" s="66" t="s">
        <v>144</v>
      </c>
      <c r="C33" s="68" t="s">
        <v>164</v>
      </c>
      <c r="D33" s="66" t="s">
        <v>78</v>
      </c>
      <c r="E33" s="67">
        <f>8.8/2</f>
        <v>4.4</v>
      </c>
      <c r="F33" s="58">
        <f t="shared" ref="F33:H33" si="12">F16</f>
        <v>19</v>
      </c>
      <c r="G33" s="58">
        <f t="shared" si="12"/>
        <v>5</v>
      </c>
      <c r="H33" s="58">
        <f t="shared" si="12"/>
        <v>4</v>
      </c>
      <c r="I33" s="73">
        <f>SUM(F33:H33)*$I$4</f>
        <v>2.8</v>
      </c>
      <c r="J33" s="73">
        <f>SUM(F33:I33)*$J$4</f>
        <v>2.772</v>
      </c>
      <c r="K33" s="73">
        <f t="shared" si="8"/>
        <v>33.572</v>
      </c>
      <c r="L33" s="73">
        <f t="shared" si="9"/>
        <v>147.7168</v>
      </c>
      <c r="M33" s="73" t="str">
        <f>M16</f>
        <v>答疑回复更改为乳胶漆</v>
      </c>
      <c r="N33" s="74"/>
      <c r="O33" s="43"/>
      <c r="P33" s="43"/>
      <c r="Q33" s="43"/>
      <c r="R33" s="43"/>
      <c r="S33" s="80"/>
      <c r="T33" s="80"/>
      <c r="U33" s="80"/>
    </row>
    <row r="34" s="45" customFormat="1" ht="75" customHeight="1" outlineLevel="1" spans="1:21">
      <c r="A34" s="66">
        <v>3.5</v>
      </c>
      <c r="B34" s="66" t="s">
        <v>147</v>
      </c>
      <c r="C34" s="68" t="s">
        <v>148</v>
      </c>
      <c r="D34" s="66" t="s">
        <v>84</v>
      </c>
      <c r="E34" s="67">
        <v>8.3</v>
      </c>
      <c r="F34" s="58">
        <f t="shared" ref="F34:H34" si="13">F17</f>
        <v>38</v>
      </c>
      <c r="G34" s="58">
        <f t="shared" si="13"/>
        <v>1.75</v>
      </c>
      <c r="H34" s="58">
        <f t="shared" si="13"/>
        <v>54.537</v>
      </c>
      <c r="I34" s="73">
        <f>SUM(F34:H34)*$I$4</f>
        <v>9.4287</v>
      </c>
      <c r="J34" s="73">
        <f>SUM(F34:I34)*$J$4</f>
        <v>9.334413</v>
      </c>
      <c r="K34" s="73">
        <f t="shared" si="8"/>
        <v>113.050113</v>
      </c>
      <c r="L34" s="73">
        <f t="shared" si="9"/>
        <v>938.3159379</v>
      </c>
      <c r="M34" s="73"/>
      <c r="N34" s="74"/>
      <c r="O34" s="43"/>
      <c r="P34" s="43"/>
      <c r="Q34" s="43"/>
      <c r="R34" s="43"/>
      <c r="S34" s="80"/>
      <c r="T34" s="80"/>
      <c r="U34" s="80"/>
    </row>
    <row r="35" s="45" customFormat="1" ht="39" customHeight="1" outlineLevel="1" spans="1:21">
      <c r="A35" s="66">
        <v>4</v>
      </c>
      <c r="B35" s="66" t="s">
        <v>92</v>
      </c>
      <c r="C35" s="66"/>
      <c r="D35" s="66" t="s">
        <v>93</v>
      </c>
      <c r="E35" s="67"/>
      <c r="F35" s="71"/>
      <c r="G35" s="71"/>
      <c r="H35" s="71"/>
      <c r="I35" s="78"/>
      <c r="J35" s="78"/>
      <c r="K35" s="78"/>
      <c r="L35" s="78">
        <f>SUM(L21:L34)</f>
        <v>25678.7806815074</v>
      </c>
      <c r="M35" s="78"/>
      <c r="N35" s="79"/>
      <c r="O35" s="43"/>
      <c r="P35" s="43"/>
      <c r="Q35" s="43"/>
      <c r="R35" s="43"/>
      <c r="S35" s="80"/>
      <c r="T35" s="80"/>
      <c r="U35" s="80"/>
    </row>
    <row r="36" s="45" customFormat="1" ht="41" customHeight="1" spans="1:21">
      <c r="A36" s="56" t="s">
        <v>105</v>
      </c>
      <c r="B36" s="63" t="s">
        <v>165</v>
      </c>
      <c r="C36" s="56" t="s">
        <v>150</v>
      </c>
      <c r="D36" s="64"/>
      <c r="E36" s="65"/>
      <c r="F36" s="58"/>
      <c r="G36" s="58"/>
      <c r="H36" s="58"/>
      <c r="I36" s="73"/>
      <c r="J36" s="73"/>
      <c r="K36" s="73"/>
      <c r="L36" s="73"/>
      <c r="M36" s="73" t="s">
        <v>123</v>
      </c>
      <c r="N36" s="74"/>
      <c r="O36" s="43"/>
      <c r="P36" s="43"/>
      <c r="Q36" s="43"/>
      <c r="R36" s="43"/>
      <c r="S36" s="80"/>
      <c r="T36" s="80"/>
      <c r="U36" s="80"/>
    </row>
    <row r="37" s="45" customFormat="1" ht="39" customHeight="1" outlineLevel="1" spans="1:21">
      <c r="A37" s="66">
        <v>1</v>
      </c>
      <c r="B37" s="66" t="s">
        <v>124</v>
      </c>
      <c r="C37" s="66"/>
      <c r="D37" s="66"/>
      <c r="E37" s="67"/>
      <c r="F37" s="58"/>
      <c r="G37" s="58"/>
      <c r="H37" s="58"/>
      <c r="I37" s="73"/>
      <c r="J37" s="73"/>
      <c r="K37" s="73"/>
      <c r="L37" s="73"/>
      <c r="M37" s="73"/>
      <c r="N37" s="74"/>
      <c r="O37" s="43"/>
      <c r="P37" s="43"/>
      <c r="Q37" s="43"/>
      <c r="R37" s="43"/>
      <c r="S37" s="80"/>
      <c r="T37" s="80"/>
      <c r="U37" s="80"/>
    </row>
    <row r="38" s="45" customFormat="1" ht="87" customHeight="1" outlineLevel="1" spans="1:21">
      <c r="A38" s="66">
        <v>1.1</v>
      </c>
      <c r="B38" s="66" t="s">
        <v>125</v>
      </c>
      <c r="C38" s="68" t="s">
        <v>166</v>
      </c>
      <c r="D38" s="66" t="s">
        <v>78</v>
      </c>
      <c r="E38" s="67">
        <v>29.9</v>
      </c>
      <c r="F38" s="58">
        <f>$F$7</f>
        <v>62</v>
      </c>
      <c r="G38" s="58">
        <f>$G$7</f>
        <v>58</v>
      </c>
      <c r="H38" s="58">
        <f>$H$7</f>
        <v>65</v>
      </c>
      <c r="I38" s="73">
        <f>SUM(F38:H38)*$I$4</f>
        <v>18.5</v>
      </c>
      <c r="J38" s="73">
        <f>SUM(F38:I38)*$J$4</f>
        <v>18.315</v>
      </c>
      <c r="K38" s="73">
        <f t="shared" ref="K38:K44" si="14">SUM(F38:J38)</f>
        <v>221.815</v>
      </c>
      <c r="L38" s="73">
        <f t="shared" ref="L38:L44" si="15">E38*K38</f>
        <v>6632.2685</v>
      </c>
      <c r="M38" s="73" t="s">
        <v>152</v>
      </c>
      <c r="N38" s="74">
        <f>E38*G38</f>
        <v>1734.2</v>
      </c>
      <c r="O38" s="43"/>
      <c r="P38" s="43"/>
      <c r="Q38" s="43"/>
      <c r="R38" s="43"/>
      <c r="S38" s="80"/>
      <c r="T38" s="80"/>
      <c r="U38" s="80"/>
    </row>
    <row r="39" s="45" customFormat="1" ht="57" customHeight="1" outlineLevel="1" spans="1:21">
      <c r="A39" s="66">
        <v>2</v>
      </c>
      <c r="B39" s="66" t="s">
        <v>128</v>
      </c>
      <c r="C39" s="66"/>
      <c r="D39" s="66"/>
      <c r="E39" s="67"/>
      <c r="F39" s="58"/>
      <c r="G39" s="58"/>
      <c r="H39" s="58"/>
      <c r="I39" s="73"/>
      <c r="J39" s="73"/>
      <c r="K39" s="73"/>
      <c r="L39" s="73"/>
      <c r="M39" s="73"/>
      <c r="N39" s="74"/>
      <c r="O39" s="43"/>
      <c r="P39" s="43"/>
      <c r="Q39" s="43"/>
      <c r="R39" s="43"/>
      <c r="S39" s="80"/>
      <c r="T39" s="80"/>
      <c r="U39" s="80"/>
    </row>
    <row r="40" s="45" customFormat="1" ht="90" customHeight="1" outlineLevel="1" spans="1:21">
      <c r="A40" s="66">
        <v>2.1</v>
      </c>
      <c r="B40" s="69" t="s">
        <v>129</v>
      </c>
      <c r="C40" s="70" t="s">
        <v>167</v>
      </c>
      <c r="D40" s="66" t="s">
        <v>78</v>
      </c>
      <c r="E40" s="67">
        <f>1.6+14.23+23.86+18.97+12.82-1.8-2.34-2.8-2.86+12.815-2.67-2.67-2.5+5.14</f>
        <v>71.795</v>
      </c>
      <c r="F40" s="58">
        <f>$F$9</f>
        <v>55</v>
      </c>
      <c r="G40" s="58">
        <f>$G$9</f>
        <v>58</v>
      </c>
      <c r="H40" s="58">
        <f>$H$9</f>
        <v>25.4</v>
      </c>
      <c r="I40" s="73">
        <f>SUM(F40:H40)*$I$4</f>
        <v>13.84</v>
      </c>
      <c r="J40" s="73">
        <f>SUM(F40:I40)*$J$4</f>
        <v>13.7016</v>
      </c>
      <c r="K40" s="73">
        <f t="shared" si="14"/>
        <v>165.9416</v>
      </c>
      <c r="L40" s="73">
        <f t="shared" si="15"/>
        <v>11913.777172</v>
      </c>
      <c r="M40" s="73"/>
      <c r="N40" s="74">
        <f>E40*G40</f>
        <v>4164.11</v>
      </c>
      <c r="O40" s="43"/>
      <c r="P40" s="43"/>
      <c r="Q40" s="43"/>
      <c r="R40" s="43"/>
      <c r="S40" s="80"/>
      <c r="T40" s="80"/>
      <c r="U40" s="80"/>
    </row>
    <row r="41" s="45" customFormat="1" ht="51" customHeight="1" outlineLevel="1" spans="1:21">
      <c r="A41" s="66">
        <v>2.2</v>
      </c>
      <c r="B41" s="66" t="s">
        <v>133</v>
      </c>
      <c r="C41" s="68" t="s">
        <v>134</v>
      </c>
      <c r="D41" s="66" t="s">
        <v>135</v>
      </c>
      <c r="E41" s="67">
        <v>1</v>
      </c>
      <c r="F41" s="58">
        <f>$F$11</f>
        <v>165</v>
      </c>
      <c r="G41" s="58">
        <f>$G$11</f>
        <v>324</v>
      </c>
      <c r="H41" s="58">
        <f>$H$11</f>
        <v>115</v>
      </c>
      <c r="I41" s="73">
        <f>SUM(F41:H41)*$I$4</f>
        <v>60.4</v>
      </c>
      <c r="J41" s="73">
        <f>SUM(F41:I41)*$J$4</f>
        <v>59.796</v>
      </c>
      <c r="K41" s="73">
        <f t="shared" si="14"/>
        <v>724.196</v>
      </c>
      <c r="L41" s="73">
        <f t="shared" si="15"/>
        <v>724.196</v>
      </c>
      <c r="M41" s="73"/>
      <c r="N41" s="74"/>
      <c r="O41" s="43"/>
      <c r="P41" s="43"/>
      <c r="Q41" s="43"/>
      <c r="R41" s="43"/>
      <c r="S41" s="80"/>
      <c r="T41" s="80"/>
      <c r="U41" s="80"/>
    </row>
    <row r="42" s="45" customFormat="1" ht="51" customHeight="1" outlineLevel="1" spans="1:21">
      <c r="A42" s="66">
        <v>2.3</v>
      </c>
      <c r="B42" s="66" t="s">
        <v>154</v>
      </c>
      <c r="C42" s="68" t="s">
        <v>155</v>
      </c>
      <c r="D42" s="66" t="s">
        <v>78</v>
      </c>
      <c r="E42" s="67">
        <v>7.18</v>
      </c>
      <c r="F42" s="58">
        <f t="shared" ref="F42:H42" si="16">F25</f>
        <v>12</v>
      </c>
      <c r="G42" s="58">
        <f t="shared" si="16"/>
        <v>19.6948</v>
      </c>
      <c r="H42" s="58">
        <f t="shared" si="16"/>
        <v>1</v>
      </c>
      <c r="I42" s="73">
        <f>SUM(F42:H42)*$I$4</f>
        <v>3.26948</v>
      </c>
      <c r="J42" s="73">
        <f>SUM(F42:I42)*$J$4</f>
        <v>3.2367852</v>
      </c>
      <c r="K42" s="73">
        <f t="shared" si="14"/>
        <v>39.2010652</v>
      </c>
      <c r="L42" s="73">
        <f t="shared" si="15"/>
        <v>281.463648136</v>
      </c>
      <c r="M42" s="73"/>
      <c r="N42" s="74"/>
      <c r="O42" s="43"/>
      <c r="P42" s="43"/>
      <c r="Q42" s="43"/>
      <c r="R42" s="43"/>
      <c r="S42" s="80"/>
      <c r="T42" s="80"/>
      <c r="U42" s="80"/>
    </row>
    <row r="43" s="45" customFormat="1" ht="29" customHeight="1" outlineLevel="1" spans="1:21">
      <c r="A43" s="66">
        <v>2.4</v>
      </c>
      <c r="B43" s="66" t="s">
        <v>160</v>
      </c>
      <c r="C43" s="68" t="s">
        <v>168</v>
      </c>
      <c r="D43" s="66" t="s">
        <v>78</v>
      </c>
      <c r="E43" s="67">
        <f>2*2.9</f>
        <v>5.8</v>
      </c>
      <c r="F43" s="58">
        <f>$F$28</f>
        <v>165</v>
      </c>
      <c r="G43" s="58">
        <f>$G$28</f>
        <v>135</v>
      </c>
      <c r="H43" s="58">
        <f>$H$28</f>
        <v>420</v>
      </c>
      <c r="I43" s="73">
        <f>SUM(F43:H43)*$I$4</f>
        <v>72</v>
      </c>
      <c r="J43" s="73">
        <f>SUM(F43:I43)*$J$4</f>
        <v>71.28</v>
      </c>
      <c r="K43" s="73">
        <f t="shared" si="14"/>
        <v>863.28</v>
      </c>
      <c r="L43" s="73">
        <f t="shared" si="15"/>
        <v>5007.024</v>
      </c>
      <c r="M43" s="73"/>
      <c r="N43" s="74"/>
      <c r="O43" s="43"/>
      <c r="P43" s="43"/>
      <c r="Q43" s="43"/>
      <c r="R43" s="43"/>
      <c r="S43" s="80"/>
      <c r="T43" s="80"/>
      <c r="U43" s="80"/>
    </row>
    <row r="44" s="45" customFormat="1" ht="54" customHeight="1" outlineLevel="1" spans="1:21">
      <c r="A44" s="66">
        <v>2.5</v>
      </c>
      <c r="B44" s="66" t="s">
        <v>169</v>
      </c>
      <c r="C44" s="68" t="s">
        <v>170</v>
      </c>
      <c r="D44" s="66" t="s">
        <v>78</v>
      </c>
      <c r="E44" s="67">
        <f>1.67*2.9*2</f>
        <v>9.686</v>
      </c>
      <c r="F44" s="58">
        <f t="shared" ref="F44:H44" si="17">F43</f>
        <v>165</v>
      </c>
      <c r="G44" s="58">
        <f t="shared" si="17"/>
        <v>135</v>
      </c>
      <c r="H44" s="58">
        <f t="shared" si="17"/>
        <v>420</v>
      </c>
      <c r="I44" s="73">
        <f>SUM(F44:H44)*$I$4</f>
        <v>72</v>
      </c>
      <c r="J44" s="73">
        <f>SUM(F44:I44)*$J$4</f>
        <v>71.28</v>
      </c>
      <c r="K44" s="73">
        <f t="shared" si="14"/>
        <v>863.28</v>
      </c>
      <c r="L44" s="73">
        <f t="shared" si="15"/>
        <v>8361.73008</v>
      </c>
      <c r="M44" s="73"/>
      <c r="N44" s="74"/>
      <c r="O44" s="43"/>
      <c r="P44" s="43"/>
      <c r="Q44" s="43"/>
      <c r="R44" s="43"/>
      <c r="S44" s="80"/>
      <c r="T44" s="80"/>
      <c r="U44" s="80"/>
    </row>
    <row r="45" s="45" customFormat="1" ht="39" customHeight="1" outlineLevel="1" spans="1:21">
      <c r="A45" s="66">
        <v>3</v>
      </c>
      <c r="B45" s="66" t="s">
        <v>136</v>
      </c>
      <c r="C45" s="66"/>
      <c r="D45" s="66"/>
      <c r="E45" s="67"/>
      <c r="F45" s="58"/>
      <c r="G45" s="58"/>
      <c r="H45" s="58"/>
      <c r="I45" s="73"/>
      <c r="J45" s="73"/>
      <c r="K45" s="73"/>
      <c r="L45" s="73"/>
      <c r="M45" s="73"/>
      <c r="N45" s="74"/>
      <c r="O45" s="43"/>
      <c r="P45" s="43"/>
      <c r="Q45" s="43"/>
      <c r="R45" s="43"/>
      <c r="S45" s="80"/>
      <c r="T45" s="80"/>
      <c r="U45" s="80"/>
    </row>
    <row r="46" s="45" customFormat="1" ht="120" customHeight="1" outlineLevel="1" spans="1:21">
      <c r="A46" s="66">
        <v>3.1</v>
      </c>
      <c r="B46" s="66" t="s">
        <v>137</v>
      </c>
      <c r="C46" s="68" t="s">
        <v>162</v>
      </c>
      <c r="D46" s="66" t="s">
        <v>139</v>
      </c>
      <c r="E46" s="67">
        <v>6.28</v>
      </c>
      <c r="F46" s="58">
        <f t="shared" ref="F46:H46" si="18">F30</f>
        <v>114.904</v>
      </c>
      <c r="G46" s="58">
        <f t="shared" si="18"/>
        <v>10.219248</v>
      </c>
      <c r="H46" s="58">
        <f t="shared" si="18"/>
        <v>159</v>
      </c>
      <c r="I46" s="73">
        <f>SUM(F46:H46)*$I$4</f>
        <v>28.4123248</v>
      </c>
      <c r="J46" s="73">
        <f>SUM(F46:I46)*$J$4</f>
        <v>28.128201552</v>
      </c>
      <c r="K46" s="73">
        <f t="shared" ref="K46:K50" si="19">SUM(F46:J46)</f>
        <v>340.663774352</v>
      </c>
      <c r="L46" s="73">
        <f t="shared" ref="L46:L50" si="20">E46*K46</f>
        <v>2139.36850293056</v>
      </c>
      <c r="M46" s="73" t="s">
        <v>171</v>
      </c>
      <c r="N46" s="74"/>
      <c r="O46" s="43"/>
      <c r="P46" s="43"/>
      <c r="Q46" s="43"/>
      <c r="R46" s="43"/>
      <c r="S46" s="80"/>
      <c r="T46" s="80"/>
      <c r="U46" s="80"/>
    </row>
    <row r="47" s="45" customFormat="1" ht="69" customHeight="1" outlineLevel="1" spans="1:21">
      <c r="A47" s="66">
        <v>3.2</v>
      </c>
      <c r="B47" s="66" t="s">
        <v>140</v>
      </c>
      <c r="C47" s="68" t="s">
        <v>141</v>
      </c>
      <c r="D47" s="66" t="s">
        <v>84</v>
      </c>
      <c r="E47" s="67">
        <v>9.28</v>
      </c>
      <c r="F47" s="58">
        <f t="shared" ref="F47:H47" si="21">F31</f>
        <v>12</v>
      </c>
      <c r="G47" s="58">
        <f t="shared" si="21"/>
        <v>24.1468</v>
      </c>
      <c r="H47" s="58">
        <f t="shared" si="21"/>
        <v>4</v>
      </c>
      <c r="I47" s="73">
        <f>SUM(F47:H47)*$I$4</f>
        <v>4.01468</v>
      </c>
      <c r="J47" s="73">
        <f>SUM(F47:I47)*$J$4</f>
        <v>3.9745332</v>
      </c>
      <c r="K47" s="73">
        <f t="shared" si="19"/>
        <v>48.1360132</v>
      </c>
      <c r="L47" s="73">
        <f t="shared" si="20"/>
        <v>446.702202496</v>
      </c>
      <c r="M47" s="73"/>
      <c r="N47" s="74"/>
      <c r="O47" s="43"/>
      <c r="P47" s="43"/>
      <c r="Q47" s="43"/>
      <c r="R47" s="43"/>
      <c r="S47" s="80"/>
      <c r="T47" s="80"/>
      <c r="U47" s="80"/>
    </row>
    <row r="48" s="45" customFormat="1" ht="96" customHeight="1" outlineLevel="1" spans="1:21">
      <c r="A48" s="66">
        <v>3.3</v>
      </c>
      <c r="B48" s="66" t="s">
        <v>142</v>
      </c>
      <c r="C48" s="68" t="s">
        <v>163</v>
      </c>
      <c r="D48" s="66" t="s">
        <v>78</v>
      </c>
      <c r="E48" s="67">
        <v>8.37</v>
      </c>
      <c r="F48" s="58">
        <f t="shared" ref="F48:H48" si="22">F32</f>
        <v>75</v>
      </c>
      <c r="G48" s="58">
        <f t="shared" si="22"/>
        <v>5</v>
      </c>
      <c r="H48" s="58">
        <f t="shared" si="22"/>
        <v>62.2006</v>
      </c>
      <c r="I48" s="73">
        <f>SUM(F48:H48)*$I$4</f>
        <v>14.22006</v>
      </c>
      <c r="J48" s="73">
        <f>SUM(F48:I48)*$J$4</f>
        <v>14.0778594</v>
      </c>
      <c r="K48" s="73">
        <f t="shared" si="19"/>
        <v>170.4985194</v>
      </c>
      <c r="L48" s="73">
        <f t="shared" si="20"/>
        <v>1427.072607378</v>
      </c>
      <c r="M48" s="73"/>
      <c r="N48" s="74"/>
      <c r="O48" s="43"/>
      <c r="P48" s="43"/>
      <c r="Q48" s="43"/>
      <c r="R48" s="43"/>
      <c r="S48" s="80"/>
      <c r="T48" s="80"/>
      <c r="U48" s="80"/>
    </row>
    <row r="49" s="45" customFormat="1" ht="61" customHeight="1" outlineLevel="1" spans="1:21">
      <c r="A49" s="66">
        <v>3.4</v>
      </c>
      <c r="B49" s="66" t="s">
        <v>144</v>
      </c>
      <c r="C49" s="68" t="s">
        <v>164</v>
      </c>
      <c r="D49" s="66" t="s">
        <v>78</v>
      </c>
      <c r="E49" s="67">
        <v>6.6</v>
      </c>
      <c r="F49" s="58">
        <f t="shared" ref="F49:H49" si="23">F33</f>
        <v>19</v>
      </c>
      <c r="G49" s="58">
        <f t="shared" si="23"/>
        <v>5</v>
      </c>
      <c r="H49" s="58">
        <f t="shared" si="23"/>
        <v>4</v>
      </c>
      <c r="I49" s="73">
        <f>SUM(F49:H49)*$I$4</f>
        <v>2.8</v>
      </c>
      <c r="J49" s="73">
        <f>SUM(F49:I49)*$J$4</f>
        <v>2.772</v>
      </c>
      <c r="K49" s="73">
        <f t="shared" si="19"/>
        <v>33.572</v>
      </c>
      <c r="L49" s="73">
        <f t="shared" si="20"/>
        <v>221.5752</v>
      </c>
      <c r="M49" s="73" t="str">
        <f>M16</f>
        <v>答疑回复更改为乳胶漆</v>
      </c>
      <c r="N49" s="74"/>
      <c r="O49" s="43"/>
      <c r="P49" s="43"/>
      <c r="Q49" s="43"/>
      <c r="R49" s="43"/>
      <c r="S49" s="80"/>
      <c r="T49" s="80"/>
      <c r="U49" s="80"/>
    </row>
    <row r="50" s="45" customFormat="1" ht="84" customHeight="1" outlineLevel="1" spans="1:21">
      <c r="A50" s="66">
        <v>3.5</v>
      </c>
      <c r="B50" s="66" t="s">
        <v>147</v>
      </c>
      <c r="C50" s="68" t="s">
        <v>148</v>
      </c>
      <c r="D50" s="66" t="s">
        <v>84</v>
      </c>
      <c r="E50" s="67">
        <v>13.16</v>
      </c>
      <c r="F50" s="58">
        <f t="shared" ref="F50:H50" si="24">F34</f>
        <v>38</v>
      </c>
      <c r="G50" s="58">
        <f t="shared" si="24"/>
        <v>1.75</v>
      </c>
      <c r="H50" s="58">
        <f t="shared" si="24"/>
        <v>54.537</v>
      </c>
      <c r="I50" s="73">
        <f>SUM(F50:H50)*$I$4</f>
        <v>9.4287</v>
      </c>
      <c r="J50" s="73">
        <f>SUM(F50:I50)*$J$4</f>
        <v>9.334413</v>
      </c>
      <c r="K50" s="73">
        <f t="shared" si="19"/>
        <v>113.050113</v>
      </c>
      <c r="L50" s="73">
        <f t="shared" si="20"/>
        <v>1487.73948708</v>
      </c>
      <c r="M50" s="73"/>
      <c r="N50" s="74"/>
      <c r="O50" s="43"/>
      <c r="P50" s="43"/>
      <c r="Q50" s="43"/>
      <c r="R50" s="43"/>
      <c r="S50" s="80"/>
      <c r="T50" s="80"/>
      <c r="U50" s="80"/>
    </row>
    <row r="51" s="45" customFormat="1" ht="26" customHeight="1" outlineLevel="1" spans="1:21">
      <c r="A51" s="66">
        <v>4</v>
      </c>
      <c r="B51" s="66" t="s">
        <v>92</v>
      </c>
      <c r="C51" s="66"/>
      <c r="D51" s="66" t="s">
        <v>93</v>
      </c>
      <c r="E51" s="67"/>
      <c r="F51" s="71"/>
      <c r="G51" s="71"/>
      <c r="H51" s="71"/>
      <c r="I51" s="78"/>
      <c r="J51" s="78"/>
      <c r="K51" s="78"/>
      <c r="L51" s="78">
        <f>SUM(L38:L50)</f>
        <v>38642.9174000206</v>
      </c>
      <c r="M51" s="78"/>
      <c r="N51" s="79"/>
      <c r="O51" s="43"/>
      <c r="P51" s="43"/>
      <c r="Q51" s="43"/>
      <c r="R51" s="43"/>
      <c r="S51" s="80"/>
      <c r="T51" s="80"/>
      <c r="U51" s="80"/>
    </row>
    <row r="52" s="45" customFormat="1" ht="51" customHeight="1" spans="1:21">
      <c r="A52" s="56" t="s">
        <v>108</v>
      </c>
      <c r="B52" s="63" t="s">
        <v>172</v>
      </c>
      <c r="C52" s="56" t="s">
        <v>150</v>
      </c>
      <c r="D52" s="64"/>
      <c r="E52" s="65"/>
      <c r="F52" s="58"/>
      <c r="G52" s="58"/>
      <c r="H52" s="58"/>
      <c r="I52" s="73"/>
      <c r="J52" s="73"/>
      <c r="K52" s="73"/>
      <c r="L52" s="73"/>
      <c r="M52" s="73" t="s">
        <v>173</v>
      </c>
      <c r="N52" s="74"/>
      <c r="O52" s="43"/>
      <c r="P52" s="43"/>
      <c r="Q52" s="43"/>
      <c r="R52" s="43"/>
      <c r="S52" s="80"/>
      <c r="T52" s="80"/>
      <c r="U52" s="80"/>
    </row>
    <row r="53" s="45" customFormat="1" ht="39" customHeight="1" outlineLevel="1" spans="1:21">
      <c r="A53" s="66">
        <v>1</v>
      </c>
      <c r="B53" s="66" t="s">
        <v>124</v>
      </c>
      <c r="C53" s="66"/>
      <c r="D53" s="66"/>
      <c r="E53" s="67"/>
      <c r="F53" s="58"/>
      <c r="G53" s="58"/>
      <c r="H53" s="58"/>
      <c r="I53" s="73"/>
      <c r="J53" s="73"/>
      <c r="K53" s="73"/>
      <c r="L53" s="73"/>
      <c r="M53" s="73"/>
      <c r="N53" s="74"/>
      <c r="O53" s="43"/>
      <c r="P53" s="43"/>
      <c r="Q53" s="43"/>
      <c r="R53" s="43"/>
      <c r="S53" s="80"/>
      <c r="T53" s="80"/>
      <c r="U53" s="80"/>
    </row>
    <row r="54" s="45" customFormat="1" ht="90" customHeight="1" outlineLevel="1" spans="1:21">
      <c r="A54" s="66">
        <v>1.1</v>
      </c>
      <c r="B54" s="66" t="s">
        <v>125</v>
      </c>
      <c r="C54" s="68" t="s">
        <v>174</v>
      </c>
      <c r="D54" s="66" t="s">
        <v>78</v>
      </c>
      <c r="E54" s="67">
        <v>40.4</v>
      </c>
      <c r="F54" s="58">
        <v>51</v>
      </c>
      <c r="G54" s="58">
        <f>$G$7</f>
        <v>58</v>
      </c>
      <c r="H54" s="58">
        <v>25</v>
      </c>
      <c r="I54" s="73">
        <f>SUM(F54:H54)*$I$4</f>
        <v>13.4</v>
      </c>
      <c r="J54" s="73">
        <f>SUM(F54:I54)*$J$4</f>
        <v>13.266</v>
      </c>
      <c r="K54" s="73">
        <f t="shared" ref="K54:K59" si="25">SUM(F54:J54)</f>
        <v>160.666</v>
      </c>
      <c r="L54" s="73">
        <f t="shared" ref="L54:L59" si="26">E54*K54</f>
        <v>6490.9064</v>
      </c>
      <c r="M54" s="73" t="s">
        <v>152</v>
      </c>
      <c r="N54" s="74">
        <f>E54*G54</f>
        <v>2343.2</v>
      </c>
      <c r="O54" s="43"/>
      <c r="P54" s="43"/>
      <c r="Q54" s="43"/>
      <c r="R54" s="43"/>
      <c r="S54" s="80"/>
      <c r="T54" s="80"/>
      <c r="U54" s="80"/>
    </row>
    <row r="55" s="45" customFormat="1" ht="39" customHeight="1" outlineLevel="1" spans="1:21">
      <c r="A55" s="66">
        <v>2</v>
      </c>
      <c r="B55" s="66" t="s">
        <v>128</v>
      </c>
      <c r="C55" s="66"/>
      <c r="D55" s="66"/>
      <c r="E55" s="67"/>
      <c r="F55" s="58"/>
      <c r="G55" s="58"/>
      <c r="H55" s="58"/>
      <c r="I55" s="73"/>
      <c r="J55" s="73"/>
      <c r="K55" s="73"/>
      <c r="L55" s="73"/>
      <c r="M55" s="73"/>
      <c r="N55" s="74"/>
      <c r="O55" s="43"/>
      <c r="P55" s="43"/>
      <c r="Q55" s="43"/>
      <c r="R55" s="43"/>
      <c r="S55" s="80"/>
      <c r="T55" s="80"/>
      <c r="U55" s="80"/>
    </row>
    <row r="56" s="45" customFormat="1" ht="84" customHeight="1" outlineLevel="1" spans="1:21">
      <c r="A56" s="66">
        <v>2.1</v>
      </c>
      <c r="B56" s="69" t="s">
        <v>129</v>
      </c>
      <c r="C56" s="70" t="s">
        <v>167</v>
      </c>
      <c r="D56" s="66" t="s">
        <v>78</v>
      </c>
      <c r="E56" s="67">
        <f>8.45-5.57+15.7-1.97-2.5+8.45-5.23+15.7-2.15-2.13-1.83+6.33-2.98-0.52+4.9-2.35+4.9-2.35+6.34-5.23+39.9-2.5-1.71-2.85-2.98+39.9-2.32*4</f>
        <v>96.44</v>
      </c>
      <c r="F56" s="58">
        <f>$F$9</f>
        <v>55</v>
      </c>
      <c r="G56" s="58">
        <f>$G$9</f>
        <v>58</v>
      </c>
      <c r="H56" s="58">
        <f>$H$9</f>
        <v>25.4</v>
      </c>
      <c r="I56" s="73">
        <f>SUM(F56:H56)*$I$4</f>
        <v>13.84</v>
      </c>
      <c r="J56" s="73">
        <f>SUM(F56:I56)*$J$4</f>
        <v>13.7016</v>
      </c>
      <c r="K56" s="73">
        <f t="shared" si="25"/>
        <v>165.9416</v>
      </c>
      <c r="L56" s="73">
        <f t="shared" si="26"/>
        <v>16003.407904</v>
      </c>
      <c r="M56" s="73"/>
      <c r="N56" s="74">
        <f>E56*G56</f>
        <v>5593.52</v>
      </c>
      <c r="O56" s="43"/>
      <c r="P56" s="43"/>
      <c r="Q56" s="43"/>
      <c r="R56" s="43"/>
      <c r="S56" s="80"/>
      <c r="T56" s="80"/>
      <c r="U56" s="80"/>
    </row>
    <row r="57" s="45" customFormat="1" ht="39" customHeight="1" outlineLevel="1" spans="1:21">
      <c r="A57" s="66">
        <v>2.2</v>
      </c>
      <c r="B57" s="66" t="s">
        <v>133</v>
      </c>
      <c r="C57" s="68" t="s">
        <v>134</v>
      </c>
      <c r="D57" s="66" t="s">
        <v>135</v>
      </c>
      <c r="E57" s="67">
        <v>2</v>
      </c>
      <c r="F57" s="58">
        <f>$F$11</f>
        <v>165</v>
      </c>
      <c r="G57" s="58">
        <f>$G$11</f>
        <v>324</v>
      </c>
      <c r="H57" s="58">
        <f>$H$11</f>
        <v>115</v>
      </c>
      <c r="I57" s="73">
        <f>SUM(F57:H57)*$I$4</f>
        <v>60.4</v>
      </c>
      <c r="J57" s="73">
        <f>SUM(F57:I57)*$J$4</f>
        <v>59.796</v>
      </c>
      <c r="K57" s="73">
        <f t="shared" si="25"/>
        <v>724.196</v>
      </c>
      <c r="L57" s="73">
        <f t="shared" si="26"/>
        <v>1448.392</v>
      </c>
      <c r="M57" s="73"/>
      <c r="N57" s="74"/>
      <c r="O57" s="43"/>
      <c r="P57" s="43"/>
      <c r="Q57" s="43"/>
      <c r="R57" s="43"/>
      <c r="S57" s="80"/>
      <c r="T57" s="80"/>
      <c r="U57" s="80"/>
    </row>
    <row r="58" s="45" customFormat="1" ht="39" customHeight="1" outlineLevel="1" spans="1:21">
      <c r="A58" s="66">
        <v>2.3</v>
      </c>
      <c r="B58" s="66" t="s">
        <v>154</v>
      </c>
      <c r="C58" s="68" t="s">
        <v>155</v>
      </c>
      <c r="D58" s="66" t="s">
        <v>78</v>
      </c>
      <c r="E58" s="67">
        <f>2.28*2+0.8*2+0.675</f>
        <v>6.835</v>
      </c>
      <c r="F58" s="58">
        <f t="shared" ref="F58:H58" si="27">F42</f>
        <v>12</v>
      </c>
      <c r="G58" s="58">
        <f t="shared" si="27"/>
        <v>19.6948</v>
      </c>
      <c r="H58" s="58">
        <f t="shared" si="27"/>
        <v>1</v>
      </c>
      <c r="I58" s="73">
        <f>SUM(F58:H58)*$I$4</f>
        <v>3.26948</v>
      </c>
      <c r="J58" s="73">
        <f>SUM(F58:I58)*$J$4</f>
        <v>3.2367852</v>
      </c>
      <c r="K58" s="73">
        <f t="shared" si="25"/>
        <v>39.2010652</v>
      </c>
      <c r="L58" s="73">
        <f t="shared" si="26"/>
        <v>267.939280642</v>
      </c>
      <c r="M58" s="73"/>
      <c r="N58" s="74"/>
      <c r="O58" s="43"/>
      <c r="P58" s="43"/>
      <c r="Q58" s="43"/>
      <c r="R58" s="43"/>
      <c r="S58" s="80"/>
      <c r="T58" s="80"/>
      <c r="U58" s="80"/>
    </row>
    <row r="59" s="45" customFormat="1" ht="39" customHeight="1" outlineLevel="1" spans="1:21">
      <c r="A59" s="66">
        <v>2.4</v>
      </c>
      <c r="B59" s="66" t="s">
        <v>160</v>
      </c>
      <c r="C59" s="68" t="s">
        <v>168</v>
      </c>
      <c r="D59" s="66" t="s">
        <v>78</v>
      </c>
      <c r="E59" s="67">
        <f>2*2.9</f>
        <v>5.8</v>
      </c>
      <c r="F59" s="58">
        <f>$F$28</f>
        <v>165</v>
      </c>
      <c r="G59" s="58">
        <f>$G$28</f>
        <v>135</v>
      </c>
      <c r="H59" s="58">
        <f>$H$28</f>
        <v>420</v>
      </c>
      <c r="I59" s="73">
        <f>SUM(F59:H59)*$I$4</f>
        <v>72</v>
      </c>
      <c r="J59" s="73">
        <f>SUM(F59:I59)*$J$4</f>
        <v>71.28</v>
      </c>
      <c r="K59" s="73">
        <f t="shared" si="25"/>
        <v>863.28</v>
      </c>
      <c r="L59" s="73">
        <f t="shared" si="26"/>
        <v>5007.024</v>
      </c>
      <c r="M59" s="73"/>
      <c r="N59" s="74"/>
      <c r="O59" s="43"/>
      <c r="P59" s="43"/>
      <c r="Q59" s="43"/>
      <c r="R59" s="43"/>
      <c r="S59" s="80"/>
      <c r="T59" s="80"/>
      <c r="U59" s="80"/>
    </row>
    <row r="60" s="45" customFormat="1" ht="39" customHeight="1" outlineLevel="1" spans="1:21">
      <c r="A60" s="66">
        <v>3</v>
      </c>
      <c r="B60" s="66" t="s">
        <v>136</v>
      </c>
      <c r="C60" s="66"/>
      <c r="D60" s="66"/>
      <c r="E60" s="67"/>
      <c r="F60" s="58"/>
      <c r="G60" s="58"/>
      <c r="H60" s="58"/>
      <c r="I60" s="73"/>
      <c r="J60" s="73"/>
      <c r="K60" s="73"/>
      <c r="L60" s="73"/>
      <c r="M60" s="73"/>
      <c r="N60" s="74"/>
      <c r="O60" s="43"/>
      <c r="P60" s="43"/>
      <c r="Q60" s="43"/>
      <c r="R60" s="43"/>
      <c r="S60" s="80"/>
      <c r="T60" s="80"/>
      <c r="U60" s="80"/>
    </row>
    <row r="61" s="45" customFormat="1" ht="61" customHeight="1" outlineLevel="1" spans="1:21">
      <c r="A61" s="66">
        <v>3.1</v>
      </c>
      <c r="B61" s="66" t="s">
        <v>137</v>
      </c>
      <c r="C61" s="68" t="s">
        <v>162</v>
      </c>
      <c r="D61" s="66" t="s">
        <v>139</v>
      </c>
      <c r="E61" s="67">
        <v>6</v>
      </c>
      <c r="F61" s="58">
        <f t="shared" ref="F61:H61" si="28">F46</f>
        <v>114.904</v>
      </c>
      <c r="G61" s="58">
        <f t="shared" si="28"/>
        <v>10.219248</v>
      </c>
      <c r="H61" s="58">
        <f t="shared" si="28"/>
        <v>159</v>
      </c>
      <c r="I61" s="73">
        <f>SUM(F61:H61)*$I$4</f>
        <v>28.4123248</v>
      </c>
      <c r="J61" s="73">
        <f>SUM(F61:I61)*$J$4</f>
        <v>28.128201552</v>
      </c>
      <c r="K61" s="73">
        <f t="shared" ref="K61:K64" si="29">SUM(F61:J61)</f>
        <v>340.663774352</v>
      </c>
      <c r="L61" s="73">
        <f t="shared" ref="L61:L64" si="30">E61*K61</f>
        <v>2043.982646112</v>
      </c>
      <c r="M61" s="73" t="s">
        <v>171</v>
      </c>
      <c r="N61" s="74"/>
      <c r="O61" s="43"/>
      <c r="P61" s="43"/>
      <c r="Q61" s="43"/>
      <c r="R61" s="43"/>
      <c r="S61" s="80"/>
      <c r="T61" s="80"/>
      <c r="U61" s="80"/>
    </row>
    <row r="62" s="45" customFormat="1" ht="39" customHeight="1" outlineLevel="1" spans="1:21">
      <c r="A62" s="66">
        <v>3.2</v>
      </c>
      <c r="B62" s="66" t="s">
        <v>140</v>
      </c>
      <c r="C62" s="68" t="s">
        <v>141</v>
      </c>
      <c r="D62" s="66" t="s">
        <v>84</v>
      </c>
      <c r="E62" s="67">
        <v>5.89</v>
      </c>
      <c r="F62" s="58">
        <f t="shared" ref="F62:H62" si="31">F47</f>
        <v>12</v>
      </c>
      <c r="G62" s="58">
        <f t="shared" si="31"/>
        <v>24.1468</v>
      </c>
      <c r="H62" s="58">
        <f t="shared" si="31"/>
        <v>4</v>
      </c>
      <c r="I62" s="73">
        <f>SUM(F62:H62)*$I$4</f>
        <v>4.01468</v>
      </c>
      <c r="J62" s="73">
        <f>SUM(F62:I62)*$J$4</f>
        <v>3.9745332</v>
      </c>
      <c r="K62" s="73">
        <f t="shared" si="29"/>
        <v>48.1360132</v>
      </c>
      <c r="L62" s="73">
        <f t="shared" si="30"/>
        <v>283.521117748</v>
      </c>
      <c r="M62" s="73"/>
      <c r="N62" s="74"/>
      <c r="O62" s="43"/>
      <c r="P62" s="43"/>
      <c r="Q62" s="43"/>
      <c r="R62" s="43"/>
      <c r="S62" s="80"/>
      <c r="T62" s="80"/>
      <c r="U62" s="80"/>
    </row>
    <row r="63" s="45" customFormat="1" ht="39" customHeight="1" outlineLevel="1" spans="1:21">
      <c r="A63" s="66">
        <v>3.3</v>
      </c>
      <c r="B63" s="66" t="s">
        <v>144</v>
      </c>
      <c r="C63" s="68" t="s">
        <v>164</v>
      </c>
      <c r="D63" s="66" t="s">
        <v>78</v>
      </c>
      <c r="E63" s="67">
        <f>8.48+1.22+3.99*2+5.95*2+0.74+0.247*2</f>
        <v>30.814</v>
      </c>
      <c r="F63" s="58">
        <f t="shared" ref="F63:H63" si="32">F49</f>
        <v>19</v>
      </c>
      <c r="G63" s="58">
        <f t="shared" si="32"/>
        <v>5</v>
      </c>
      <c r="H63" s="58">
        <f t="shared" si="32"/>
        <v>4</v>
      </c>
      <c r="I63" s="73">
        <f>SUM(F63:H63)*$I$4</f>
        <v>2.8</v>
      </c>
      <c r="J63" s="73">
        <f>SUM(F63:I63)*$J$4</f>
        <v>2.772</v>
      </c>
      <c r="K63" s="73">
        <f t="shared" si="29"/>
        <v>33.572</v>
      </c>
      <c r="L63" s="73">
        <f t="shared" si="30"/>
        <v>1034.487608</v>
      </c>
      <c r="M63" s="73" t="str">
        <f>M16</f>
        <v>答疑回复更改为乳胶漆</v>
      </c>
      <c r="N63" s="74"/>
      <c r="O63" s="43"/>
      <c r="P63" s="43"/>
      <c r="Q63" s="43"/>
      <c r="R63" s="43"/>
      <c r="S63" s="80"/>
      <c r="T63" s="80"/>
      <c r="U63" s="80"/>
    </row>
    <row r="64" s="45" customFormat="1" ht="103" customHeight="1" outlineLevel="1" spans="1:21">
      <c r="A64" s="66">
        <v>3.4</v>
      </c>
      <c r="B64" s="66" t="s">
        <v>147</v>
      </c>
      <c r="C64" s="68" t="s">
        <v>148</v>
      </c>
      <c r="D64" s="66" t="s">
        <v>84</v>
      </c>
      <c r="E64" s="67">
        <f>11.759+5.4+8.92*2+12.08*2</f>
        <v>59.159</v>
      </c>
      <c r="F64" s="58">
        <f t="shared" ref="F64:H64" si="33">F50</f>
        <v>38</v>
      </c>
      <c r="G64" s="58">
        <f t="shared" si="33"/>
        <v>1.75</v>
      </c>
      <c r="H64" s="58">
        <f t="shared" si="33"/>
        <v>54.537</v>
      </c>
      <c r="I64" s="73">
        <f>SUM(F64:H64)*$I$4</f>
        <v>9.4287</v>
      </c>
      <c r="J64" s="73">
        <f>SUM(F64:I64)*$J$4</f>
        <v>9.334413</v>
      </c>
      <c r="K64" s="73">
        <f t="shared" si="29"/>
        <v>113.050113</v>
      </c>
      <c r="L64" s="73">
        <f t="shared" si="30"/>
        <v>6687.931634967</v>
      </c>
      <c r="M64" s="73"/>
      <c r="N64" s="74"/>
      <c r="O64" s="43"/>
      <c r="P64" s="43"/>
      <c r="Q64" s="43"/>
      <c r="R64" s="43"/>
      <c r="S64" s="80"/>
      <c r="T64" s="80"/>
      <c r="U64" s="80"/>
    </row>
    <row r="65" s="45" customFormat="1" ht="39" customHeight="1" outlineLevel="1" spans="1:21">
      <c r="A65" s="66">
        <v>4</v>
      </c>
      <c r="B65" s="66" t="s">
        <v>92</v>
      </c>
      <c r="C65" s="66"/>
      <c r="D65" s="66" t="s">
        <v>93</v>
      </c>
      <c r="E65" s="67"/>
      <c r="F65" s="71"/>
      <c r="G65" s="71"/>
      <c r="H65" s="71"/>
      <c r="I65" s="78"/>
      <c r="J65" s="78"/>
      <c r="K65" s="78"/>
      <c r="L65" s="78">
        <f>SUM(L54:L64)</f>
        <v>39267.592591469</v>
      </c>
      <c r="M65" s="78"/>
      <c r="N65" s="79"/>
      <c r="O65" s="43"/>
      <c r="P65" s="43"/>
      <c r="Q65" s="43"/>
      <c r="R65" s="43"/>
      <c r="S65" s="80"/>
      <c r="T65" s="80"/>
      <c r="U65" s="80"/>
    </row>
    <row r="66" s="46" customFormat="1" ht="42.75" spans="1:21">
      <c r="A66" s="81" t="s">
        <v>110</v>
      </c>
      <c r="B66" s="82" t="s">
        <v>175</v>
      </c>
      <c r="C66" s="81" t="s">
        <v>150</v>
      </c>
      <c r="D66" s="83"/>
      <c r="E66" s="84"/>
      <c r="F66" s="84"/>
      <c r="G66" s="84"/>
      <c r="H66" s="84"/>
      <c r="I66" s="84"/>
      <c r="J66" s="84"/>
      <c r="K66" s="84"/>
      <c r="L66" s="71"/>
      <c r="M66" s="83" t="s">
        <v>176</v>
      </c>
      <c r="N66" s="87"/>
      <c r="O66" s="48"/>
      <c r="P66" s="48"/>
      <c r="Q66" s="48"/>
      <c r="R66" s="48"/>
      <c r="S66" s="80"/>
      <c r="T66" s="80"/>
      <c r="U66" s="80"/>
    </row>
    <row r="67" s="45" customFormat="1" ht="39" customHeight="1" outlineLevel="1" spans="1:21">
      <c r="A67" s="66">
        <v>1</v>
      </c>
      <c r="B67" s="66" t="s">
        <v>124</v>
      </c>
      <c r="C67" s="66"/>
      <c r="D67" s="66"/>
      <c r="E67" s="65"/>
      <c r="F67" s="71"/>
      <c r="G67" s="71"/>
      <c r="H67" s="71"/>
      <c r="I67" s="78"/>
      <c r="J67" s="78"/>
      <c r="K67" s="78"/>
      <c r="L67" s="78"/>
      <c r="M67" s="78"/>
      <c r="N67" s="79"/>
      <c r="O67" s="43"/>
      <c r="P67" s="43"/>
      <c r="Q67" s="43"/>
      <c r="R67" s="43"/>
      <c r="S67" s="80"/>
      <c r="T67" s="80"/>
      <c r="U67" s="80"/>
    </row>
    <row r="68" s="45" customFormat="1" ht="84" customHeight="1" outlineLevel="1" spans="1:21">
      <c r="A68" s="66">
        <v>1.1</v>
      </c>
      <c r="B68" s="66" t="s">
        <v>125</v>
      </c>
      <c r="C68" s="68" t="s">
        <v>166</v>
      </c>
      <c r="D68" s="66" t="s">
        <v>78</v>
      </c>
      <c r="E68" s="65">
        <v>26.04</v>
      </c>
      <c r="F68" s="58">
        <f>$F$7</f>
        <v>62</v>
      </c>
      <c r="G68" s="58">
        <f>$G$7</f>
        <v>58</v>
      </c>
      <c r="H68" s="58">
        <f>$H$7</f>
        <v>65</v>
      </c>
      <c r="I68" s="73">
        <f>SUM(F68:H68)*$I$4</f>
        <v>18.5</v>
      </c>
      <c r="J68" s="73">
        <f>SUM(F68:I68)*$J$4</f>
        <v>18.315</v>
      </c>
      <c r="K68" s="73">
        <f t="shared" ref="K68:K72" si="34">SUM(F68:J68)</f>
        <v>221.815</v>
      </c>
      <c r="L68" s="73">
        <f t="shared" ref="L68:L72" si="35">E68*K68</f>
        <v>5776.0626</v>
      </c>
      <c r="M68" s="78"/>
      <c r="N68" s="74">
        <f>E68*G68</f>
        <v>1510.32</v>
      </c>
      <c r="O68" s="43"/>
      <c r="P68" s="43"/>
      <c r="Q68" s="43"/>
      <c r="R68" s="43"/>
      <c r="S68" s="80"/>
      <c r="T68" s="80"/>
      <c r="U68" s="80"/>
    </row>
    <row r="69" s="45" customFormat="1" ht="39" customHeight="1" outlineLevel="1" spans="1:21">
      <c r="A69" s="66">
        <v>2</v>
      </c>
      <c r="B69" s="66" t="s">
        <v>128</v>
      </c>
      <c r="C69" s="66"/>
      <c r="D69" s="66"/>
      <c r="E69" s="65"/>
      <c r="F69" s="71"/>
      <c r="G69" s="71"/>
      <c r="H69" s="71"/>
      <c r="I69" s="78"/>
      <c r="J69" s="78"/>
      <c r="K69" s="78"/>
      <c r="L69" s="78"/>
      <c r="M69" s="78"/>
      <c r="N69" s="79"/>
      <c r="O69" s="43"/>
      <c r="P69" s="43"/>
      <c r="Q69" s="43"/>
      <c r="R69" s="43"/>
      <c r="S69" s="80"/>
      <c r="T69" s="80"/>
      <c r="U69" s="80"/>
    </row>
    <row r="70" s="45" customFormat="1" ht="93" customHeight="1" outlineLevel="1" spans="1:21">
      <c r="A70" s="66">
        <v>2.1</v>
      </c>
      <c r="B70" s="69" t="s">
        <v>129</v>
      </c>
      <c r="C70" s="70" t="s">
        <v>167</v>
      </c>
      <c r="D70" s="66" t="s">
        <v>78</v>
      </c>
      <c r="E70" s="65">
        <f>11-5.6-0.84+8.45-1.92+17.32-2.56+23.7-2.4+12.34-2.1-2.15-1.28+12.34-2.45-2.5-2.46+11.52-2.04+11.52</f>
        <v>79.89</v>
      </c>
      <c r="F70" s="58">
        <f>$F$9</f>
        <v>55</v>
      </c>
      <c r="G70" s="58">
        <f>$G$9</f>
        <v>58</v>
      </c>
      <c r="H70" s="58">
        <f>$H$9</f>
        <v>25.4</v>
      </c>
      <c r="I70" s="73">
        <f>SUM(F70:H70)*$I$4</f>
        <v>13.84</v>
      </c>
      <c r="J70" s="73">
        <f>SUM(F70:I70)*$J$4</f>
        <v>13.7016</v>
      </c>
      <c r="K70" s="73">
        <f t="shared" si="34"/>
        <v>165.9416</v>
      </c>
      <c r="L70" s="73">
        <f t="shared" si="35"/>
        <v>13257.074424</v>
      </c>
      <c r="M70" s="78"/>
      <c r="N70" s="74">
        <f>E70*G70</f>
        <v>4633.62</v>
      </c>
      <c r="O70" s="43"/>
      <c r="P70" s="43"/>
      <c r="Q70" s="43"/>
      <c r="R70" s="43"/>
      <c r="S70" s="80"/>
      <c r="T70" s="80"/>
      <c r="U70" s="80"/>
    </row>
    <row r="71" s="45" customFormat="1" ht="39" customHeight="1" outlineLevel="1" spans="1:21">
      <c r="A71" s="66">
        <v>2.2</v>
      </c>
      <c r="B71" s="66" t="s">
        <v>133</v>
      </c>
      <c r="C71" s="68" t="s">
        <v>134</v>
      </c>
      <c r="D71" s="66" t="s">
        <v>135</v>
      </c>
      <c r="E71" s="65">
        <v>1</v>
      </c>
      <c r="F71" s="58">
        <f>$F$11</f>
        <v>165</v>
      </c>
      <c r="G71" s="58">
        <f>$G$11</f>
        <v>324</v>
      </c>
      <c r="H71" s="58">
        <f>$H$11</f>
        <v>115</v>
      </c>
      <c r="I71" s="73">
        <f>SUM(F71:H71)*$I$4</f>
        <v>60.4</v>
      </c>
      <c r="J71" s="73">
        <f>SUM(F71:I71)*$J$4</f>
        <v>59.796</v>
      </c>
      <c r="K71" s="73">
        <f t="shared" si="34"/>
        <v>724.196</v>
      </c>
      <c r="L71" s="73">
        <f t="shared" si="35"/>
        <v>724.196</v>
      </c>
      <c r="M71" s="78"/>
      <c r="N71" s="79"/>
      <c r="O71" s="43"/>
      <c r="P71" s="43"/>
      <c r="Q71" s="43"/>
      <c r="R71" s="43"/>
      <c r="S71" s="80"/>
      <c r="T71" s="80"/>
      <c r="U71" s="80"/>
    </row>
    <row r="72" s="45" customFormat="1" ht="39" customHeight="1" outlineLevel="1" spans="1:21">
      <c r="A72" s="66">
        <v>2.3</v>
      </c>
      <c r="B72" s="66" t="s">
        <v>160</v>
      </c>
      <c r="C72" s="68" t="s">
        <v>177</v>
      </c>
      <c r="D72" s="66" t="s">
        <v>78</v>
      </c>
      <c r="E72" s="65">
        <f>2*2.9+1.1*2.1</f>
        <v>8.11</v>
      </c>
      <c r="F72" s="58">
        <f>$F$28</f>
        <v>165</v>
      </c>
      <c r="G72" s="58">
        <f>$G$28</f>
        <v>135</v>
      </c>
      <c r="H72" s="58">
        <f>$H$28</f>
        <v>420</v>
      </c>
      <c r="I72" s="73">
        <f>SUM(F72:H72)*$I$4</f>
        <v>72</v>
      </c>
      <c r="J72" s="73">
        <f>SUM(F72:I72)*$J$4</f>
        <v>71.28</v>
      </c>
      <c r="K72" s="73">
        <f t="shared" si="34"/>
        <v>863.28</v>
      </c>
      <c r="L72" s="73">
        <f t="shared" si="35"/>
        <v>7001.2008</v>
      </c>
      <c r="M72" s="78"/>
      <c r="N72" s="79"/>
      <c r="O72" s="43"/>
      <c r="P72" s="43"/>
      <c r="Q72" s="43"/>
      <c r="R72" s="43"/>
      <c r="S72" s="80"/>
      <c r="T72" s="80"/>
      <c r="U72" s="80"/>
    </row>
    <row r="73" s="45" customFormat="1" ht="39" customHeight="1" outlineLevel="1" spans="1:21">
      <c r="A73" s="66">
        <v>3</v>
      </c>
      <c r="B73" s="66" t="s">
        <v>136</v>
      </c>
      <c r="C73" s="66"/>
      <c r="D73" s="66"/>
      <c r="E73" s="65"/>
      <c r="F73" s="71"/>
      <c r="G73" s="71"/>
      <c r="H73" s="71"/>
      <c r="I73" s="78"/>
      <c r="J73" s="78"/>
      <c r="K73" s="78"/>
      <c r="L73" s="78"/>
      <c r="M73" s="78"/>
      <c r="N73" s="79"/>
      <c r="O73" s="43"/>
      <c r="P73" s="43"/>
      <c r="Q73" s="43"/>
      <c r="R73" s="43"/>
      <c r="S73" s="80"/>
      <c r="T73" s="80"/>
      <c r="U73" s="80"/>
    </row>
    <row r="74" s="45" customFormat="1" ht="81" customHeight="1" outlineLevel="1" spans="1:21">
      <c r="A74" s="66">
        <v>3.1</v>
      </c>
      <c r="B74" s="66" t="s">
        <v>137</v>
      </c>
      <c r="C74" s="68" t="s">
        <v>162</v>
      </c>
      <c r="D74" s="66" t="s">
        <v>139</v>
      </c>
      <c r="E74" s="65">
        <v>5.56</v>
      </c>
      <c r="F74" s="71">
        <f t="shared" ref="F74:H74" si="36">F61</f>
        <v>114.904</v>
      </c>
      <c r="G74" s="71">
        <f t="shared" si="36"/>
        <v>10.219248</v>
      </c>
      <c r="H74" s="71">
        <f t="shared" si="36"/>
        <v>159</v>
      </c>
      <c r="I74" s="73">
        <f>SUM(F74:H74)*$I$4</f>
        <v>28.4123248</v>
      </c>
      <c r="J74" s="73">
        <f>SUM(F74:I74)*$J$4</f>
        <v>28.128201552</v>
      </c>
      <c r="K74" s="73">
        <f t="shared" ref="K74:K78" si="37">SUM(F74:J74)</f>
        <v>340.663774352</v>
      </c>
      <c r="L74" s="73">
        <f t="shared" ref="L74:L78" si="38">E74*K74</f>
        <v>1894.09058539712</v>
      </c>
      <c r="M74" s="78"/>
      <c r="N74" s="79"/>
      <c r="O74" s="43"/>
      <c r="P74" s="43"/>
      <c r="Q74" s="43"/>
      <c r="R74" s="43"/>
      <c r="S74" s="80"/>
      <c r="T74" s="80"/>
      <c r="U74" s="80"/>
    </row>
    <row r="75" s="45" customFormat="1" ht="39" customHeight="1" outlineLevel="1" spans="1:21">
      <c r="A75" s="66">
        <v>3.2</v>
      </c>
      <c r="B75" s="66" t="s">
        <v>140</v>
      </c>
      <c r="C75" s="68" t="s">
        <v>141</v>
      </c>
      <c r="D75" s="66" t="s">
        <v>84</v>
      </c>
      <c r="E75" s="65">
        <v>7.189</v>
      </c>
      <c r="F75" s="71">
        <f t="shared" ref="F75:H75" si="39">F62</f>
        <v>12</v>
      </c>
      <c r="G75" s="71">
        <f t="shared" si="39"/>
        <v>24.1468</v>
      </c>
      <c r="H75" s="71">
        <f t="shared" si="39"/>
        <v>4</v>
      </c>
      <c r="I75" s="73">
        <f>SUM(F75:H75)*$I$4</f>
        <v>4.01468</v>
      </c>
      <c r="J75" s="73">
        <f>SUM(F75:I75)*$J$4</f>
        <v>3.9745332</v>
      </c>
      <c r="K75" s="73">
        <f t="shared" si="37"/>
        <v>48.1360132</v>
      </c>
      <c r="L75" s="73">
        <f t="shared" si="38"/>
        <v>346.0497988948</v>
      </c>
      <c r="M75" s="78"/>
      <c r="N75" s="79"/>
      <c r="O75" s="43"/>
      <c r="P75" s="43"/>
      <c r="Q75" s="43"/>
      <c r="R75" s="43"/>
      <c r="S75" s="80"/>
      <c r="T75" s="80"/>
      <c r="U75" s="80"/>
    </row>
    <row r="76" s="45" customFormat="1" ht="102" customHeight="1" outlineLevel="1" spans="1:21">
      <c r="A76" s="66">
        <v>3.3</v>
      </c>
      <c r="B76" s="66" t="s">
        <v>142</v>
      </c>
      <c r="C76" s="68" t="s">
        <v>178</v>
      </c>
      <c r="D76" s="66" t="s">
        <v>78</v>
      </c>
      <c r="E76" s="65">
        <f>2.68+1.98</f>
        <v>4.66</v>
      </c>
      <c r="F76" s="71">
        <f t="shared" ref="F76:H76" si="40">F48</f>
        <v>75</v>
      </c>
      <c r="G76" s="71">
        <f t="shared" si="40"/>
        <v>5</v>
      </c>
      <c r="H76" s="71">
        <f t="shared" si="40"/>
        <v>62.2006</v>
      </c>
      <c r="I76" s="73">
        <f>SUM(F76:H76)*$I$4</f>
        <v>14.22006</v>
      </c>
      <c r="J76" s="73">
        <f>SUM(F76:I76)*$J$4</f>
        <v>14.0778594</v>
      </c>
      <c r="K76" s="73">
        <f t="shared" si="37"/>
        <v>170.4985194</v>
      </c>
      <c r="L76" s="73">
        <f t="shared" si="38"/>
        <v>794.523100404</v>
      </c>
      <c r="M76" s="78"/>
      <c r="N76" s="79"/>
      <c r="O76" s="43"/>
      <c r="P76" s="43"/>
      <c r="Q76" s="43"/>
      <c r="R76" s="43"/>
      <c r="S76" s="80"/>
      <c r="T76" s="80"/>
      <c r="U76" s="80"/>
    </row>
    <row r="77" s="45" customFormat="1" ht="90.75" customHeight="1" outlineLevel="1" spans="1:21">
      <c r="A77" s="66">
        <v>3.4</v>
      </c>
      <c r="B77" s="66" t="s">
        <v>144</v>
      </c>
      <c r="C77" s="68" t="s">
        <v>164</v>
      </c>
      <c r="D77" s="66" t="s">
        <v>78</v>
      </c>
      <c r="E77" s="65">
        <f>8.33+6.38</f>
        <v>14.71</v>
      </c>
      <c r="F77" s="71">
        <f t="shared" ref="F77:H77" si="41">F49</f>
        <v>19</v>
      </c>
      <c r="G77" s="71">
        <f t="shared" si="41"/>
        <v>5</v>
      </c>
      <c r="H77" s="71">
        <f t="shared" si="41"/>
        <v>4</v>
      </c>
      <c r="I77" s="73">
        <f>SUM(F77:H77)*$I$4</f>
        <v>2.8</v>
      </c>
      <c r="J77" s="73">
        <f>SUM(F77:I77)*$J$4</f>
        <v>2.772</v>
      </c>
      <c r="K77" s="73">
        <f t="shared" si="37"/>
        <v>33.572</v>
      </c>
      <c r="L77" s="73">
        <f t="shared" si="38"/>
        <v>493.84412</v>
      </c>
      <c r="M77" s="78" t="str">
        <f>M16</f>
        <v>答疑回复更改为乳胶漆</v>
      </c>
      <c r="N77" s="79"/>
      <c r="O77" s="43"/>
      <c r="P77" s="43"/>
      <c r="Q77" s="43"/>
      <c r="R77" s="43"/>
      <c r="S77" s="80"/>
      <c r="T77" s="80"/>
      <c r="U77" s="80"/>
    </row>
    <row r="78" s="45" customFormat="1" ht="60" customHeight="1" outlineLevel="1" spans="1:21">
      <c r="A78" s="66">
        <v>3.5</v>
      </c>
      <c r="B78" s="66" t="s">
        <v>147</v>
      </c>
      <c r="C78" s="68" t="s">
        <v>148</v>
      </c>
      <c r="D78" s="66" t="s">
        <v>84</v>
      </c>
      <c r="E78" s="65">
        <v>12.76</v>
      </c>
      <c r="F78" s="71">
        <f t="shared" ref="F78:H78" si="42">F50</f>
        <v>38</v>
      </c>
      <c r="G78" s="71">
        <f t="shared" si="42"/>
        <v>1.75</v>
      </c>
      <c r="H78" s="71">
        <f t="shared" si="42"/>
        <v>54.537</v>
      </c>
      <c r="I78" s="73">
        <f>SUM(F78:H78)*$I$4</f>
        <v>9.4287</v>
      </c>
      <c r="J78" s="73">
        <f>SUM(F78:I78)*$J$4</f>
        <v>9.334413</v>
      </c>
      <c r="K78" s="73">
        <f t="shared" si="37"/>
        <v>113.050113</v>
      </c>
      <c r="L78" s="73">
        <f t="shared" si="38"/>
        <v>1442.51944188</v>
      </c>
      <c r="M78" s="78"/>
      <c r="N78" s="79"/>
      <c r="O78" s="43"/>
      <c r="P78" s="43"/>
      <c r="Q78" s="43"/>
      <c r="R78" s="43"/>
      <c r="S78" s="80"/>
      <c r="T78" s="80"/>
      <c r="U78" s="80"/>
    </row>
    <row r="79" s="45" customFormat="1" ht="73.5" customHeight="1" outlineLevel="1" spans="1:21">
      <c r="A79" s="66">
        <v>4</v>
      </c>
      <c r="B79" s="66" t="s">
        <v>92</v>
      </c>
      <c r="C79" s="66"/>
      <c r="D79" s="66" t="s">
        <v>93</v>
      </c>
      <c r="E79" s="65"/>
      <c r="F79" s="71"/>
      <c r="G79" s="71"/>
      <c r="H79" s="71"/>
      <c r="I79" s="78"/>
      <c r="J79" s="78"/>
      <c r="K79" s="78"/>
      <c r="L79" s="78">
        <f>SUM(L68:L78)</f>
        <v>31729.5608705759</v>
      </c>
      <c r="M79" s="78"/>
      <c r="N79" s="79"/>
      <c r="O79" s="43"/>
      <c r="P79" s="43"/>
      <c r="Q79" s="43"/>
      <c r="R79" s="43"/>
      <c r="S79" s="80"/>
      <c r="T79" s="80"/>
      <c r="U79" s="80"/>
    </row>
    <row r="80" s="46" customFormat="1" ht="59.25" customHeight="1" spans="1:21">
      <c r="A80" s="81" t="s">
        <v>112</v>
      </c>
      <c r="B80" s="82" t="s">
        <v>179</v>
      </c>
      <c r="C80" s="81" t="s">
        <v>150</v>
      </c>
      <c r="D80" s="83"/>
      <c r="E80" s="84"/>
      <c r="F80" s="84"/>
      <c r="G80" s="84"/>
      <c r="H80" s="84"/>
      <c r="I80" s="84"/>
      <c r="J80" s="84"/>
      <c r="K80" s="84"/>
      <c r="L80" s="71"/>
      <c r="M80" s="83" t="s">
        <v>123</v>
      </c>
      <c r="N80" s="87"/>
      <c r="O80" s="48"/>
      <c r="P80" s="48"/>
      <c r="Q80" s="48"/>
      <c r="R80" s="48"/>
      <c r="S80" s="80"/>
      <c r="T80" s="80"/>
      <c r="U80" s="80"/>
    </row>
    <row r="81" s="45" customFormat="1" ht="39" customHeight="1" outlineLevel="1" spans="1:21">
      <c r="A81" s="66">
        <v>1</v>
      </c>
      <c r="B81" s="66" t="s">
        <v>124</v>
      </c>
      <c r="C81" s="66"/>
      <c r="D81" s="66"/>
      <c r="E81" s="65"/>
      <c r="F81" s="71"/>
      <c r="G81" s="71"/>
      <c r="H81" s="71"/>
      <c r="I81" s="78"/>
      <c r="J81" s="78"/>
      <c r="K81" s="78"/>
      <c r="L81" s="78"/>
      <c r="M81" s="78"/>
      <c r="N81" s="79"/>
      <c r="O81" s="43"/>
      <c r="P81" s="43"/>
      <c r="Q81" s="43"/>
      <c r="R81" s="43"/>
      <c r="S81" s="80"/>
      <c r="T81" s="80"/>
      <c r="U81" s="80"/>
    </row>
    <row r="82" s="45" customFormat="1" ht="81" customHeight="1" outlineLevel="1" spans="1:21">
      <c r="A82" s="66">
        <v>1.1</v>
      </c>
      <c r="B82" s="66" t="s">
        <v>125</v>
      </c>
      <c r="C82" s="68" t="s">
        <v>166</v>
      </c>
      <c r="D82" s="66" t="s">
        <v>78</v>
      </c>
      <c r="E82" s="65">
        <v>30.9</v>
      </c>
      <c r="F82" s="58">
        <f>$F$7</f>
        <v>62</v>
      </c>
      <c r="G82" s="58">
        <f>$G$7</f>
        <v>58</v>
      </c>
      <c r="H82" s="58">
        <f>$H$7</f>
        <v>65</v>
      </c>
      <c r="I82" s="73">
        <f>SUM(F82:H82)*$I$4</f>
        <v>18.5</v>
      </c>
      <c r="J82" s="73">
        <f>SUM(F82:I82)*$J$4</f>
        <v>18.315</v>
      </c>
      <c r="K82" s="73">
        <f t="shared" ref="K82:K87" si="43">SUM(F82:J82)</f>
        <v>221.815</v>
      </c>
      <c r="L82" s="73">
        <f t="shared" ref="L82:L87" si="44">E82*K82</f>
        <v>6854.0835</v>
      </c>
      <c r="M82" s="78"/>
      <c r="N82" s="74">
        <f>E82*G82</f>
        <v>1792.2</v>
      </c>
      <c r="O82" s="43"/>
      <c r="P82" s="43"/>
      <c r="Q82" s="43"/>
      <c r="R82" s="43"/>
      <c r="S82" s="80"/>
      <c r="T82" s="80"/>
      <c r="U82" s="80"/>
    </row>
    <row r="83" s="45" customFormat="1" ht="33" customHeight="1" outlineLevel="1" spans="1:21">
      <c r="A83" s="66">
        <v>2</v>
      </c>
      <c r="B83" s="66" t="s">
        <v>128</v>
      </c>
      <c r="C83" s="66"/>
      <c r="D83" s="66"/>
      <c r="E83" s="65"/>
      <c r="F83" s="71"/>
      <c r="G83" s="71"/>
      <c r="H83" s="71"/>
      <c r="I83" s="78"/>
      <c r="J83" s="78"/>
      <c r="K83" s="78"/>
      <c r="L83" s="78"/>
      <c r="M83" s="78"/>
      <c r="N83" s="79"/>
      <c r="O83" s="43"/>
      <c r="P83" s="43"/>
      <c r="Q83" s="43"/>
      <c r="R83" s="43"/>
      <c r="S83" s="80"/>
      <c r="T83" s="80"/>
      <c r="U83" s="80"/>
    </row>
    <row r="84" s="45" customFormat="1" ht="90" customHeight="1" outlineLevel="1" spans="1:21">
      <c r="A84" s="66">
        <v>2.1</v>
      </c>
      <c r="B84" s="69" t="s">
        <v>129</v>
      </c>
      <c r="C84" s="70" t="s">
        <v>167</v>
      </c>
      <c r="D84" s="66" t="s">
        <v>78</v>
      </c>
      <c r="E84" s="65">
        <f>3.23-0.84+8.15-0.96-1.2-2.46+8.75-4+4.93-1.6+15.5-2.16+18.36+11.99-2.19-0.52+6.5-2.5</f>
        <v>58.98</v>
      </c>
      <c r="F84" s="58">
        <f>$F$9</f>
        <v>55</v>
      </c>
      <c r="G84" s="58">
        <f>$G$9</f>
        <v>58</v>
      </c>
      <c r="H84" s="58">
        <f>$H$9</f>
        <v>25.4</v>
      </c>
      <c r="I84" s="73">
        <f>SUM(F84:H84)*$I$4</f>
        <v>13.84</v>
      </c>
      <c r="J84" s="73">
        <f>SUM(F84:I84)*$J$4</f>
        <v>13.7016</v>
      </c>
      <c r="K84" s="73">
        <f t="shared" si="43"/>
        <v>165.9416</v>
      </c>
      <c r="L84" s="73">
        <f t="shared" si="44"/>
        <v>9787.235568</v>
      </c>
      <c r="M84" s="78"/>
      <c r="N84" s="74">
        <f>E84*G84</f>
        <v>3420.84</v>
      </c>
      <c r="O84" s="43"/>
      <c r="P84" s="43"/>
      <c r="Q84" s="43"/>
      <c r="R84" s="43"/>
      <c r="S84" s="80"/>
      <c r="T84" s="80"/>
      <c r="U84" s="80"/>
    </row>
    <row r="85" s="45" customFormat="1" ht="39" customHeight="1" outlineLevel="1" spans="1:21">
      <c r="A85" s="66">
        <v>2.2</v>
      </c>
      <c r="B85" s="66" t="s">
        <v>133</v>
      </c>
      <c r="C85" s="68" t="s">
        <v>134</v>
      </c>
      <c r="D85" s="66" t="s">
        <v>135</v>
      </c>
      <c r="E85" s="65">
        <v>1</v>
      </c>
      <c r="F85" s="58">
        <f>$F$11</f>
        <v>165</v>
      </c>
      <c r="G85" s="58">
        <f>$G$11</f>
        <v>324</v>
      </c>
      <c r="H85" s="58">
        <f>$H$11</f>
        <v>115</v>
      </c>
      <c r="I85" s="73">
        <f>SUM(F85:H85)*$I$4</f>
        <v>60.4</v>
      </c>
      <c r="J85" s="73">
        <f>SUM(F85:I85)*$J$4</f>
        <v>59.796</v>
      </c>
      <c r="K85" s="73">
        <f t="shared" si="43"/>
        <v>724.196</v>
      </c>
      <c r="L85" s="73">
        <f t="shared" si="44"/>
        <v>724.196</v>
      </c>
      <c r="M85" s="78"/>
      <c r="N85" s="79"/>
      <c r="O85" s="43"/>
      <c r="P85" s="43"/>
      <c r="Q85" s="43"/>
      <c r="R85" s="43"/>
      <c r="S85" s="80"/>
      <c r="T85" s="80"/>
      <c r="U85" s="80"/>
    </row>
    <row r="86" s="45" customFormat="1" ht="44" customHeight="1" outlineLevel="1" spans="1:21">
      <c r="A86" s="66">
        <v>2.3</v>
      </c>
      <c r="B86" s="66" t="s">
        <v>154</v>
      </c>
      <c r="C86" s="68" t="s">
        <v>155</v>
      </c>
      <c r="D86" s="66" t="s">
        <v>78</v>
      </c>
      <c r="E86" s="65"/>
      <c r="F86" s="71">
        <f t="shared" ref="F86:H86" si="45">F58</f>
        <v>12</v>
      </c>
      <c r="G86" s="71">
        <f t="shared" si="45"/>
        <v>19.6948</v>
      </c>
      <c r="H86" s="71">
        <f t="shared" si="45"/>
        <v>1</v>
      </c>
      <c r="I86" s="73">
        <f>SUM(F86:H86)*$I$4</f>
        <v>3.26948</v>
      </c>
      <c r="J86" s="73">
        <f>SUM(F86:I86)*$J$4</f>
        <v>3.2367852</v>
      </c>
      <c r="K86" s="73">
        <f t="shared" si="43"/>
        <v>39.2010652</v>
      </c>
      <c r="L86" s="73">
        <f t="shared" si="44"/>
        <v>0</v>
      </c>
      <c r="M86" s="78"/>
      <c r="N86" s="79"/>
      <c r="O86" s="43"/>
      <c r="P86" s="43"/>
      <c r="Q86" s="43"/>
      <c r="R86" s="43"/>
      <c r="S86" s="80"/>
      <c r="T86" s="80"/>
      <c r="U86" s="80"/>
    </row>
    <row r="87" s="45" customFormat="1" ht="45" customHeight="1" outlineLevel="1" spans="1:21">
      <c r="A87" s="66">
        <v>2.4</v>
      </c>
      <c r="B87" s="66" t="s">
        <v>160</v>
      </c>
      <c r="C87" s="68" t="s">
        <v>180</v>
      </c>
      <c r="D87" s="66" t="s">
        <v>78</v>
      </c>
      <c r="E87" s="65">
        <f>1.8*2.3</f>
        <v>4.14</v>
      </c>
      <c r="F87" s="58">
        <f>$F$28</f>
        <v>165</v>
      </c>
      <c r="G87" s="58">
        <f>$G$28</f>
        <v>135</v>
      </c>
      <c r="H87" s="58">
        <f>$H$28</f>
        <v>420</v>
      </c>
      <c r="I87" s="73">
        <f>SUM(F87:H87)*$I$4</f>
        <v>72</v>
      </c>
      <c r="J87" s="73">
        <f>SUM(F87:I87)*$J$4</f>
        <v>71.28</v>
      </c>
      <c r="K87" s="73">
        <f t="shared" si="43"/>
        <v>863.28</v>
      </c>
      <c r="L87" s="73">
        <f t="shared" si="44"/>
        <v>3573.9792</v>
      </c>
      <c r="M87" s="78"/>
      <c r="N87" s="79"/>
      <c r="O87" s="43"/>
      <c r="P87" s="43"/>
      <c r="Q87" s="43"/>
      <c r="R87" s="43"/>
      <c r="S87" s="80"/>
      <c r="T87" s="80"/>
      <c r="U87" s="80"/>
    </row>
    <row r="88" s="47" customFormat="1" ht="45" customHeight="1" outlineLevel="1" spans="1:21">
      <c r="A88" s="66">
        <v>3</v>
      </c>
      <c r="B88" s="66" t="s">
        <v>136</v>
      </c>
      <c r="C88" s="66"/>
      <c r="D88" s="66"/>
      <c r="E88" s="65"/>
      <c r="F88" s="71"/>
      <c r="G88" s="71"/>
      <c r="H88" s="71"/>
      <c r="I88" s="78"/>
      <c r="J88" s="78"/>
      <c r="K88" s="78"/>
      <c r="L88" s="78"/>
      <c r="M88" s="78"/>
      <c r="N88" s="79"/>
      <c r="S88" s="80"/>
      <c r="T88" s="80"/>
      <c r="U88" s="80"/>
    </row>
    <row r="89" s="43" customFormat="1" ht="108" outlineLevel="1" spans="1:21">
      <c r="A89" s="66">
        <v>3.1</v>
      </c>
      <c r="B89" s="66" t="s">
        <v>137</v>
      </c>
      <c r="C89" s="68" t="s">
        <v>162</v>
      </c>
      <c r="D89" s="66" t="s">
        <v>139</v>
      </c>
      <c r="E89" s="65">
        <v>12.38</v>
      </c>
      <c r="F89" s="71">
        <f t="shared" ref="F89:H89" si="46">F74</f>
        <v>114.904</v>
      </c>
      <c r="G89" s="71">
        <f t="shared" si="46"/>
        <v>10.219248</v>
      </c>
      <c r="H89" s="71">
        <f t="shared" si="46"/>
        <v>159</v>
      </c>
      <c r="I89" s="73">
        <f>SUM(F89:H89)*$I$4</f>
        <v>28.4123248</v>
      </c>
      <c r="J89" s="73">
        <f>SUM(F89:I89)*$J$4</f>
        <v>28.128201552</v>
      </c>
      <c r="K89" s="73">
        <f t="shared" ref="K89:K93" si="47">SUM(F89:J89)</f>
        <v>340.663774352</v>
      </c>
      <c r="L89" s="73">
        <f t="shared" ref="L89:L93" si="48">E89*K89</f>
        <v>4217.41752647776</v>
      </c>
      <c r="M89" s="78"/>
      <c r="N89" s="79"/>
      <c r="S89" s="80"/>
      <c r="T89" s="80"/>
      <c r="U89" s="80"/>
    </row>
    <row r="90" s="43" customFormat="1" ht="54" customHeight="1" outlineLevel="1" spans="1:21">
      <c r="A90" s="66">
        <v>3.2</v>
      </c>
      <c r="B90" s="66" t="s">
        <v>140</v>
      </c>
      <c r="C90" s="68" t="s">
        <v>141</v>
      </c>
      <c r="D90" s="66" t="s">
        <v>84</v>
      </c>
      <c r="E90" s="65">
        <v>10.12</v>
      </c>
      <c r="F90" s="71">
        <f t="shared" ref="F90:H90" si="49">F75</f>
        <v>12</v>
      </c>
      <c r="G90" s="71">
        <f t="shared" si="49"/>
        <v>24.1468</v>
      </c>
      <c r="H90" s="71">
        <f t="shared" si="49"/>
        <v>4</v>
      </c>
      <c r="I90" s="73">
        <f>SUM(F90:H90)*$I$4</f>
        <v>4.01468</v>
      </c>
      <c r="J90" s="73">
        <f>SUM(F90:I90)*$J$4</f>
        <v>3.9745332</v>
      </c>
      <c r="K90" s="73">
        <f t="shared" si="47"/>
        <v>48.1360132</v>
      </c>
      <c r="L90" s="73">
        <f t="shared" si="48"/>
        <v>487.136453584</v>
      </c>
      <c r="M90" s="78"/>
      <c r="N90" s="79"/>
      <c r="S90" s="80"/>
      <c r="T90" s="80"/>
      <c r="U90" s="80"/>
    </row>
    <row r="91" s="43" customFormat="1" ht="93" customHeight="1" outlineLevel="1" spans="1:21">
      <c r="A91" s="66">
        <v>3.3</v>
      </c>
      <c r="B91" s="66" t="s">
        <v>142</v>
      </c>
      <c r="C91" s="68" t="s">
        <v>163</v>
      </c>
      <c r="D91" s="66" t="s">
        <v>78</v>
      </c>
      <c r="E91" s="65">
        <f>10.42+1.08</f>
        <v>11.5</v>
      </c>
      <c r="F91" s="71">
        <f t="shared" ref="F91:H91" si="50">F76</f>
        <v>75</v>
      </c>
      <c r="G91" s="71">
        <f t="shared" si="50"/>
        <v>5</v>
      </c>
      <c r="H91" s="71">
        <f t="shared" si="50"/>
        <v>62.2006</v>
      </c>
      <c r="I91" s="73">
        <f>SUM(F91:H91)*$I$4</f>
        <v>14.22006</v>
      </c>
      <c r="J91" s="73">
        <f>SUM(F91:I91)*$J$4</f>
        <v>14.0778594</v>
      </c>
      <c r="K91" s="73">
        <f t="shared" si="47"/>
        <v>170.4985194</v>
      </c>
      <c r="L91" s="73">
        <f t="shared" si="48"/>
        <v>1960.7329731</v>
      </c>
      <c r="M91" s="78"/>
      <c r="N91" s="79"/>
      <c r="S91" s="80"/>
      <c r="T91" s="80"/>
      <c r="U91" s="80"/>
    </row>
    <row r="92" s="43" customFormat="1" ht="58" customHeight="1" outlineLevel="1" spans="1:21">
      <c r="A92" s="66">
        <v>3.4</v>
      </c>
      <c r="B92" s="66" t="s">
        <v>144</v>
      </c>
      <c r="C92" s="68" t="s">
        <v>164</v>
      </c>
      <c r="D92" s="66" t="s">
        <v>78</v>
      </c>
      <c r="E92" s="65">
        <v>5.72</v>
      </c>
      <c r="F92" s="71">
        <f t="shared" ref="F92:H92" si="51">F77</f>
        <v>19</v>
      </c>
      <c r="G92" s="71">
        <f t="shared" si="51"/>
        <v>5</v>
      </c>
      <c r="H92" s="71">
        <f t="shared" si="51"/>
        <v>4</v>
      </c>
      <c r="I92" s="73">
        <f>SUM(F92:H92)*$I$4</f>
        <v>2.8</v>
      </c>
      <c r="J92" s="73">
        <f>SUM(F92:I92)*$J$4</f>
        <v>2.772</v>
      </c>
      <c r="K92" s="73">
        <f t="shared" si="47"/>
        <v>33.572</v>
      </c>
      <c r="L92" s="73">
        <f t="shared" si="48"/>
        <v>192.03184</v>
      </c>
      <c r="M92" s="78" t="str">
        <f>M16</f>
        <v>答疑回复更改为乳胶漆</v>
      </c>
      <c r="N92" s="79"/>
      <c r="S92" s="80"/>
      <c r="T92" s="80"/>
      <c r="U92" s="80"/>
    </row>
    <row r="93" s="43" customFormat="1" ht="60" outlineLevel="1" spans="1:21">
      <c r="A93" s="66">
        <v>3.5</v>
      </c>
      <c r="B93" s="66" t="s">
        <v>147</v>
      </c>
      <c r="C93" s="68" t="s">
        <v>148</v>
      </c>
      <c r="D93" s="66" t="s">
        <v>84</v>
      </c>
      <c r="E93" s="65">
        <v>9.6</v>
      </c>
      <c r="F93" s="71">
        <f t="shared" ref="F93:H93" si="52">F78</f>
        <v>38</v>
      </c>
      <c r="G93" s="71">
        <f t="shared" si="52"/>
        <v>1.75</v>
      </c>
      <c r="H93" s="71">
        <f t="shared" si="52"/>
        <v>54.537</v>
      </c>
      <c r="I93" s="73">
        <f>SUM(F93:H93)*$I$4</f>
        <v>9.4287</v>
      </c>
      <c r="J93" s="73">
        <f>SUM(F93:I93)*$J$4</f>
        <v>9.334413</v>
      </c>
      <c r="K93" s="73">
        <f t="shared" si="47"/>
        <v>113.050113</v>
      </c>
      <c r="L93" s="73">
        <f t="shared" si="48"/>
        <v>1085.2810848</v>
      </c>
      <c r="M93" s="78"/>
      <c r="N93" s="79"/>
      <c r="S93" s="80"/>
      <c r="T93" s="80"/>
      <c r="U93" s="80"/>
    </row>
    <row r="94" s="43" customFormat="1" outlineLevel="1" spans="1:21">
      <c r="A94" s="66">
        <v>4</v>
      </c>
      <c r="B94" s="66" t="s">
        <v>92</v>
      </c>
      <c r="C94" s="66"/>
      <c r="D94" s="66" t="s">
        <v>93</v>
      </c>
      <c r="E94" s="65"/>
      <c r="F94" s="71"/>
      <c r="G94" s="71"/>
      <c r="H94" s="71"/>
      <c r="I94" s="78"/>
      <c r="J94" s="78"/>
      <c r="K94" s="78"/>
      <c r="L94" s="78">
        <f>SUM(L82:L93)</f>
        <v>28882.0941459618</v>
      </c>
      <c r="M94" s="78"/>
      <c r="N94" s="79"/>
      <c r="S94" s="80"/>
      <c r="T94" s="80"/>
      <c r="U94" s="80"/>
    </row>
    <row r="95" s="43" customFormat="1" ht="85.5" spans="1:21">
      <c r="A95" s="81" t="s">
        <v>114</v>
      </c>
      <c r="B95" s="82" t="s">
        <v>181</v>
      </c>
      <c r="C95" s="81" t="s">
        <v>150</v>
      </c>
      <c r="D95" s="83"/>
      <c r="E95" s="84"/>
      <c r="F95" s="84"/>
      <c r="G95" s="84"/>
      <c r="H95" s="84"/>
      <c r="I95" s="84"/>
      <c r="J95" s="84"/>
      <c r="K95" s="84"/>
      <c r="L95" s="71"/>
      <c r="M95" s="83" t="s">
        <v>182</v>
      </c>
      <c r="N95" s="87"/>
      <c r="S95" s="80"/>
      <c r="T95" s="80"/>
      <c r="U95" s="80"/>
    </row>
    <row r="96" s="43" customFormat="1" outlineLevel="1" spans="1:21">
      <c r="A96" s="66">
        <v>1</v>
      </c>
      <c r="B96" s="66" t="s">
        <v>124</v>
      </c>
      <c r="C96" s="66"/>
      <c r="D96" s="66"/>
      <c r="E96" s="65"/>
      <c r="F96" s="71"/>
      <c r="G96" s="71"/>
      <c r="H96" s="71"/>
      <c r="I96" s="78"/>
      <c r="J96" s="78"/>
      <c r="K96" s="78"/>
      <c r="L96" s="78"/>
      <c r="M96" s="78"/>
      <c r="N96" s="79"/>
      <c r="S96" s="80"/>
      <c r="T96" s="80"/>
      <c r="U96" s="80"/>
    </row>
    <row r="97" s="43" customFormat="1" ht="72" outlineLevel="1" spans="1:21">
      <c r="A97" s="66">
        <v>1.1</v>
      </c>
      <c r="B97" s="66" t="s">
        <v>125</v>
      </c>
      <c r="C97" s="68" t="s">
        <v>183</v>
      </c>
      <c r="D97" s="66" t="s">
        <v>78</v>
      </c>
      <c r="E97" s="65">
        <v>27.34</v>
      </c>
      <c r="F97" s="58">
        <f>$F$7</f>
        <v>62</v>
      </c>
      <c r="G97" s="58">
        <f>$G$7</f>
        <v>58</v>
      </c>
      <c r="H97" s="58">
        <f>$H$7</f>
        <v>65</v>
      </c>
      <c r="I97" s="73">
        <f>SUM(F97:H97)*$I$4</f>
        <v>18.5</v>
      </c>
      <c r="J97" s="73">
        <f>SUM(F97:I97)*$J$4</f>
        <v>18.315</v>
      </c>
      <c r="K97" s="73">
        <f t="shared" ref="K97:K102" si="53">SUM(F97:J97)</f>
        <v>221.815</v>
      </c>
      <c r="L97" s="73">
        <f t="shared" ref="L97:L102" si="54">E97*K97</f>
        <v>6064.4221</v>
      </c>
      <c r="M97" s="78"/>
      <c r="N97" s="79"/>
      <c r="S97" s="80"/>
      <c r="T97" s="80"/>
      <c r="U97" s="80"/>
    </row>
    <row r="98" s="43" customFormat="1" ht="33" customHeight="1" outlineLevel="1" spans="1:21">
      <c r="A98" s="66"/>
      <c r="B98" s="66"/>
      <c r="C98" s="68"/>
      <c r="D98" s="66"/>
      <c r="E98" s="65"/>
      <c r="F98" s="71"/>
      <c r="G98" s="71"/>
      <c r="H98" s="71"/>
      <c r="I98" s="78"/>
      <c r="J98" s="78"/>
      <c r="K98" s="78"/>
      <c r="L98" s="78"/>
      <c r="M98" s="78"/>
      <c r="N98" s="79"/>
      <c r="S98" s="80"/>
      <c r="T98" s="80"/>
      <c r="U98" s="80"/>
    </row>
    <row r="99" s="43" customFormat="1" ht="27" customHeight="1" outlineLevel="1" spans="1:21">
      <c r="A99" s="66">
        <v>2</v>
      </c>
      <c r="B99" s="66" t="s">
        <v>128</v>
      </c>
      <c r="C99" s="66"/>
      <c r="D99" s="66"/>
      <c r="E99" s="65"/>
      <c r="F99" s="71"/>
      <c r="G99" s="71"/>
      <c r="H99" s="71"/>
      <c r="I99" s="78"/>
      <c r="J99" s="78"/>
      <c r="K99" s="78"/>
      <c r="L99" s="78"/>
      <c r="M99" s="78"/>
      <c r="N99" s="79"/>
      <c r="S99" s="80"/>
      <c r="T99" s="80"/>
      <c r="U99" s="80"/>
    </row>
    <row r="100" s="43" customFormat="1" ht="72" outlineLevel="1" spans="1:21">
      <c r="A100" s="66">
        <v>2.1</v>
      </c>
      <c r="B100" s="69" t="s">
        <v>129</v>
      </c>
      <c r="C100" s="70" t="s">
        <v>167</v>
      </c>
      <c r="D100" s="66" t="s">
        <v>78</v>
      </c>
      <c r="E100" s="65">
        <f>12.33-2.69-0.52+5.86-1.99-0.96+9.3-2.5-2.46+6.48-1.999+13.92+13.3-2.46+5.711+8.74-3.89</f>
        <v>56.172</v>
      </c>
      <c r="F100" s="58">
        <f>$F$9</f>
        <v>55</v>
      </c>
      <c r="G100" s="58">
        <f>$G$9</f>
        <v>58</v>
      </c>
      <c r="H100" s="58">
        <f>$H$9</f>
        <v>25.4</v>
      </c>
      <c r="I100" s="73">
        <f>SUM(F100:H100)*$I$4</f>
        <v>13.84</v>
      </c>
      <c r="J100" s="73">
        <f>SUM(F100:I100)*$J$4</f>
        <v>13.7016</v>
      </c>
      <c r="K100" s="73">
        <f t="shared" si="53"/>
        <v>165.9416</v>
      </c>
      <c r="L100" s="73">
        <f t="shared" si="54"/>
        <v>9321.2715552</v>
      </c>
      <c r="M100" s="78"/>
      <c r="N100" s="79"/>
      <c r="S100" s="80"/>
      <c r="T100" s="80"/>
      <c r="U100" s="80"/>
    </row>
    <row r="101" s="43" customFormat="1" ht="36" outlineLevel="1" spans="1:21">
      <c r="A101" s="66">
        <v>2.2</v>
      </c>
      <c r="B101" s="66" t="s">
        <v>133</v>
      </c>
      <c r="C101" s="68" t="s">
        <v>134</v>
      </c>
      <c r="D101" s="66" t="s">
        <v>135</v>
      </c>
      <c r="E101" s="65">
        <v>1</v>
      </c>
      <c r="F101" s="58">
        <f>$F$11</f>
        <v>165</v>
      </c>
      <c r="G101" s="58">
        <f>$G$11</f>
        <v>324</v>
      </c>
      <c r="H101" s="58">
        <f>$H$11</f>
        <v>115</v>
      </c>
      <c r="I101" s="73">
        <f>SUM(F101:H101)*$I$4</f>
        <v>60.4</v>
      </c>
      <c r="J101" s="73">
        <f>SUM(F101:I101)*$J$4</f>
        <v>59.796</v>
      </c>
      <c r="K101" s="73">
        <f t="shared" si="53"/>
        <v>724.196</v>
      </c>
      <c r="L101" s="73">
        <f t="shared" si="54"/>
        <v>724.196</v>
      </c>
      <c r="M101" s="78"/>
      <c r="N101" s="79"/>
      <c r="S101" s="80"/>
      <c r="T101" s="80"/>
      <c r="U101" s="80"/>
    </row>
    <row r="102" s="43" customFormat="1" ht="48" customHeight="1" outlineLevel="1" spans="1:21">
      <c r="A102" s="66">
        <v>2.3</v>
      </c>
      <c r="B102" s="66" t="s">
        <v>160</v>
      </c>
      <c r="C102" s="68" t="s">
        <v>180</v>
      </c>
      <c r="D102" s="66" t="s">
        <v>78</v>
      </c>
      <c r="E102" s="65">
        <f>1.8*2.3</f>
        <v>4.14</v>
      </c>
      <c r="F102" s="58">
        <f>$F$28</f>
        <v>165</v>
      </c>
      <c r="G102" s="58">
        <f>$G$28</f>
        <v>135</v>
      </c>
      <c r="H102" s="58">
        <f>$H$28</f>
        <v>420</v>
      </c>
      <c r="I102" s="73">
        <f>SUM(F102:H102)*$I$4</f>
        <v>72</v>
      </c>
      <c r="J102" s="73">
        <f>SUM(F102:I102)*$J$4</f>
        <v>71.28</v>
      </c>
      <c r="K102" s="73">
        <f t="shared" si="53"/>
        <v>863.28</v>
      </c>
      <c r="L102" s="73">
        <f t="shared" si="54"/>
        <v>3573.9792</v>
      </c>
      <c r="M102" s="78"/>
      <c r="N102" s="79"/>
      <c r="S102" s="80"/>
      <c r="T102" s="80"/>
      <c r="U102" s="80"/>
    </row>
    <row r="103" s="43" customFormat="1" ht="19" customHeight="1" outlineLevel="1" spans="1:21">
      <c r="A103" s="66">
        <v>3</v>
      </c>
      <c r="B103" s="66" t="s">
        <v>136</v>
      </c>
      <c r="C103" s="66"/>
      <c r="D103" s="66"/>
      <c r="E103" s="65"/>
      <c r="F103" s="71"/>
      <c r="G103" s="71"/>
      <c r="H103" s="71"/>
      <c r="I103" s="78"/>
      <c r="J103" s="78"/>
      <c r="K103" s="78"/>
      <c r="L103" s="78"/>
      <c r="M103" s="78"/>
      <c r="N103" s="79"/>
      <c r="S103" s="80"/>
      <c r="T103" s="80"/>
      <c r="U103" s="80"/>
    </row>
    <row r="104" s="48" customFormat="1" ht="117" customHeight="1" outlineLevel="1" spans="1:21">
      <c r="A104" s="85">
        <v>3.1</v>
      </c>
      <c r="B104" s="85" t="s">
        <v>137</v>
      </c>
      <c r="C104" s="86" t="s">
        <v>162</v>
      </c>
      <c r="D104" s="85" t="s">
        <v>139</v>
      </c>
      <c r="E104" s="84">
        <v>11.43</v>
      </c>
      <c r="F104" s="71">
        <f t="shared" ref="F104:H104" si="55">F89</f>
        <v>114.904</v>
      </c>
      <c r="G104" s="71">
        <f t="shared" si="55"/>
        <v>10.219248</v>
      </c>
      <c r="H104" s="71">
        <f t="shared" si="55"/>
        <v>159</v>
      </c>
      <c r="I104" s="58">
        <f>SUM(F104:H104)*$I$4</f>
        <v>28.4123248</v>
      </c>
      <c r="J104" s="58">
        <f>SUM(F104:I104)*$J$4</f>
        <v>28.128201552</v>
      </c>
      <c r="K104" s="58">
        <f t="shared" ref="K104:K108" si="56">SUM(F104:J104)</f>
        <v>340.663774352</v>
      </c>
      <c r="L104" s="58">
        <f t="shared" ref="L104:L108" si="57">E104*K104</f>
        <v>3893.78694084336</v>
      </c>
      <c r="M104" s="71"/>
      <c r="N104" s="88"/>
      <c r="S104" s="90"/>
      <c r="T104" s="90"/>
      <c r="U104" s="90"/>
    </row>
    <row r="105" s="43" customFormat="1" ht="54" customHeight="1" outlineLevel="1" spans="1:21">
      <c r="A105" s="66">
        <v>3.2</v>
      </c>
      <c r="B105" s="66" t="s">
        <v>140</v>
      </c>
      <c r="C105" s="68" t="s">
        <v>141</v>
      </c>
      <c r="D105" s="66" t="s">
        <v>84</v>
      </c>
      <c r="E105" s="65">
        <v>10.89</v>
      </c>
      <c r="F105" s="71">
        <f t="shared" ref="F105:H105" si="58">F90</f>
        <v>12</v>
      </c>
      <c r="G105" s="71">
        <f t="shared" si="58"/>
        <v>24.1468</v>
      </c>
      <c r="H105" s="71">
        <f t="shared" si="58"/>
        <v>4</v>
      </c>
      <c r="I105" s="73">
        <f>SUM(F105:H105)*$I$4</f>
        <v>4.01468</v>
      </c>
      <c r="J105" s="73">
        <f>SUM(F105:I105)*$J$4</f>
        <v>3.9745332</v>
      </c>
      <c r="K105" s="73">
        <f t="shared" si="56"/>
        <v>48.1360132</v>
      </c>
      <c r="L105" s="73">
        <f t="shared" si="57"/>
        <v>524.201183748</v>
      </c>
      <c r="M105" s="78"/>
      <c r="N105" s="79"/>
      <c r="S105" s="80"/>
      <c r="T105" s="80"/>
      <c r="U105" s="80"/>
    </row>
    <row r="106" s="43" customFormat="1" ht="84" outlineLevel="1" spans="1:21">
      <c r="A106" s="66">
        <v>3.3</v>
      </c>
      <c r="B106" s="66" t="s">
        <v>142</v>
      </c>
      <c r="C106" s="68" t="s">
        <v>163</v>
      </c>
      <c r="D106" s="66" t="s">
        <v>78</v>
      </c>
      <c r="E106" s="65">
        <f>3.92+4.28</f>
        <v>8.2</v>
      </c>
      <c r="F106" s="71">
        <f t="shared" ref="F106:H106" si="59">F91</f>
        <v>75</v>
      </c>
      <c r="G106" s="71">
        <f t="shared" si="59"/>
        <v>5</v>
      </c>
      <c r="H106" s="71">
        <f t="shared" si="59"/>
        <v>62.2006</v>
      </c>
      <c r="I106" s="73">
        <f>SUM(F106:H106)*$I$4</f>
        <v>14.22006</v>
      </c>
      <c r="J106" s="73">
        <f>SUM(F106:I106)*$J$4</f>
        <v>14.0778594</v>
      </c>
      <c r="K106" s="73">
        <f t="shared" si="56"/>
        <v>170.4985194</v>
      </c>
      <c r="L106" s="73">
        <f t="shared" si="57"/>
        <v>1398.08785908</v>
      </c>
      <c r="M106" s="78"/>
      <c r="N106" s="79"/>
      <c r="S106" s="80"/>
      <c r="T106" s="80"/>
      <c r="U106" s="80"/>
    </row>
    <row r="107" s="43" customFormat="1" ht="48" outlineLevel="1" spans="1:21">
      <c r="A107" s="66">
        <v>3.4</v>
      </c>
      <c r="B107" s="66" t="s">
        <v>144</v>
      </c>
      <c r="C107" s="68" t="s">
        <v>164</v>
      </c>
      <c r="D107" s="66" t="s">
        <v>78</v>
      </c>
      <c r="E107" s="65">
        <v>6.37</v>
      </c>
      <c r="F107" s="71">
        <f t="shared" ref="F107:H107" si="60">F92</f>
        <v>19</v>
      </c>
      <c r="G107" s="71">
        <f t="shared" si="60"/>
        <v>5</v>
      </c>
      <c r="H107" s="71">
        <f t="shared" si="60"/>
        <v>4</v>
      </c>
      <c r="I107" s="73">
        <f>SUM(F107:H107)*$I$4</f>
        <v>2.8</v>
      </c>
      <c r="J107" s="73">
        <f>SUM(F107:I107)*$J$4</f>
        <v>2.772</v>
      </c>
      <c r="K107" s="73">
        <f t="shared" si="56"/>
        <v>33.572</v>
      </c>
      <c r="L107" s="73">
        <f t="shared" si="57"/>
        <v>213.85364</v>
      </c>
      <c r="M107" s="78" t="str">
        <f>M16</f>
        <v>答疑回复更改为乳胶漆</v>
      </c>
      <c r="N107" s="79"/>
      <c r="S107" s="80"/>
      <c r="T107" s="80"/>
      <c r="U107" s="80"/>
    </row>
    <row r="108" s="43" customFormat="1" ht="60" outlineLevel="1" spans="1:21">
      <c r="A108" s="66">
        <v>3.5</v>
      </c>
      <c r="B108" s="66" t="s">
        <v>147</v>
      </c>
      <c r="C108" s="68" t="s">
        <v>148</v>
      </c>
      <c r="D108" s="66" t="s">
        <v>84</v>
      </c>
      <c r="E108" s="65">
        <v>12.75</v>
      </c>
      <c r="F108" s="71">
        <f t="shared" ref="F108:H108" si="61">F93</f>
        <v>38</v>
      </c>
      <c r="G108" s="71">
        <f t="shared" si="61"/>
        <v>1.75</v>
      </c>
      <c r="H108" s="71">
        <f t="shared" si="61"/>
        <v>54.537</v>
      </c>
      <c r="I108" s="73">
        <f>SUM(F108:H108)*$I$4</f>
        <v>9.4287</v>
      </c>
      <c r="J108" s="73">
        <f>SUM(F108:I108)*$J$4</f>
        <v>9.334413</v>
      </c>
      <c r="K108" s="73">
        <f t="shared" si="56"/>
        <v>113.050113</v>
      </c>
      <c r="L108" s="73">
        <f t="shared" si="57"/>
        <v>1441.38894075</v>
      </c>
      <c r="M108" s="78"/>
      <c r="N108" s="79"/>
      <c r="S108" s="80"/>
      <c r="T108" s="80"/>
      <c r="U108" s="80"/>
    </row>
    <row r="109" s="43" customFormat="1" outlineLevel="1" spans="1:14">
      <c r="A109" s="66">
        <v>4</v>
      </c>
      <c r="B109" s="66" t="s">
        <v>92</v>
      </c>
      <c r="C109" s="66"/>
      <c r="D109" s="66" t="s">
        <v>93</v>
      </c>
      <c r="E109" s="65"/>
      <c r="F109" s="71"/>
      <c r="G109" s="71"/>
      <c r="H109" s="71"/>
      <c r="I109" s="78"/>
      <c r="J109" s="78"/>
      <c r="K109" s="78"/>
      <c r="L109" s="89">
        <f>SUM(L97:L108)</f>
        <v>27155.1874196214</v>
      </c>
      <c r="M109" s="78"/>
      <c r="N109" s="79"/>
    </row>
  </sheetData>
  <mergeCells count="14">
    <mergeCell ref="A1:M1"/>
    <mergeCell ref="F2:J2"/>
    <mergeCell ref="B18:C18"/>
    <mergeCell ref="A2:A4"/>
    <mergeCell ref="B2:B4"/>
    <mergeCell ref="C2:C4"/>
    <mergeCell ref="D2:D4"/>
    <mergeCell ref="E2:E4"/>
    <mergeCell ref="F3:F4"/>
    <mergeCell ref="G3:G4"/>
    <mergeCell ref="H3:H4"/>
    <mergeCell ref="K2:K4"/>
    <mergeCell ref="L2:L4"/>
    <mergeCell ref="M2:M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48576"/>
  <sheetViews>
    <sheetView topLeftCell="A52" workbookViewId="0">
      <selection activeCell="I87" sqref="I87"/>
    </sheetView>
  </sheetViews>
  <sheetFormatPr defaultColWidth="9" defaultRowHeight="13.5"/>
  <cols>
    <col min="1" max="9" width="9" style="1"/>
    <col min="10" max="10" width="9" style="3"/>
    <col min="11" max="11" width="12.625" style="3" customWidth="1"/>
    <col min="12" max="12" width="12.625" style="3"/>
    <col min="13" max="14" width="9" style="1"/>
    <col min="15" max="15" width="13.875" style="1" customWidth="1"/>
    <col min="16" max="16384" width="9" style="1"/>
  </cols>
  <sheetData>
    <row r="1" s="1" customFormat="1" ht="33" customHeight="1" spans="1:12">
      <c r="A1" s="4" t="s">
        <v>184</v>
      </c>
      <c r="B1" s="4"/>
      <c r="C1" s="4"/>
      <c r="D1" s="4"/>
      <c r="E1" s="4"/>
      <c r="F1" s="4"/>
      <c r="G1" s="4"/>
      <c r="H1" s="4"/>
      <c r="I1" s="4"/>
      <c r="J1" s="17"/>
      <c r="K1" s="18"/>
      <c r="L1" s="18"/>
    </row>
    <row r="2" s="1" customFormat="1" ht="33" customHeight="1" spans="1:12">
      <c r="A2" s="5" t="s">
        <v>1</v>
      </c>
      <c r="B2" s="5" t="s">
        <v>185</v>
      </c>
      <c r="C2" s="5" t="s">
        <v>186</v>
      </c>
      <c r="D2" s="5" t="s">
        <v>187</v>
      </c>
      <c r="E2" s="5" t="s">
        <v>188</v>
      </c>
      <c r="F2" s="5" t="s">
        <v>53</v>
      </c>
      <c r="G2" s="5" t="s">
        <v>189</v>
      </c>
      <c r="H2" s="5" t="s">
        <v>190</v>
      </c>
      <c r="I2" s="5" t="s">
        <v>191</v>
      </c>
      <c r="J2" s="19" t="s">
        <v>41</v>
      </c>
      <c r="K2" s="3" t="s">
        <v>192</v>
      </c>
      <c r="L2" s="3" t="s">
        <v>41</v>
      </c>
    </row>
    <row r="3" s="2" customFormat="1" ht="30.95" customHeight="1" spans="1:12">
      <c r="A3" s="6">
        <v>1</v>
      </c>
      <c r="B3" s="6" t="s">
        <v>193</v>
      </c>
      <c r="C3" s="7" t="s">
        <v>124</v>
      </c>
      <c r="D3" s="6" t="s">
        <v>194</v>
      </c>
      <c r="E3" s="8" t="s">
        <v>195</v>
      </c>
      <c r="F3" s="8" t="s">
        <v>78</v>
      </c>
      <c r="G3" s="6">
        <v>6.63</v>
      </c>
      <c r="H3" s="6">
        <v>1</v>
      </c>
      <c r="I3" s="6">
        <v>2</v>
      </c>
      <c r="J3" s="20">
        <v>13.26</v>
      </c>
      <c r="K3" s="21"/>
      <c r="L3" s="21">
        <v>0</v>
      </c>
    </row>
    <row r="4" s="2" customFormat="1" ht="30.95" customHeight="1" spans="1:12">
      <c r="A4" s="6">
        <v>2</v>
      </c>
      <c r="B4" s="6"/>
      <c r="C4" s="7" t="s">
        <v>124</v>
      </c>
      <c r="D4" s="6" t="s">
        <v>196</v>
      </c>
      <c r="E4" s="8" t="s">
        <v>197</v>
      </c>
      <c r="F4" s="8" t="s">
        <v>78</v>
      </c>
      <c r="G4" s="6">
        <v>4.7424</v>
      </c>
      <c r="H4" s="6">
        <v>1</v>
      </c>
      <c r="I4" s="6">
        <v>2</v>
      </c>
      <c r="J4" s="20">
        <v>9.4848</v>
      </c>
      <c r="K4" s="21"/>
      <c r="L4" s="21">
        <v>0</v>
      </c>
    </row>
    <row r="5" s="2" customFormat="1" ht="30.95" customHeight="1" spans="1:13">
      <c r="A5" s="6">
        <v>3</v>
      </c>
      <c r="B5" s="6"/>
      <c r="C5" s="9" t="s">
        <v>198</v>
      </c>
      <c r="D5" s="6" t="s">
        <v>199</v>
      </c>
      <c r="E5" s="6" t="s">
        <v>200</v>
      </c>
      <c r="F5" s="6" t="s">
        <v>78</v>
      </c>
      <c r="G5" s="6"/>
      <c r="H5" s="6">
        <v>1</v>
      </c>
      <c r="I5" s="6">
        <v>2</v>
      </c>
      <c r="J5" s="20">
        <v>0</v>
      </c>
      <c r="K5" s="21"/>
      <c r="L5" s="21">
        <v>0</v>
      </c>
      <c r="M5" s="2" t="s">
        <v>201</v>
      </c>
    </row>
    <row r="6" s="2" customFormat="1" ht="30.95" customHeight="1" spans="1:12">
      <c r="A6" s="6">
        <v>4</v>
      </c>
      <c r="B6" s="6"/>
      <c r="C6" s="7" t="s">
        <v>124</v>
      </c>
      <c r="D6" s="6" t="s">
        <v>202</v>
      </c>
      <c r="E6" s="6" t="s">
        <v>195</v>
      </c>
      <c r="F6" s="6" t="s">
        <v>78</v>
      </c>
      <c r="G6" s="6">
        <v>10.7</v>
      </c>
      <c r="H6" s="6">
        <v>12</v>
      </c>
      <c r="I6" s="6">
        <v>2</v>
      </c>
      <c r="J6" s="20">
        <v>256.8</v>
      </c>
      <c r="K6" s="21"/>
      <c r="L6" s="21">
        <v>0</v>
      </c>
    </row>
    <row r="7" s="2" customFormat="1" ht="45" customHeight="1" spans="1:13">
      <c r="A7" s="6">
        <v>5</v>
      </c>
      <c r="B7" s="6"/>
      <c r="C7" s="7" t="s">
        <v>124</v>
      </c>
      <c r="D7" s="6" t="s">
        <v>203</v>
      </c>
      <c r="E7" s="6" t="s">
        <v>204</v>
      </c>
      <c r="F7" s="6" t="s">
        <v>78</v>
      </c>
      <c r="G7" s="6"/>
      <c r="H7" s="6">
        <v>12</v>
      </c>
      <c r="I7" s="6">
        <v>2</v>
      </c>
      <c r="J7" s="20">
        <v>0</v>
      </c>
      <c r="K7" s="21"/>
      <c r="L7" s="21">
        <v>0</v>
      </c>
      <c r="M7" s="2" t="s">
        <v>205</v>
      </c>
    </row>
    <row r="8" s="2" customFormat="1" ht="30.95" customHeight="1" spans="1:12">
      <c r="A8" s="6">
        <v>6</v>
      </c>
      <c r="B8" s="6"/>
      <c r="C8" s="9" t="s">
        <v>128</v>
      </c>
      <c r="D8" s="6" t="s">
        <v>202</v>
      </c>
      <c r="E8" s="6"/>
      <c r="F8" s="6" t="s">
        <v>78</v>
      </c>
      <c r="G8" s="6">
        <v>24.23</v>
      </c>
      <c r="H8" s="6">
        <v>12</v>
      </c>
      <c r="I8" s="6">
        <v>2</v>
      </c>
      <c r="J8" s="20">
        <v>581.52</v>
      </c>
      <c r="K8" s="21"/>
      <c r="L8" s="21">
        <v>0</v>
      </c>
    </row>
    <row r="9" s="2" customFormat="1" ht="30.95" customHeight="1" spans="1:12">
      <c r="A9" s="6">
        <v>7</v>
      </c>
      <c r="B9" s="6"/>
      <c r="C9" s="9" t="s">
        <v>206</v>
      </c>
      <c r="D9" s="6"/>
      <c r="E9" s="6"/>
      <c r="F9" s="6" t="s">
        <v>84</v>
      </c>
      <c r="G9" s="6"/>
      <c r="H9" s="6">
        <v>12</v>
      </c>
      <c r="I9" s="6">
        <v>2</v>
      </c>
      <c r="J9" s="20">
        <v>0</v>
      </c>
      <c r="K9" s="21"/>
      <c r="L9" s="21">
        <v>0</v>
      </c>
    </row>
    <row r="10" s="2" customFormat="1" ht="30.95" customHeight="1" spans="1:12">
      <c r="A10" s="6">
        <v>8</v>
      </c>
      <c r="B10" s="6"/>
      <c r="C10" s="9" t="s">
        <v>207</v>
      </c>
      <c r="D10" s="6"/>
      <c r="E10" s="6"/>
      <c r="F10" s="6" t="s">
        <v>84</v>
      </c>
      <c r="G10" s="6">
        <v>14.95</v>
      </c>
      <c r="H10" s="6">
        <v>12</v>
      </c>
      <c r="I10" s="6">
        <v>2</v>
      </c>
      <c r="J10" s="20">
        <v>358.8</v>
      </c>
      <c r="K10" s="21"/>
      <c r="L10" s="21">
        <v>0</v>
      </c>
    </row>
    <row r="11" s="2" customFormat="1" ht="30.95" customHeight="1" spans="1:12">
      <c r="A11" s="6">
        <v>9</v>
      </c>
      <c r="B11" s="6"/>
      <c r="C11" s="9" t="s">
        <v>133</v>
      </c>
      <c r="D11" s="6"/>
      <c r="E11" s="6"/>
      <c r="F11" s="6" t="s">
        <v>90</v>
      </c>
      <c r="G11" s="6">
        <v>1</v>
      </c>
      <c r="H11" s="6">
        <v>12</v>
      </c>
      <c r="I11" s="6">
        <v>2</v>
      </c>
      <c r="J11" s="20">
        <v>24</v>
      </c>
      <c r="K11" s="21"/>
      <c r="L11" s="21">
        <v>0</v>
      </c>
    </row>
    <row r="12" s="2" customFormat="1" ht="30.95" customHeight="1" spans="1:12">
      <c r="A12" s="6">
        <v>1</v>
      </c>
      <c r="B12" s="6" t="s">
        <v>208</v>
      </c>
      <c r="C12" s="10" t="s">
        <v>124</v>
      </c>
      <c r="D12" s="11" t="s">
        <v>194</v>
      </c>
      <c r="E12" s="8"/>
      <c r="F12" s="12" t="s">
        <v>78</v>
      </c>
      <c r="G12" s="11">
        <v>6.31</v>
      </c>
      <c r="H12" s="11">
        <v>8</v>
      </c>
      <c r="I12" s="11">
        <v>2</v>
      </c>
      <c r="J12" s="20">
        <v>100.96</v>
      </c>
      <c r="K12" s="21"/>
      <c r="L12" s="21">
        <v>0</v>
      </c>
    </row>
    <row r="13" s="2" customFormat="1" ht="30.95" customHeight="1" spans="1:12">
      <c r="A13" s="6">
        <v>2</v>
      </c>
      <c r="B13" s="6"/>
      <c r="C13" s="10" t="s">
        <v>124</v>
      </c>
      <c r="D13" s="11" t="s">
        <v>196</v>
      </c>
      <c r="E13" s="8"/>
      <c r="F13" s="12" t="s">
        <v>78</v>
      </c>
      <c r="G13" s="11">
        <v>5</v>
      </c>
      <c r="H13" s="11">
        <v>8</v>
      </c>
      <c r="I13" s="11">
        <v>2</v>
      </c>
      <c r="J13" s="20">
        <v>80</v>
      </c>
      <c r="K13" s="21"/>
      <c r="L13" s="21">
        <v>0</v>
      </c>
    </row>
    <row r="14" s="2" customFormat="1" ht="39" customHeight="1" spans="1:13">
      <c r="A14" s="6">
        <v>3</v>
      </c>
      <c r="B14" s="6"/>
      <c r="C14" s="10" t="s">
        <v>124</v>
      </c>
      <c r="D14" s="11" t="s">
        <v>202</v>
      </c>
      <c r="E14" s="8"/>
      <c r="F14" s="11" t="s">
        <v>78</v>
      </c>
      <c r="G14" s="11">
        <v>8.58</v>
      </c>
      <c r="H14" s="11">
        <v>8</v>
      </c>
      <c r="I14" s="11">
        <v>2</v>
      </c>
      <c r="J14" s="20">
        <v>137.28</v>
      </c>
      <c r="K14" s="21"/>
      <c r="L14" s="21">
        <v>0</v>
      </c>
      <c r="M14" s="2" t="s">
        <v>209</v>
      </c>
    </row>
    <row r="15" s="2" customFormat="1" ht="30.95" customHeight="1" spans="1:13">
      <c r="A15" s="6">
        <v>4</v>
      </c>
      <c r="B15" s="6"/>
      <c r="C15" s="10" t="s">
        <v>124</v>
      </c>
      <c r="D15" s="11" t="s">
        <v>203</v>
      </c>
      <c r="E15" s="8"/>
      <c r="F15" s="11" t="s">
        <v>78</v>
      </c>
      <c r="G15" s="11"/>
      <c r="H15" s="11">
        <v>8</v>
      </c>
      <c r="I15" s="11"/>
      <c r="J15" s="20">
        <v>0</v>
      </c>
      <c r="K15" s="21"/>
      <c r="L15" s="21">
        <v>0</v>
      </c>
      <c r="M15" s="2" t="s">
        <v>201</v>
      </c>
    </row>
    <row r="16" s="2" customFormat="1" ht="52" customHeight="1" spans="1:12">
      <c r="A16" s="6">
        <v>5</v>
      </c>
      <c r="B16" s="6"/>
      <c r="C16" s="13" t="s">
        <v>128</v>
      </c>
      <c r="D16" s="11" t="s">
        <v>202</v>
      </c>
      <c r="E16" s="8"/>
      <c r="F16" s="11" t="s">
        <v>78</v>
      </c>
      <c r="G16" s="11">
        <v>21.8585</v>
      </c>
      <c r="H16" s="11">
        <v>8</v>
      </c>
      <c r="I16" s="11">
        <v>2</v>
      </c>
      <c r="J16" s="20">
        <v>349.736</v>
      </c>
      <c r="K16" s="21"/>
      <c r="L16" s="21">
        <v>0</v>
      </c>
    </row>
    <row r="17" s="2" customFormat="1" ht="30.95" customHeight="1" spans="1:13">
      <c r="A17" s="6">
        <v>6</v>
      </c>
      <c r="B17" s="6"/>
      <c r="C17" s="13" t="s">
        <v>198</v>
      </c>
      <c r="D17" s="11" t="s">
        <v>199</v>
      </c>
      <c r="E17" s="8"/>
      <c r="F17" s="11" t="s">
        <v>78</v>
      </c>
      <c r="G17" s="14"/>
      <c r="H17" s="11">
        <v>8</v>
      </c>
      <c r="I17" s="11">
        <v>2</v>
      </c>
      <c r="J17" s="20">
        <v>0</v>
      </c>
      <c r="K17" s="21"/>
      <c r="L17" s="21">
        <v>0</v>
      </c>
      <c r="M17" s="2" t="s">
        <v>201</v>
      </c>
    </row>
    <row r="18" s="2" customFormat="1" ht="30.95" customHeight="1" spans="1:12">
      <c r="A18" s="6">
        <v>7</v>
      </c>
      <c r="B18" s="6"/>
      <c r="C18" s="13" t="s">
        <v>207</v>
      </c>
      <c r="D18" s="11"/>
      <c r="E18" s="8"/>
      <c r="F18" s="11" t="s">
        <v>84</v>
      </c>
      <c r="G18" s="11">
        <v>12.96</v>
      </c>
      <c r="H18" s="11">
        <v>7</v>
      </c>
      <c r="I18" s="11">
        <v>2</v>
      </c>
      <c r="J18" s="20">
        <v>181.44</v>
      </c>
      <c r="K18" s="21"/>
      <c r="L18" s="21">
        <v>0</v>
      </c>
    </row>
    <row r="19" s="2" customFormat="1" ht="30.95" customHeight="1" spans="1:12">
      <c r="A19" s="6"/>
      <c r="B19" s="6"/>
      <c r="C19" s="13" t="s">
        <v>207</v>
      </c>
      <c r="D19" s="11" t="s">
        <v>210</v>
      </c>
      <c r="E19" s="8"/>
      <c r="F19" s="11" t="s">
        <v>84</v>
      </c>
      <c r="G19" s="11">
        <v>11.86</v>
      </c>
      <c r="H19" s="11">
        <v>1</v>
      </c>
      <c r="I19" s="11">
        <v>2</v>
      </c>
      <c r="J19" s="20">
        <v>23.72</v>
      </c>
      <c r="K19" s="21"/>
      <c r="L19" s="21">
        <v>0</v>
      </c>
    </row>
    <row r="20" s="2" customFormat="1" ht="30.95" customHeight="1" spans="1:12">
      <c r="A20" s="6">
        <v>8</v>
      </c>
      <c r="B20" s="6"/>
      <c r="C20" s="13" t="s">
        <v>133</v>
      </c>
      <c r="D20" s="11"/>
      <c r="E20" s="8"/>
      <c r="F20" s="11" t="s">
        <v>90</v>
      </c>
      <c r="G20" s="11">
        <v>1</v>
      </c>
      <c r="H20" s="11">
        <v>8</v>
      </c>
      <c r="I20" s="11">
        <v>2</v>
      </c>
      <c r="J20" s="20">
        <v>16</v>
      </c>
      <c r="K20" s="21"/>
      <c r="L20" s="21">
        <v>0</v>
      </c>
    </row>
    <row r="21" s="2" customFormat="1" ht="30.95" customHeight="1" spans="1:12">
      <c r="A21" s="6">
        <v>9</v>
      </c>
      <c r="B21" s="6"/>
      <c r="C21" s="15" t="s">
        <v>211</v>
      </c>
      <c r="D21" s="11"/>
      <c r="E21" s="8"/>
      <c r="F21" s="12" t="s">
        <v>84</v>
      </c>
      <c r="G21" s="11">
        <v>5.84</v>
      </c>
      <c r="H21" s="11">
        <v>8</v>
      </c>
      <c r="I21" s="11">
        <v>2</v>
      </c>
      <c r="J21" s="20">
        <v>93.44</v>
      </c>
      <c r="K21" s="21"/>
      <c r="L21" s="21">
        <v>0</v>
      </c>
    </row>
    <row r="22" s="2" customFormat="1" ht="30.95" customHeight="1" spans="1:12">
      <c r="A22" s="6">
        <v>1</v>
      </c>
      <c r="B22" s="6" t="s">
        <v>212</v>
      </c>
      <c r="C22" s="10" t="s">
        <v>124</v>
      </c>
      <c r="D22" s="11" t="s">
        <v>194</v>
      </c>
      <c r="E22" s="8"/>
      <c r="F22" s="12" t="s">
        <v>78</v>
      </c>
      <c r="G22" s="11">
        <v>3.375</v>
      </c>
      <c r="H22" s="11">
        <v>8</v>
      </c>
      <c r="I22" s="11">
        <v>2</v>
      </c>
      <c r="J22" s="20">
        <v>54</v>
      </c>
      <c r="K22" s="22">
        <v>54</v>
      </c>
      <c r="L22" s="23">
        <v>2916</v>
      </c>
    </row>
    <row r="23" s="2" customFormat="1" ht="30.95" customHeight="1" spans="1:12">
      <c r="A23" s="6">
        <v>2</v>
      </c>
      <c r="B23" s="6"/>
      <c r="C23" s="10" t="s">
        <v>124</v>
      </c>
      <c r="D23" s="11" t="s">
        <v>196</v>
      </c>
      <c r="E23" s="8"/>
      <c r="F23" s="12" t="s">
        <v>78</v>
      </c>
      <c r="G23" s="11">
        <v>4.99</v>
      </c>
      <c r="H23" s="11">
        <v>8</v>
      </c>
      <c r="I23" s="11">
        <v>2</v>
      </c>
      <c r="J23" s="20">
        <v>79.84</v>
      </c>
      <c r="K23" s="22">
        <v>100</v>
      </c>
      <c r="L23" s="23">
        <v>7984</v>
      </c>
    </row>
    <row r="24" s="2" customFormat="1" ht="42" customHeight="1" spans="1:13">
      <c r="A24" s="6">
        <v>3</v>
      </c>
      <c r="B24" s="6"/>
      <c r="C24" s="10" t="s">
        <v>124</v>
      </c>
      <c r="D24" s="11" t="s">
        <v>202</v>
      </c>
      <c r="E24" s="8"/>
      <c r="F24" s="11" t="s">
        <v>78</v>
      </c>
      <c r="G24" s="11">
        <v>8.474</v>
      </c>
      <c r="H24" s="11">
        <v>8</v>
      </c>
      <c r="I24" s="11">
        <v>2</v>
      </c>
      <c r="J24" s="20">
        <v>135.584</v>
      </c>
      <c r="K24" s="22">
        <v>54</v>
      </c>
      <c r="L24" s="23">
        <v>7321.536</v>
      </c>
      <c r="M24" s="2" t="s">
        <v>209</v>
      </c>
    </row>
    <row r="25" s="2" customFormat="1" ht="30.95" customHeight="1" spans="1:13">
      <c r="A25" s="6">
        <v>4</v>
      </c>
      <c r="B25" s="6"/>
      <c r="C25" s="10" t="s">
        <v>124</v>
      </c>
      <c r="D25" s="11" t="s">
        <v>203</v>
      </c>
      <c r="E25" s="8"/>
      <c r="F25" s="11" t="s">
        <v>78</v>
      </c>
      <c r="G25" s="11"/>
      <c r="H25" s="11">
        <v>8</v>
      </c>
      <c r="I25" s="11"/>
      <c r="J25" s="20">
        <v>0</v>
      </c>
      <c r="K25" s="22"/>
      <c r="L25" s="23">
        <v>0</v>
      </c>
      <c r="M25" s="2" t="s">
        <v>201</v>
      </c>
    </row>
    <row r="26" s="2" customFormat="1" ht="30.95" customHeight="1" spans="1:12">
      <c r="A26" s="6">
        <v>5</v>
      </c>
      <c r="B26" s="6"/>
      <c r="C26" s="13" t="s">
        <v>128</v>
      </c>
      <c r="D26" s="11" t="s">
        <v>202</v>
      </c>
      <c r="E26" s="8"/>
      <c r="F26" s="11" t="s">
        <v>78</v>
      </c>
      <c r="G26" s="11">
        <v>16.693</v>
      </c>
      <c r="H26" s="11">
        <v>8</v>
      </c>
      <c r="I26" s="11">
        <v>2</v>
      </c>
      <c r="J26" s="20">
        <v>267.088</v>
      </c>
      <c r="K26" s="22">
        <v>54</v>
      </c>
      <c r="L26" s="23">
        <v>14422.752</v>
      </c>
    </row>
    <row r="27" s="2" customFormat="1" ht="30.95" customHeight="1" spans="1:13">
      <c r="A27" s="6">
        <v>6</v>
      </c>
      <c r="B27" s="6"/>
      <c r="C27" s="13" t="s">
        <v>198</v>
      </c>
      <c r="D27" s="11" t="s">
        <v>199</v>
      </c>
      <c r="E27" s="8"/>
      <c r="F27" s="11" t="s">
        <v>78</v>
      </c>
      <c r="G27" s="14"/>
      <c r="H27" s="11">
        <v>8</v>
      </c>
      <c r="I27" s="11">
        <v>2</v>
      </c>
      <c r="J27" s="20">
        <v>0</v>
      </c>
      <c r="K27" s="21"/>
      <c r="L27" s="21">
        <v>0</v>
      </c>
      <c r="M27" s="2" t="s">
        <v>201</v>
      </c>
    </row>
    <row r="28" s="2" customFormat="1" ht="30.95" customHeight="1" spans="1:12">
      <c r="A28" s="6">
        <v>7</v>
      </c>
      <c r="B28" s="6"/>
      <c r="C28" s="13" t="s">
        <v>207</v>
      </c>
      <c r="D28" s="11"/>
      <c r="E28" s="8"/>
      <c r="F28" s="11" t="s">
        <v>84</v>
      </c>
      <c r="G28" s="11">
        <v>13.16</v>
      </c>
      <c r="H28" s="11">
        <v>7</v>
      </c>
      <c r="I28" s="11">
        <v>2</v>
      </c>
      <c r="J28" s="20">
        <v>184.24</v>
      </c>
      <c r="K28" s="21"/>
      <c r="L28" s="21">
        <v>0</v>
      </c>
    </row>
    <row r="29" s="2" customFormat="1" ht="30.95" customHeight="1" spans="1:12">
      <c r="A29" s="6"/>
      <c r="B29" s="6"/>
      <c r="C29" s="13" t="s">
        <v>207</v>
      </c>
      <c r="D29" s="11" t="s">
        <v>210</v>
      </c>
      <c r="E29" s="8"/>
      <c r="F29" s="11" t="s">
        <v>84</v>
      </c>
      <c r="G29" s="11">
        <v>11.06</v>
      </c>
      <c r="H29" s="11">
        <v>1</v>
      </c>
      <c r="I29" s="11">
        <v>2</v>
      </c>
      <c r="J29" s="20">
        <v>22.12</v>
      </c>
      <c r="K29" s="21"/>
      <c r="L29" s="21">
        <v>0</v>
      </c>
    </row>
    <row r="30" s="2" customFormat="1" ht="30.95" customHeight="1" spans="1:12">
      <c r="A30" s="6">
        <v>8</v>
      </c>
      <c r="B30" s="6"/>
      <c r="C30" s="13" t="s">
        <v>133</v>
      </c>
      <c r="D30" s="11"/>
      <c r="E30" s="8"/>
      <c r="F30" s="11" t="s">
        <v>90</v>
      </c>
      <c r="G30" s="11">
        <v>1</v>
      </c>
      <c r="H30" s="11">
        <v>8</v>
      </c>
      <c r="I30" s="11">
        <v>2</v>
      </c>
      <c r="J30" s="20">
        <v>16</v>
      </c>
      <c r="K30" s="21"/>
      <c r="L30" s="21">
        <v>0</v>
      </c>
    </row>
    <row r="31" s="2" customFormat="1" ht="30.95" customHeight="1" spans="1:12">
      <c r="A31" s="6">
        <v>9</v>
      </c>
      <c r="B31" s="6"/>
      <c r="C31" s="15" t="s">
        <v>211</v>
      </c>
      <c r="D31" s="11"/>
      <c r="E31" s="8"/>
      <c r="F31" s="12" t="s">
        <v>84</v>
      </c>
      <c r="G31" s="11">
        <v>5.84</v>
      </c>
      <c r="H31" s="11">
        <v>8</v>
      </c>
      <c r="I31" s="11">
        <v>2</v>
      </c>
      <c r="J31" s="20">
        <v>93.44</v>
      </c>
      <c r="K31" s="21"/>
      <c r="L31" s="21">
        <v>0</v>
      </c>
    </row>
    <row r="32" s="2" customFormat="1" ht="30.95" customHeight="1" spans="1:12">
      <c r="A32" s="6">
        <v>1</v>
      </c>
      <c r="B32" s="6" t="s">
        <v>213</v>
      </c>
      <c r="C32" s="7" t="s">
        <v>124</v>
      </c>
      <c r="D32" s="6" t="s">
        <v>194</v>
      </c>
      <c r="E32" s="8" t="s">
        <v>195</v>
      </c>
      <c r="F32" s="8" t="s">
        <v>78</v>
      </c>
      <c r="G32" s="6">
        <v>10.625</v>
      </c>
      <c r="H32" s="6">
        <v>1</v>
      </c>
      <c r="I32" s="6">
        <v>1</v>
      </c>
      <c r="J32" s="20">
        <v>10.625</v>
      </c>
      <c r="K32" s="22">
        <v>54</v>
      </c>
      <c r="L32" s="22">
        <v>573.75</v>
      </c>
    </row>
    <row r="33" s="2" customFormat="1" ht="30.95" customHeight="1" spans="1:12">
      <c r="A33" s="6">
        <v>2</v>
      </c>
      <c r="B33" s="6"/>
      <c r="C33" s="7" t="s">
        <v>124</v>
      </c>
      <c r="D33" s="6" t="s">
        <v>196</v>
      </c>
      <c r="E33" s="8" t="s">
        <v>197</v>
      </c>
      <c r="F33" s="8" t="s">
        <v>78</v>
      </c>
      <c r="G33" s="6">
        <v>4.992</v>
      </c>
      <c r="H33" s="6">
        <v>1</v>
      </c>
      <c r="I33" s="6">
        <v>1</v>
      </c>
      <c r="J33" s="20">
        <v>4.992</v>
      </c>
      <c r="K33" s="22">
        <v>100</v>
      </c>
      <c r="L33" s="22">
        <v>499.2</v>
      </c>
    </row>
    <row r="34" s="2" customFormat="1" ht="30.95" customHeight="1" spans="1:13">
      <c r="A34" s="6">
        <v>3</v>
      </c>
      <c r="B34" s="6"/>
      <c r="C34" s="9" t="s">
        <v>198</v>
      </c>
      <c r="D34" s="6" t="s">
        <v>199</v>
      </c>
      <c r="E34" s="6" t="s">
        <v>200</v>
      </c>
      <c r="F34" s="6" t="s">
        <v>78</v>
      </c>
      <c r="G34" s="6"/>
      <c r="H34" s="6">
        <v>1</v>
      </c>
      <c r="I34" s="6">
        <v>1</v>
      </c>
      <c r="J34" s="20">
        <v>0</v>
      </c>
      <c r="K34" s="22"/>
      <c r="L34" s="22">
        <v>0</v>
      </c>
      <c r="M34" s="2" t="s">
        <v>201</v>
      </c>
    </row>
    <row r="35" s="2" customFormat="1" ht="30.95" customHeight="1" spans="1:12">
      <c r="A35" s="6">
        <v>4</v>
      </c>
      <c r="B35" s="6"/>
      <c r="C35" s="7" t="s">
        <v>124</v>
      </c>
      <c r="D35" s="6" t="s">
        <v>202</v>
      </c>
      <c r="E35" s="6" t="s">
        <v>195</v>
      </c>
      <c r="F35" s="6" t="s">
        <v>78</v>
      </c>
      <c r="G35" s="6">
        <v>31.968</v>
      </c>
      <c r="H35" s="6">
        <v>12</v>
      </c>
      <c r="I35" s="6">
        <v>1</v>
      </c>
      <c r="J35" s="20">
        <v>383.616</v>
      </c>
      <c r="K35" s="22">
        <v>54</v>
      </c>
      <c r="L35" s="22">
        <v>20715.264</v>
      </c>
    </row>
    <row r="36" s="2" customFormat="1" ht="30.95" customHeight="1" spans="1:13">
      <c r="A36" s="6">
        <v>5</v>
      </c>
      <c r="B36" s="6"/>
      <c r="C36" s="7" t="s">
        <v>124</v>
      </c>
      <c r="D36" s="6" t="s">
        <v>203</v>
      </c>
      <c r="E36" s="6" t="s">
        <v>204</v>
      </c>
      <c r="F36" s="6" t="s">
        <v>78</v>
      </c>
      <c r="G36" s="6"/>
      <c r="H36" s="6">
        <v>12</v>
      </c>
      <c r="I36" s="6">
        <v>1</v>
      </c>
      <c r="J36" s="20">
        <v>0</v>
      </c>
      <c r="K36" s="22"/>
      <c r="L36" s="22">
        <v>0</v>
      </c>
      <c r="M36" s="2" t="s">
        <v>205</v>
      </c>
    </row>
    <row r="37" s="2" customFormat="1" ht="30.95" customHeight="1" spans="1:12">
      <c r="A37" s="6">
        <v>6</v>
      </c>
      <c r="B37" s="6"/>
      <c r="C37" s="9" t="s">
        <v>128</v>
      </c>
      <c r="D37" s="6" t="s">
        <v>202</v>
      </c>
      <c r="E37" s="6"/>
      <c r="F37" s="6" t="s">
        <v>78</v>
      </c>
      <c r="G37" s="6">
        <v>93.489</v>
      </c>
      <c r="H37" s="6">
        <v>12</v>
      </c>
      <c r="I37" s="6">
        <v>1</v>
      </c>
      <c r="J37" s="20">
        <v>1121.868</v>
      </c>
      <c r="K37" s="22">
        <v>54</v>
      </c>
      <c r="L37" s="22">
        <v>60580.872</v>
      </c>
    </row>
    <row r="38" s="2" customFormat="1" ht="30.95" customHeight="1" spans="1:12">
      <c r="A38" s="6">
        <v>7</v>
      </c>
      <c r="B38" s="6"/>
      <c r="C38" s="9" t="s">
        <v>206</v>
      </c>
      <c r="D38" s="6"/>
      <c r="E38" s="6"/>
      <c r="F38" s="6" t="s">
        <v>84</v>
      </c>
      <c r="G38" s="6"/>
      <c r="H38" s="6">
        <v>12</v>
      </c>
      <c r="I38" s="6">
        <v>1</v>
      </c>
      <c r="J38" s="20">
        <v>0</v>
      </c>
      <c r="K38" s="21"/>
      <c r="L38" s="22">
        <v>0</v>
      </c>
    </row>
    <row r="39" s="2" customFormat="1" ht="30.95" customHeight="1" spans="1:12">
      <c r="A39" s="6">
        <v>8</v>
      </c>
      <c r="B39" s="6"/>
      <c r="C39" s="9" t="s">
        <v>207</v>
      </c>
      <c r="D39" s="6"/>
      <c r="E39" s="6"/>
      <c r="F39" s="6" t="s">
        <v>84</v>
      </c>
      <c r="G39" s="6">
        <v>59.178</v>
      </c>
      <c r="H39" s="6">
        <v>11</v>
      </c>
      <c r="I39" s="6">
        <v>1</v>
      </c>
      <c r="J39" s="20">
        <v>650.958</v>
      </c>
      <c r="K39" s="21"/>
      <c r="L39" s="22">
        <v>0</v>
      </c>
    </row>
    <row r="40" s="2" customFormat="1" ht="30.95" customHeight="1" spans="1:12">
      <c r="A40" s="6"/>
      <c r="B40" s="6"/>
      <c r="C40" s="9" t="s">
        <v>207</v>
      </c>
      <c r="D40" s="6" t="s">
        <v>210</v>
      </c>
      <c r="E40" s="6"/>
      <c r="F40" s="6" t="s">
        <v>84</v>
      </c>
      <c r="G40" s="6">
        <v>49.12</v>
      </c>
      <c r="H40" s="6">
        <v>1</v>
      </c>
      <c r="I40" s="6">
        <v>1</v>
      </c>
      <c r="J40" s="20">
        <v>49.12</v>
      </c>
      <c r="K40" s="21"/>
      <c r="L40" s="22">
        <v>0</v>
      </c>
    </row>
    <row r="41" s="2" customFormat="1" ht="30.95" customHeight="1" spans="1:12">
      <c r="A41" s="6">
        <v>9</v>
      </c>
      <c r="B41" s="6"/>
      <c r="C41" s="9" t="s">
        <v>133</v>
      </c>
      <c r="D41" s="6"/>
      <c r="E41" s="6"/>
      <c r="F41" s="6" t="s">
        <v>90</v>
      </c>
      <c r="G41" s="6">
        <v>2</v>
      </c>
      <c r="H41" s="6">
        <v>12</v>
      </c>
      <c r="I41" s="6">
        <v>1</v>
      </c>
      <c r="J41" s="20">
        <v>24</v>
      </c>
      <c r="K41" s="21"/>
      <c r="L41" s="22">
        <v>0</v>
      </c>
    </row>
    <row r="42" s="2" customFormat="1" ht="30.95" customHeight="1" spans="1:12">
      <c r="A42" s="6"/>
      <c r="B42" s="6" t="s">
        <v>214</v>
      </c>
      <c r="C42" s="7" t="s">
        <v>124</v>
      </c>
      <c r="D42" s="6" t="s">
        <v>194</v>
      </c>
      <c r="E42" s="8" t="s">
        <v>195</v>
      </c>
      <c r="F42" s="8" t="s">
        <v>78</v>
      </c>
      <c r="G42" s="6">
        <v>10.414</v>
      </c>
      <c r="H42" s="6">
        <v>1</v>
      </c>
      <c r="I42" s="6">
        <v>1</v>
      </c>
      <c r="J42" s="20">
        <v>10.414</v>
      </c>
      <c r="K42" s="22">
        <v>54</v>
      </c>
      <c r="L42" s="22">
        <v>562.356</v>
      </c>
    </row>
    <row r="43" s="2" customFormat="1" ht="30.95" customHeight="1" spans="1:12">
      <c r="A43" s="6"/>
      <c r="B43" s="6"/>
      <c r="C43" s="7" t="s">
        <v>124</v>
      </c>
      <c r="D43" s="6" t="s">
        <v>196</v>
      </c>
      <c r="E43" s="8" t="s">
        <v>197</v>
      </c>
      <c r="F43" s="8" t="s">
        <v>78</v>
      </c>
      <c r="G43" s="6">
        <v>4.784</v>
      </c>
      <c r="H43" s="6">
        <v>1</v>
      </c>
      <c r="I43" s="6">
        <v>1</v>
      </c>
      <c r="J43" s="20">
        <v>4.784</v>
      </c>
      <c r="K43" s="22">
        <v>100</v>
      </c>
      <c r="L43" s="22">
        <v>478.4</v>
      </c>
    </row>
    <row r="44" s="2" customFormat="1" ht="30.95" customHeight="1" spans="1:13">
      <c r="A44" s="6"/>
      <c r="B44" s="6"/>
      <c r="C44" s="9" t="s">
        <v>198</v>
      </c>
      <c r="D44" s="6" t="s">
        <v>199</v>
      </c>
      <c r="E44" s="6" t="s">
        <v>200</v>
      </c>
      <c r="F44" s="6" t="s">
        <v>78</v>
      </c>
      <c r="G44" s="6"/>
      <c r="H44" s="6">
        <v>1</v>
      </c>
      <c r="I44" s="6">
        <v>1</v>
      </c>
      <c r="J44" s="20">
        <v>0</v>
      </c>
      <c r="K44" s="22"/>
      <c r="L44" s="22">
        <v>0</v>
      </c>
      <c r="M44" s="2" t="s">
        <v>201</v>
      </c>
    </row>
    <row r="45" s="2" customFormat="1" ht="30.95" customHeight="1" spans="1:12">
      <c r="A45" s="6"/>
      <c r="B45" s="6"/>
      <c r="C45" s="7" t="s">
        <v>124</v>
      </c>
      <c r="D45" s="6" t="s">
        <v>202</v>
      </c>
      <c r="E45" s="6" t="s">
        <v>195</v>
      </c>
      <c r="F45" s="6" t="s">
        <v>78</v>
      </c>
      <c r="G45" s="6">
        <v>10.04</v>
      </c>
      <c r="H45" s="6">
        <v>12</v>
      </c>
      <c r="I45" s="6">
        <v>1</v>
      </c>
      <c r="J45" s="20">
        <v>120.48</v>
      </c>
      <c r="K45" s="22">
        <v>54</v>
      </c>
      <c r="L45" s="22">
        <v>6505.92</v>
      </c>
    </row>
    <row r="46" s="2" customFormat="1" ht="30.95" customHeight="1" spans="1:13">
      <c r="A46" s="6"/>
      <c r="B46" s="6"/>
      <c r="C46" s="7" t="s">
        <v>124</v>
      </c>
      <c r="D46" s="6" t="s">
        <v>203</v>
      </c>
      <c r="E46" s="6" t="s">
        <v>204</v>
      </c>
      <c r="F46" s="6" t="s">
        <v>78</v>
      </c>
      <c r="G46" s="6"/>
      <c r="H46" s="6">
        <v>12</v>
      </c>
      <c r="I46" s="6">
        <v>1</v>
      </c>
      <c r="J46" s="20">
        <v>0</v>
      </c>
      <c r="K46" s="22"/>
      <c r="L46" s="22">
        <v>0</v>
      </c>
      <c r="M46" s="2" t="s">
        <v>205</v>
      </c>
    </row>
    <row r="47" s="2" customFormat="1" ht="30.95" customHeight="1" spans="1:12">
      <c r="A47" s="6"/>
      <c r="B47" s="6"/>
      <c r="C47" s="9" t="s">
        <v>128</v>
      </c>
      <c r="D47" s="6" t="s">
        <v>202</v>
      </c>
      <c r="E47" s="6"/>
      <c r="F47" s="6" t="s">
        <v>78</v>
      </c>
      <c r="G47" s="6">
        <v>22.161</v>
      </c>
      <c r="H47" s="6">
        <v>12</v>
      </c>
      <c r="I47" s="6">
        <v>1</v>
      </c>
      <c r="J47" s="20">
        <v>265.932</v>
      </c>
      <c r="K47" s="21">
        <v>54</v>
      </c>
      <c r="L47" s="22">
        <v>14360.328</v>
      </c>
    </row>
    <row r="48" s="2" customFormat="1" ht="30.95" customHeight="1" spans="1:12">
      <c r="A48" s="6"/>
      <c r="B48" s="6"/>
      <c r="C48" s="9" t="s">
        <v>206</v>
      </c>
      <c r="D48" s="6"/>
      <c r="E48" s="6"/>
      <c r="F48" s="6" t="s">
        <v>84</v>
      </c>
      <c r="G48" s="6"/>
      <c r="H48" s="6">
        <v>12</v>
      </c>
      <c r="I48" s="6">
        <v>1</v>
      </c>
      <c r="J48" s="20">
        <v>0</v>
      </c>
      <c r="K48" s="21"/>
      <c r="L48" s="22">
        <v>0</v>
      </c>
    </row>
    <row r="49" s="2" customFormat="1" ht="30.95" customHeight="1" spans="1:12">
      <c r="A49" s="6"/>
      <c r="B49" s="6"/>
      <c r="C49" s="9" t="s">
        <v>207</v>
      </c>
      <c r="D49" s="6"/>
      <c r="E49" s="6"/>
      <c r="F49" s="6" t="s">
        <v>84</v>
      </c>
      <c r="G49" s="6">
        <v>19.378</v>
      </c>
      <c r="H49" s="6">
        <v>12</v>
      </c>
      <c r="I49" s="6">
        <v>1</v>
      </c>
      <c r="J49" s="20">
        <v>232.536</v>
      </c>
      <c r="K49" s="21"/>
      <c r="L49" s="22">
        <v>0</v>
      </c>
    </row>
    <row r="50" s="2" customFormat="1" ht="30.95" customHeight="1" spans="1:12">
      <c r="A50" s="16"/>
      <c r="B50" s="6"/>
      <c r="C50" s="9" t="s">
        <v>133</v>
      </c>
      <c r="D50" s="6"/>
      <c r="E50" s="6"/>
      <c r="F50" s="6" t="s">
        <v>90</v>
      </c>
      <c r="G50" s="6">
        <v>1</v>
      </c>
      <c r="H50" s="6">
        <v>12</v>
      </c>
      <c r="I50" s="6">
        <v>1</v>
      </c>
      <c r="J50" s="20">
        <v>12</v>
      </c>
      <c r="K50" s="21"/>
      <c r="L50" s="22">
        <v>0</v>
      </c>
    </row>
    <row r="51" s="2" customFormat="1" ht="30.95" customHeight="1" spans="1:12">
      <c r="A51" s="6">
        <v>1</v>
      </c>
      <c r="B51" s="6" t="s">
        <v>215</v>
      </c>
      <c r="C51" s="7" t="s">
        <v>124</v>
      </c>
      <c r="D51" s="6" t="s">
        <v>194</v>
      </c>
      <c r="E51" s="8" t="s">
        <v>195</v>
      </c>
      <c r="F51" s="8" t="s">
        <v>78</v>
      </c>
      <c r="G51" s="6">
        <v>10.725</v>
      </c>
      <c r="H51" s="6">
        <v>1</v>
      </c>
      <c r="I51" s="6">
        <v>1</v>
      </c>
      <c r="J51" s="20">
        <v>10.725</v>
      </c>
      <c r="K51" s="21"/>
      <c r="L51" s="21">
        <v>0</v>
      </c>
    </row>
    <row r="52" s="2" customFormat="1" ht="30.95" customHeight="1" spans="1:12">
      <c r="A52" s="6">
        <v>2</v>
      </c>
      <c r="B52" s="6"/>
      <c r="C52" s="7" t="s">
        <v>124</v>
      </c>
      <c r="D52" s="6" t="s">
        <v>196</v>
      </c>
      <c r="E52" s="8" t="s">
        <v>197</v>
      </c>
      <c r="F52" s="8" t="s">
        <v>78</v>
      </c>
      <c r="G52" s="6">
        <v>4.992</v>
      </c>
      <c r="H52" s="6">
        <v>1</v>
      </c>
      <c r="I52" s="6">
        <v>1</v>
      </c>
      <c r="J52" s="20">
        <v>4.992</v>
      </c>
      <c r="K52" s="21"/>
      <c r="L52" s="21">
        <v>0</v>
      </c>
    </row>
    <row r="53" s="2" customFormat="1" ht="30.95" customHeight="1" spans="1:13">
      <c r="A53" s="6">
        <v>3</v>
      </c>
      <c r="B53" s="6"/>
      <c r="C53" s="9" t="s">
        <v>198</v>
      </c>
      <c r="D53" s="6" t="s">
        <v>199</v>
      </c>
      <c r="E53" s="6" t="s">
        <v>200</v>
      </c>
      <c r="F53" s="6" t="s">
        <v>78</v>
      </c>
      <c r="G53" s="6"/>
      <c r="H53" s="6">
        <v>1</v>
      </c>
      <c r="I53" s="6">
        <v>1</v>
      </c>
      <c r="J53" s="20">
        <v>0</v>
      </c>
      <c r="K53" s="21"/>
      <c r="L53" s="21">
        <v>0</v>
      </c>
      <c r="M53" s="2" t="s">
        <v>201</v>
      </c>
    </row>
    <row r="54" s="2" customFormat="1" ht="30.95" customHeight="1" spans="1:12">
      <c r="A54" s="6">
        <v>4</v>
      </c>
      <c r="B54" s="6"/>
      <c r="C54" s="7" t="s">
        <v>124</v>
      </c>
      <c r="D54" s="6" t="s">
        <v>202</v>
      </c>
      <c r="E54" s="6" t="s">
        <v>195</v>
      </c>
      <c r="F54" s="6" t="s">
        <v>78</v>
      </c>
      <c r="G54" s="6">
        <v>10.7</v>
      </c>
      <c r="H54" s="6">
        <v>12</v>
      </c>
      <c r="I54" s="6">
        <v>1</v>
      </c>
      <c r="J54" s="20">
        <v>128.4</v>
      </c>
      <c r="K54" s="21"/>
      <c r="L54" s="21">
        <v>0</v>
      </c>
    </row>
    <row r="55" s="2" customFormat="1" ht="30.95" customHeight="1" spans="1:13">
      <c r="A55" s="6">
        <v>5</v>
      </c>
      <c r="B55" s="6"/>
      <c r="C55" s="7" t="s">
        <v>124</v>
      </c>
      <c r="D55" s="6" t="s">
        <v>203</v>
      </c>
      <c r="E55" s="6" t="s">
        <v>204</v>
      </c>
      <c r="F55" s="6" t="s">
        <v>78</v>
      </c>
      <c r="G55" s="6"/>
      <c r="H55" s="6">
        <v>12</v>
      </c>
      <c r="I55" s="6">
        <v>1</v>
      </c>
      <c r="J55" s="20">
        <v>0</v>
      </c>
      <c r="K55" s="21"/>
      <c r="L55" s="21">
        <v>0</v>
      </c>
      <c r="M55" s="2" t="s">
        <v>205</v>
      </c>
    </row>
    <row r="56" s="2" customFormat="1" ht="30.95" customHeight="1" spans="1:12">
      <c r="A56" s="6">
        <v>6</v>
      </c>
      <c r="B56" s="6"/>
      <c r="C56" s="9" t="s">
        <v>128</v>
      </c>
      <c r="D56" s="6" t="s">
        <v>202</v>
      </c>
      <c r="E56" s="6"/>
      <c r="F56" s="6" t="s">
        <v>78</v>
      </c>
      <c r="G56" s="6">
        <v>24.23</v>
      </c>
      <c r="H56" s="6">
        <v>12</v>
      </c>
      <c r="I56" s="6">
        <v>1</v>
      </c>
      <c r="J56" s="20">
        <v>290.76</v>
      </c>
      <c r="K56" s="21"/>
      <c r="L56" s="21">
        <v>0</v>
      </c>
    </row>
    <row r="57" s="2" customFormat="1" ht="30.95" customHeight="1" spans="1:12">
      <c r="A57" s="6">
        <v>7</v>
      </c>
      <c r="B57" s="6"/>
      <c r="C57" s="9" t="s">
        <v>206</v>
      </c>
      <c r="D57" s="6"/>
      <c r="E57" s="6"/>
      <c r="F57" s="6" t="s">
        <v>84</v>
      </c>
      <c r="G57" s="6"/>
      <c r="H57" s="6">
        <v>12</v>
      </c>
      <c r="I57" s="6">
        <v>1</v>
      </c>
      <c r="J57" s="20">
        <v>0</v>
      </c>
      <c r="K57" s="21"/>
      <c r="L57" s="21">
        <v>0</v>
      </c>
    </row>
    <row r="58" s="2" customFormat="1" ht="30.95" customHeight="1" spans="1:12">
      <c r="A58" s="6">
        <v>8</v>
      </c>
      <c r="B58" s="6"/>
      <c r="C58" s="9" t="s">
        <v>207</v>
      </c>
      <c r="D58" s="6"/>
      <c r="E58" s="6"/>
      <c r="F58" s="6" t="s">
        <v>84</v>
      </c>
      <c r="G58" s="6">
        <v>14.95</v>
      </c>
      <c r="H58" s="6">
        <v>12</v>
      </c>
      <c r="I58" s="6">
        <v>1</v>
      </c>
      <c r="J58" s="20">
        <v>179.4</v>
      </c>
      <c r="K58" s="21"/>
      <c r="L58" s="21">
        <v>0</v>
      </c>
    </row>
    <row r="59" s="2" customFormat="1" ht="30.95" customHeight="1" spans="1:12">
      <c r="A59" s="6">
        <v>9</v>
      </c>
      <c r="B59" s="6"/>
      <c r="C59" s="9" t="s">
        <v>133</v>
      </c>
      <c r="D59" s="6"/>
      <c r="E59" s="6"/>
      <c r="F59" s="6" t="s">
        <v>90</v>
      </c>
      <c r="G59" s="6">
        <v>1</v>
      </c>
      <c r="H59" s="6">
        <v>12</v>
      </c>
      <c r="I59" s="6">
        <v>1</v>
      </c>
      <c r="J59" s="20">
        <v>12</v>
      </c>
      <c r="K59" s="21"/>
      <c r="L59" s="21">
        <v>0</v>
      </c>
    </row>
    <row r="60" s="2" customFormat="1" ht="30.95" customHeight="1" spans="1:12">
      <c r="A60" s="6">
        <v>1</v>
      </c>
      <c r="B60" s="6" t="s">
        <v>216</v>
      </c>
      <c r="C60" s="7" t="s">
        <v>124</v>
      </c>
      <c r="D60" s="6" t="s">
        <v>194</v>
      </c>
      <c r="E60" s="8" t="s">
        <v>195</v>
      </c>
      <c r="F60" s="8" t="s">
        <v>78</v>
      </c>
      <c r="G60" s="6">
        <v>6.15</v>
      </c>
      <c r="H60" s="6">
        <v>1</v>
      </c>
      <c r="I60" s="6">
        <v>1</v>
      </c>
      <c r="J60" s="20">
        <v>6.15</v>
      </c>
      <c r="K60" s="21"/>
      <c r="L60" s="21">
        <v>0</v>
      </c>
    </row>
    <row r="61" s="2" customFormat="1" ht="30.95" customHeight="1" spans="1:12">
      <c r="A61" s="6">
        <v>2</v>
      </c>
      <c r="B61" s="6"/>
      <c r="C61" s="7" t="s">
        <v>124</v>
      </c>
      <c r="D61" s="6" t="s">
        <v>196</v>
      </c>
      <c r="E61" s="8" t="s">
        <v>197</v>
      </c>
      <c r="F61" s="8" t="s">
        <v>78</v>
      </c>
      <c r="G61" s="6">
        <v>3.48</v>
      </c>
      <c r="H61" s="6">
        <v>1</v>
      </c>
      <c r="I61" s="6">
        <v>1</v>
      </c>
      <c r="J61" s="20">
        <v>3.48</v>
      </c>
      <c r="K61" s="21"/>
      <c r="L61" s="21">
        <v>0</v>
      </c>
    </row>
    <row r="62" s="2" customFormat="1" ht="30.95" customHeight="1" spans="1:13">
      <c r="A62" s="6">
        <v>3</v>
      </c>
      <c r="B62" s="6"/>
      <c r="C62" s="9" t="s">
        <v>198</v>
      </c>
      <c r="D62" s="6" t="s">
        <v>199</v>
      </c>
      <c r="E62" s="6" t="s">
        <v>200</v>
      </c>
      <c r="F62" s="6" t="s">
        <v>78</v>
      </c>
      <c r="G62" s="6"/>
      <c r="H62" s="6">
        <v>1</v>
      </c>
      <c r="I62" s="6">
        <v>1</v>
      </c>
      <c r="J62" s="20">
        <v>0</v>
      </c>
      <c r="K62" s="21"/>
      <c r="L62" s="21">
        <v>0</v>
      </c>
      <c r="M62" s="2" t="s">
        <v>201</v>
      </c>
    </row>
    <row r="63" s="2" customFormat="1" ht="30.95" customHeight="1" spans="1:12">
      <c r="A63" s="6">
        <v>4</v>
      </c>
      <c r="B63" s="6"/>
      <c r="C63" s="7" t="s">
        <v>124</v>
      </c>
      <c r="D63" s="6" t="s">
        <v>202</v>
      </c>
      <c r="E63" s="6" t="s">
        <v>195</v>
      </c>
      <c r="F63" s="6" t="s">
        <v>78</v>
      </c>
      <c r="G63" s="6">
        <v>7.4</v>
      </c>
      <c r="H63" s="6">
        <v>12</v>
      </c>
      <c r="I63" s="6">
        <v>1</v>
      </c>
      <c r="J63" s="20">
        <v>88.8</v>
      </c>
      <c r="K63" s="21"/>
      <c r="L63" s="21">
        <v>0</v>
      </c>
    </row>
    <row r="64" s="2" customFormat="1" ht="30.95" customHeight="1" spans="1:13">
      <c r="A64" s="6">
        <v>5</v>
      </c>
      <c r="B64" s="6"/>
      <c r="C64" s="7" t="s">
        <v>124</v>
      </c>
      <c r="D64" s="6" t="s">
        <v>203</v>
      </c>
      <c r="E64" s="6" t="s">
        <v>204</v>
      </c>
      <c r="F64" s="6" t="s">
        <v>78</v>
      </c>
      <c r="G64" s="6"/>
      <c r="H64" s="6">
        <v>12</v>
      </c>
      <c r="I64" s="6">
        <v>1</v>
      </c>
      <c r="J64" s="20">
        <v>0</v>
      </c>
      <c r="K64" s="21"/>
      <c r="L64" s="21">
        <v>0</v>
      </c>
      <c r="M64" s="2" t="s">
        <v>205</v>
      </c>
    </row>
    <row r="65" s="2" customFormat="1" ht="30.95" customHeight="1" spans="1:12">
      <c r="A65" s="6">
        <v>6</v>
      </c>
      <c r="B65" s="6"/>
      <c r="C65" s="9" t="s">
        <v>128</v>
      </c>
      <c r="D65" s="6" t="s">
        <v>202</v>
      </c>
      <c r="E65" s="6"/>
      <c r="F65" s="6" t="s">
        <v>78</v>
      </c>
      <c r="G65" s="6">
        <v>16.553</v>
      </c>
      <c r="H65" s="6">
        <v>12</v>
      </c>
      <c r="I65" s="6">
        <v>1</v>
      </c>
      <c r="J65" s="20">
        <v>198.636</v>
      </c>
      <c r="K65" s="21"/>
      <c r="L65" s="21">
        <v>0</v>
      </c>
    </row>
    <row r="66" s="2" customFormat="1" ht="30.95" customHeight="1" spans="1:12">
      <c r="A66" s="6">
        <v>7</v>
      </c>
      <c r="B66" s="6"/>
      <c r="C66" s="9" t="s">
        <v>206</v>
      </c>
      <c r="D66" s="6"/>
      <c r="E66" s="6"/>
      <c r="F66" s="6" t="s">
        <v>84</v>
      </c>
      <c r="G66" s="6"/>
      <c r="H66" s="6">
        <v>12</v>
      </c>
      <c r="I66" s="6">
        <v>1</v>
      </c>
      <c r="J66" s="20">
        <v>0</v>
      </c>
      <c r="K66" s="21"/>
      <c r="L66" s="21">
        <v>0</v>
      </c>
    </row>
    <row r="67" s="2" customFormat="1" ht="30.95" customHeight="1" spans="1:12">
      <c r="A67" s="6">
        <v>8</v>
      </c>
      <c r="B67" s="6"/>
      <c r="C67" s="9" t="s">
        <v>207</v>
      </c>
      <c r="D67" s="6"/>
      <c r="E67" s="6"/>
      <c r="F67" s="6" t="s">
        <v>84</v>
      </c>
      <c r="G67" s="6">
        <v>13.5</v>
      </c>
      <c r="H67" s="6">
        <v>11</v>
      </c>
      <c r="I67" s="6">
        <v>1</v>
      </c>
      <c r="J67" s="20">
        <v>148.5</v>
      </c>
      <c r="K67" s="21"/>
      <c r="L67" s="21">
        <v>0</v>
      </c>
    </row>
    <row r="68" s="2" customFormat="1" ht="30.95" customHeight="1" spans="1:12">
      <c r="A68" s="6"/>
      <c r="B68" s="6"/>
      <c r="C68" s="9" t="s">
        <v>207</v>
      </c>
      <c r="D68" s="6" t="s">
        <v>210</v>
      </c>
      <c r="E68" s="6"/>
      <c r="F68" s="6" t="s">
        <v>84</v>
      </c>
      <c r="G68" s="6">
        <v>11.66</v>
      </c>
      <c r="H68" s="6">
        <v>1</v>
      </c>
      <c r="I68" s="6">
        <v>1</v>
      </c>
      <c r="J68" s="20">
        <v>11.66</v>
      </c>
      <c r="K68" s="21"/>
      <c r="L68" s="21">
        <v>0</v>
      </c>
    </row>
    <row r="69" s="2" customFormat="1" ht="30.95" customHeight="1" spans="1:12">
      <c r="A69" s="6">
        <v>9</v>
      </c>
      <c r="B69" s="6"/>
      <c r="C69" s="9" t="s">
        <v>133</v>
      </c>
      <c r="D69" s="6"/>
      <c r="E69" s="6"/>
      <c r="F69" s="6" t="s">
        <v>90</v>
      </c>
      <c r="G69" s="6">
        <v>1</v>
      </c>
      <c r="H69" s="6">
        <v>12</v>
      </c>
      <c r="I69" s="6">
        <v>1</v>
      </c>
      <c r="J69" s="20">
        <v>12</v>
      </c>
      <c r="K69" s="21"/>
      <c r="L69" s="21">
        <v>0</v>
      </c>
    </row>
    <row r="70" s="2" customFormat="1" ht="30.95" customHeight="1" spans="1:12">
      <c r="A70" s="6">
        <v>1</v>
      </c>
      <c r="B70" s="6" t="s">
        <v>217</v>
      </c>
      <c r="C70" s="7" t="s">
        <v>124</v>
      </c>
      <c r="D70" s="6" t="s">
        <v>194</v>
      </c>
      <c r="E70" s="8" t="s">
        <v>195</v>
      </c>
      <c r="F70" s="8" t="s">
        <v>78</v>
      </c>
      <c r="G70" s="6">
        <v>10.725</v>
      </c>
      <c r="H70" s="6">
        <v>1</v>
      </c>
      <c r="I70" s="6">
        <v>2</v>
      </c>
      <c r="J70" s="20">
        <v>21.45</v>
      </c>
      <c r="K70" s="21"/>
      <c r="L70" s="21">
        <v>0</v>
      </c>
    </row>
    <row r="71" s="2" customFormat="1" ht="30.95" customHeight="1" spans="1:12">
      <c r="A71" s="6">
        <v>2</v>
      </c>
      <c r="B71" s="6"/>
      <c r="C71" s="7" t="s">
        <v>124</v>
      </c>
      <c r="D71" s="6" t="s">
        <v>196</v>
      </c>
      <c r="E71" s="8" t="s">
        <v>197</v>
      </c>
      <c r="F71" s="8" t="s">
        <v>78</v>
      </c>
      <c r="G71" s="6">
        <v>4.992</v>
      </c>
      <c r="H71" s="6">
        <v>1</v>
      </c>
      <c r="I71" s="6">
        <v>2</v>
      </c>
      <c r="J71" s="20">
        <v>9.984</v>
      </c>
      <c r="K71" s="21"/>
      <c r="L71" s="21">
        <v>0</v>
      </c>
    </row>
    <row r="72" s="2" customFormat="1" ht="30.95" customHeight="1" spans="1:13">
      <c r="A72" s="6">
        <v>3</v>
      </c>
      <c r="B72" s="6"/>
      <c r="C72" s="9" t="s">
        <v>198</v>
      </c>
      <c r="D72" s="6" t="s">
        <v>199</v>
      </c>
      <c r="E72" s="6" t="s">
        <v>200</v>
      </c>
      <c r="F72" s="6" t="s">
        <v>78</v>
      </c>
      <c r="G72" s="6"/>
      <c r="H72" s="6">
        <v>1</v>
      </c>
      <c r="I72" s="6">
        <v>2</v>
      </c>
      <c r="J72" s="20">
        <v>0</v>
      </c>
      <c r="K72" s="21"/>
      <c r="L72" s="21">
        <v>0</v>
      </c>
      <c r="M72" s="2" t="s">
        <v>201</v>
      </c>
    </row>
    <row r="73" s="2" customFormat="1" ht="30.95" customHeight="1" spans="1:12">
      <c r="A73" s="6">
        <v>4</v>
      </c>
      <c r="B73" s="6"/>
      <c r="C73" s="7" t="s">
        <v>124</v>
      </c>
      <c r="D73" s="6" t="s">
        <v>202</v>
      </c>
      <c r="E73" s="6" t="s">
        <v>195</v>
      </c>
      <c r="F73" s="6" t="s">
        <v>78</v>
      </c>
      <c r="G73" s="6">
        <v>10.7</v>
      </c>
      <c r="H73" s="6">
        <v>12</v>
      </c>
      <c r="I73" s="6">
        <v>2</v>
      </c>
      <c r="J73" s="20">
        <v>256.8</v>
      </c>
      <c r="K73" s="21"/>
      <c r="L73" s="21">
        <v>0</v>
      </c>
    </row>
    <row r="74" s="2" customFormat="1" ht="30.95" customHeight="1" spans="1:13">
      <c r="A74" s="6">
        <v>5</v>
      </c>
      <c r="B74" s="6"/>
      <c r="C74" s="7" t="s">
        <v>124</v>
      </c>
      <c r="D74" s="6" t="s">
        <v>203</v>
      </c>
      <c r="E74" s="6" t="s">
        <v>204</v>
      </c>
      <c r="F74" s="6" t="s">
        <v>78</v>
      </c>
      <c r="G74" s="6"/>
      <c r="H74" s="6">
        <v>12</v>
      </c>
      <c r="I74" s="6">
        <v>2</v>
      </c>
      <c r="J74" s="20">
        <v>0</v>
      </c>
      <c r="K74" s="21"/>
      <c r="L74" s="21">
        <v>0</v>
      </c>
      <c r="M74" s="2" t="s">
        <v>205</v>
      </c>
    </row>
    <row r="75" s="2" customFormat="1" ht="30.95" customHeight="1" spans="1:12">
      <c r="A75" s="6">
        <v>6</v>
      </c>
      <c r="B75" s="6"/>
      <c r="C75" s="9" t="s">
        <v>128</v>
      </c>
      <c r="D75" s="6" t="s">
        <v>202</v>
      </c>
      <c r="E75" s="6"/>
      <c r="F75" s="6" t="s">
        <v>78</v>
      </c>
      <c r="G75" s="6">
        <v>24.23</v>
      </c>
      <c r="H75" s="6">
        <v>12</v>
      </c>
      <c r="I75" s="6">
        <v>2</v>
      </c>
      <c r="J75" s="20">
        <v>581.52</v>
      </c>
      <c r="K75" s="21"/>
      <c r="L75" s="21">
        <v>0</v>
      </c>
    </row>
    <row r="76" s="2" customFormat="1" ht="30.95" customHeight="1" spans="1:12">
      <c r="A76" s="6">
        <v>7</v>
      </c>
      <c r="B76" s="6"/>
      <c r="C76" s="9" t="s">
        <v>206</v>
      </c>
      <c r="D76" s="6"/>
      <c r="E76" s="6"/>
      <c r="F76" s="6" t="s">
        <v>84</v>
      </c>
      <c r="G76" s="6"/>
      <c r="H76" s="6">
        <v>12</v>
      </c>
      <c r="I76" s="6">
        <v>2</v>
      </c>
      <c r="J76" s="20">
        <v>0</v>
      </c>
      <c r="K76" s="21"/>
      <c r="L76" s="21">
        <v>0</v>
      </c>
    </row>
    <row r="77" s="2" customFormat="1" ht="30.95" customHeight="1" spans="1:12">
      <c r="A77" s="6">
        <v>8</v>
      </c>
      <c r="B77" s="6"/>
      <c r="C77" s="9" t="s">
        <v>207</v>
      </c>
      <c r="D77" s="6"/>
      <c r="E77" s="6"/>
      <c r="F77" s="6" t="s">
        <v>84</v>
      </c>
      <c r="G77" s="6">
        <v>14.95</v>
      </c>
      <c r="H77" s="6">
        <v>12</v>
      </c>
      <c r="I77" s="6">
        <v>2</v>
      </c>
      <c r="J77" s="20">
        <v>358.8</v>
      </c>
      <c r="K77" s="21"/>
      <c r="L77" s="21">
        <v>0</v>
      </c>
    </row>
    <row r="78" s="2" customFormat="1" ht="30.95" customHeight="1" spans="1:12">
      <c r="A78" s="6">
        <v>9</v>
      </c>
      <c r="B78" s="6"/>
      <c r="C78" s="9" t="s">
        <v>133</v>
      </c>
      <c r="D78" s="6"/>
      <c r="E78" s="6"/>
      <c r="F78" s="6" t="s">
        <v>90</v>
      </c>
      <c r="G78" s="6">
        <v>1</v>
      </c>
      <c r="H78" s="6">
        <v>12</v>
      </c>
      <c r="I78" s="6">
        <v>2</v>
      </c>
      <c r="J78" s="20">
        <v>24</v>
      </c>
      <c r="K78" s="21"/>
      <c r="L78" s="21">
        <v>0</v>
      </c>
    </row>
    <row r="79" s="2" customFormat="1" ht="30.95" customHeight="1" spans="1:15">
      <c r="A79" s="6">
        <v>1</v>
      </c>
      <c r="B79" s="6" t="s">
        <v>218</v>
      </c>
      <c r="C79" s="7" t="s">
        <v>124</v>
      </c>
      <c r="D79" s="6" t="s">
        <v>194</v>
      </c>
      <c r="E79" s="8" t="s">
        <v>195</v>
      </c>
      <c r="F79" s="8" t="s">
        <v>78</v>
      </c>
      <c r="G79" s="6">
        <v>10.725</v>
      </c>
      <c r="H79" s="6">
        <v>1</v>
      </c>
      <c r="I79" s="6">
        <v>2</v>
      </c>
      <c r="J79" s="20">
        <v>21.45</v>
      </c>
      <c r="K79" s="22">
        <f>[1]公共区域装修!$K$8</f>
        <v>155.87</v>
      </c>
      <c r="L79" s="21">
        <f>K79*J79</f>
        <v>3343.4115</v>
      </c>
      <c r="O79" s="2">
        <f>L79+L80+L81+L82+L83+L84+L85+L86+L87</f>
        <v>162018.25004112</v>
      </c>
    </row>
    <row r="80" s="2" customFormat="1" ht="30.95" customHeight="1" spans="1:12">
      <c r="A80" s="6">
        <v>2</v>
      </c>
      <c r="B80" s="6"/>
      <c r="C80" s="7" t="s">
        <v>124</v>
      </c>
      <c r="D80" s="6" t="s">
        <v>196</v>
      </c>
      <c r="E80" s="8" t="s">
        <v>197</v>
      </c>
      <c r="F80" s="8" t="s">
        <v>78</v>
      </c>
      <c r="G80" s="6">
        <v>4.992</v>
      </c>
      <c r="H80" s="6">
        <v>1</v>
      </c>
      <c r="I80" s="6">
        <v>2</v>
      </c>
      <c r="J80" s="20">
        <v>9.984</v>
      </c>
      <c r="K80" s="22">
        <f>[1]公共区域装修!$K$9</f>
        <v>395.15443</v>
      </c>
      <c r="L80" s="21">
        <f t="shared" ref="L80:L87" si="0">K80*J80</f>
        <v>3945.22182912</v>
      </c>
    </row>
    <row r="81" s="2" customFormat="1" ht="30.95" customHeight="1" spans="1:13">
      <c r="A81" s="6">
        <v>3</v>
      </c>
      <c r="B81" s="6"/>
      <c r="C81" s="9" t="s">
        <v>198</v>
      </c>
      <c r="D81" s="6" t="s">
        <v>199</v>
      </c>
      <c r="E81" s="6" t="s">
        <v>200</v>
      </c>
      <c r="F81" s="6" t="s">
        <v>78</v>
      </c>
      <c r="G81" s="6"/>
      <c r="H81" s="6">
        <v>1</v>
      </c>
      <c r="I81" s="6">
        <v>2</v>
      </c>
      <c r="J81" s="20">
        <v>0</v>
      </c>
      <c r="K81" s="22"/>
      <c r="L81" s="21">
        <f t="shared" si="0"/>
        <v>0</v>
      </c>
      <c r="M81" s="2" t="s">
        <v>201</v>
      </c>
    </row>
    <row r="82" s="2" customFormat="1" ht="30.95" customHeight="1" spans="1:12">
      <c r="A82" s="6">
        <v>4</v>
      </c>
      <c r="B82" s="6"/>
      <c r="C82" s="7" t="s">
        <v>124</v>
      </c>
      <c r="D82" s="6" t="s">
        <v>202</v>
      </c>
      <c r="E82" s="6" t="s">
        <v>195</v>
      </c>
      <c r="F82" s="6" t="s">
        <v>78</v>
      </c>
      <c r="G82" s="6">
        <v>10.7</v>
      </c>
      <c r="H82" s="6">
        <v>12</v>
      </c>
      <c r="I82" s="6">
        <v>2</v>
      </c>
      <c r="J82" s="20">
        <v>256.8</v>
      </c>
      <c r="K82" s="22">
        <f>[1]公共区域装修!$K$6</f>
        <v>155.87</v>
      </c>
      <c r="L82" s="21">
        <f t="shared" si="0"/>
        <v>40027.416</v>
      </c>
    </row>
    <row r="83" s="2" customFormat="1" ht="30.95" customHeight="1" spans="1:13">
      <c r="A83" s="6">
        <v>5</v>
      </c>
      <c r="B83" s="6"/>
      <c r="C83" s="7" t="s">
        <v>124</v>
      </c>
      <c r="D83" s="6" t="s">
        <v>203</v>
      </c>
      <c r="E83" s="6" t="s">
        <v>204</v>
      </c>
      <c r="F83" s="6" t="s">
        <v>78</v>
      </c>
      <c r="G83" s="6"/>
      <c r="H83" s="6">
        <v>12</v>
      </c>
      <c r="I83" s="6">
        <v>2</v>
      </c>
      <c r="J83" s="20">
        <v>0</v>
      </c>
      <c r="K83" s="22"/>
      <c r="L83" s="21">
        <f t="shared" si="0"/>
        <v>0</v>
      </c>
      <c r="M83" s="2" t="s">
        <v>205</v>
      </c>
    </row>
    <row r="84" s="2" customFormat="1" ht="30.95" customHeight="1" spans="1:12">
      <c r="A84" s="6">
        <v>6</v>
      </c>
      <c r="B84" s="6"/>
      <c r="C84" s="9" t="s">
        <v>128</v>
      </c>
      <c r="D84" s="6" t="s">
        <v>202</v>
      </c>
      <c r="E84" s="6"/>
      <c r="F84" s="6" t="s">
        <v>78</v>
      </c>
      <c r="G84" s="6">
        <v>24.23</v>
      </c>
      <c r="H84" s="6">
        <v>12</v>
      </c>
      <c r="I84" s="6">
        <v>2</v>
      </c>
      <c r="J84" s="20">
        <v>581.52</v>
      </c>
      <c r="K84" s="21">
        <f>[1]公共区域装修!$K$12</f>
        <v>155.1506</v>
      </c>
      <c r="L84" s="21">
        <f t="shared" si="0"/>
        <v>90223.176912</v>
      </c>
    </row>
    <row r="85" s="2" customFormat="1" ht="30.95" customHeight="1" spans="1:12">
      <c r="A85" s="6">
        <v>7</v>
      </c>
      <c r="B85" s="6"/>
      <c r="C85" s="9" t="s">
        <v>206</v>
      </c>
      <c r="D85" s="6"/>
      <c r="E85" s="6"/>
      <c r="F85" s="6" t="s">
        <v>84</v>
      </c>
      <c r="G85" s="6"/>
      <c r="H85" s="6">
        <v>12</v>
      </c>
      <c r="I85" s="6">
        <v>2</v>
      </c>
      <c r="J85" s="20">
        <v>0</v>
      </c>
      <c r="K85" s="21"/>
      <c r="L85" s="21">
        <f t="shared" si="0"/>
        <v>0</v>
      </c>
    </row>
    <row r="86" s="2" customFormat="1" ht="30.95" customHeight="1" spans="1:12">
      <c r="A86" s="6">
        <v>8</v>
      </c>
      <c r="B86" s="6"/>
      <c r="C86" s="9" t="s">
        <v>207</v>
      </c>
      <c r="D86" s="6"/>
      <c r="E86" s="6"/>
      <c r="F86" s="6" t="s">
        <v>84</v>
      </c>
      <c r="G86" s="6">
        <v>14.95</v>
      </c>
      <c r="H86" s="6">
        <v>12</v>
      </c>
      <c r="I86" s="6">
        <v>2</v>
      </c>
      <c r="J86" s="20">
        <v>358.8</v>
      </c>
      <c r="K86" s="21">
        <f>[1]公共区域装修!$K$14</f>
        <v>19.7835</v>
      </c>
      <c r="L86" s="21">
        <f t="shared" si="0"/>
        <v>7098.3198</v>
      </c>
    </row>
    <row r="87" s="2" customFormat="1" ht="30.95" customHeight="1" spans="1:12">
      <c r="A87" s="6">
        <v>9</v>
      </c>
      <c r="B87" s="6"/>
      <c r="C87" s="9" t="s">
        <v>133</v>
      </c>
      <c r="D87" s="6"/>
      <c r="E87" s="6"/>
      <c r="F87" s="6" t="s">
        <v>90</v>
      </c>
      <c r="G87" s="6">
        <v>1</v>
      </c>
      <c r="H87" s="6">
        <v>12</v>
      </c>
      <c r="I87" s="6">
        <v>2</v>
      </c>
      <c r="J87" s="20">
        <v>24</v>
      </c>
      <c r="K87" s="21">
        <f>[1]公共区域装修!$K$13</f>
        <v>724.196</v>
      </c>
      <c r="L87" s="21">
        <f t="shared" si="0"/>
        <v>17380.704</v>
      </c>
    </row>
    <row r="88" s="2" customFormat="1" ht="30.95" customHeight="1" spans="1:12">
      <c r="A88" s="6">
        <v>1</v>
      </c>
      <c r="B88" s="6" t="s">
        <v>219</v>
      </c>
      <c r="C88" s="7" t="s">
        <v>124</v>
      </c>
      <c r="D88" s="6" t="s">
        <v>194</v>
      </c>
      <c r="E88" s="8" t="s">
        <v>195</v>
      </c>
      <c r="F88" s="8" t="s">
        <v>78</v>
      </c>
      <c r="G88" s="6">
        <v>10.725</v>
      </c>
      <c r="H88" s="6">
        <v>1</v>
      </c>
      <c r="I88" s="6">
        <v>1</v>
      </c>
      <c r="J88" s="20">
        <v>10.725</v>
      </c>
      <c r="K88" s="22">
        <v>54</v>
      </c>
      <c r="L88" s="21">
        <v>579.15</v>
      </c>
    </row>
    <row r="89" s="2" customFormat="1" ht="30.95" customHeight="1" spans="1:12">
      <c r="A89" s="6">
        <v>2</v>
      </c>
      <c r="B89" s="6"/>
      <c r="C89" s="7" t="s">
        <v>124</v>
      </c>
      <c r="D89" s="6" t="s">
        <v>196</v>
      </c>
      <c r="E89" s="8" t="s">
        <v>197</v>
      </c>
      <c r="F89" s="8" t="s">
        <v>78</v>
      </c>
      <c r="G89" s="6">
        <v>4.992</v>
      </c>
      <c r="H89" s="6">
        <v>1</v>
      </c>
      <c r="I89" s="6">
        <v>1</v>
      </c>
      <c r="J89" s="20">
        <v>4.992</v>
      </c>
      <c r="K89" s="22">
        <v>100</v>
      </c>
      <c r="L89" s="21">
        <v>499.2</v>
      </c>
    </row>
    <row r="90" s="2" customFormat="1" ht="30.95" customHeight="1" spans="1:13">
      <c r="A90" s="6">
        <v>3</v>
      </c>
      <c r="B90" s="6"/>
      <c r="C90" s="9" t="s">
        <v>198</v>
      </c>
      <c r="D90" s="6" t="s">
        <v>199</v>
      </c>
      <c r="E90" s="6" t="s">
        <v>200</v>
      </c>
      <c r="F90" s="6" t="s">
        <v>78</v>
      </c>
      <c r="G90" s="6"/>
      <c r="H90" s="6">
        <v>1</v>
      </c>
      <c r="I90" s="6">
        <v>1</v>
      </c>
      <c r="J90" s="20">
        <v>0</v>
      </c>
      <c r="K90" s="22"/>
      <c r="L90" s="21">
        <v>0</v>
      </c>
      <c r="M90" s="2" t="s">
        <v>201</v>
      </c>
    </row>
    <row r="91" s="2" customFormat="1" ht="30.95" customHeight="1" spans="1:12">
      <c r="A91" s="6">
        <v>4</v>
      </c>
      <c r="B91" s="6"/>
      <c r="C91" s="7" t="s">
        <v>124</v>
      </c>
      <c r="D91" s="6" t="s">
        <v>202</v>
      </c>
      <c r="E91" s="6" t="s">
        <v>195</v>
      </c>
      <c r="F91" s="6" t="s">
        <v>78</v>
      </c>
      <c r="G91" s="6">
        <v>10.7</v>
      </c>
      <c r="H91" s="6">
        <v>12</v>
      </c>
      <c r="I91" s="6">
        <v>1</v>
      </c>
      <c r="J91" s="20">
        <v>128.4</v>
      </c>
      <c r="K91" s="22">
        <v>54</v>
      </c>
      <c r="L91" s="21">
        <v>6933.6</v>
      </c>
    </row>
    <row r="92" s="2" customFormat="1" ht="30.95" customHeight="1" spans="1:13">
      <c r="A92" s="6">
        <v>5</v>
      </c>
      <c r="B92" s="6"/>
      <c r="C92" s="7" t="s">
        <v>124</v>
      </c>
      <c r="D92" s="6" t="s">
        <v>203</v>
      </c>
      <c r="E92" s="6" t="s">
        <v>204</v>
      </c>
      <c r="F92" s="6" t="s">
        <v>78</v>
      </c>
      <c r="G92" s="6"/>
      <c r="H92" s="6">
        <v>12</v>
      </c>
      <c r="I92" s="6">
        <v>1</v>
      </c>
      <c r="J92" s="20">
        <v>0</v>
      </c>
      <c r="K92" s="22"/>
      <c r="L92" s="21">
        <v>0</v>
      </c>
      <c r="M92" s="2" t="s">
        <v>205</v>
      </c>
    </row>
    <row r="93" s="2" customFormat="1" ht="30.95" customHeight="1" spans="1:12">
      <c r="A93" s="6">
        <v>6</v>
      </c>
      <c r="B93" s="6"/>
      <c r="C93" s="9" t="s">
        <v>128</v>
      </c>
      <c r="D93" s="6" t="s">
        <v>202</v>
      </c>
      <c r="E93" s="6"/>
      <c r="F93" s="6" t="s">
        <v>78</v>
      </c>
      <c r="G93" s="6">
        <v>24.23</v>
      </c>
      <c r="H93" s="6">
        <v>12</v>
      </c>
      <c r="I93" s="6">
        <v>1</v>
      </c>
      <c r="J93" s="20">
        <v>290.76</v>
      </c>
      <c r="K93" s="21">
        <v>54</v>
      </c>
      <c r="L93" s="21">
        <v>15701.04</v>
      </c>
    </row>
    <row r="94" s="2" customFormat="1" ht="30.95" customHeight="1" spans="1:12">
      <c r="A94" s="6">
        <v>7</v>
      </c>
      <c r="B94" s="6"/>
      <c r="C94" s="9" t="s">
        <v>206</v>
      </c>
      <c r="D94" s="6"/>
      <c r="E94" s="6"/>
      <c r="F94" s="6" t="s">
        <v>84</v>
      </c>
      <c r="G94" s="6"/>
      <c r="H94" s="6">
        <v>12</v>
      </c>
      <c r="I94" s="6">
        <v>1</v>
      </c>
      <c r="J94" s="20">
        <v>0</v>
      </c>
      <c r="K94" s="21"/>
      <c r="L94" s="21">
        <v>0</v>
      </c>
    </row>
    <row r="95" s="2" customFormat="1" ht="30.95" customHeight="1" spans="1:12">
      <c r="A95" s="6">
        <v>8</v>
      </c>
      <c r="B95" s="6"/>
      <c r="C95" s="9" t="s">
        <v>207</v>
      </c>
      <c r="D95" s="6"/>
      <c r="E95" s="6"/>
      <c r="F95" s="6" t="s">
        <v>84</v>
      </c>
      <c r="G95" s="6">
        <v>14.95</v>
      </c>
      <c r="H95" s="6">
        <v>12</v>
      </c>
      <c r="I95" s="6">
        <v>1</v>
      </c>
      <c r="J95" s="20">
        <v>179.4</v>
      </c>
      <c r="K95" s="21"/>
      <c r="L95" s="21">
        <v>0</v>
      </c>
    </row>
    <row r="96" s="2" customFormat="1" ht="30.95" customHeight="1" spans="1:12">
      <c r="A96" s="6">
        <v>9</v>
      </c>
      <c r="B96" s="6"/>
      <c r="C96" s="9" t="s">
        <v>133</v>
      </c>
      <c r="D96" s="6"/>
      <c r="E96" s="6"/>
      <c r="F96" s="6" t="s">
        <v>90</v>
      </c>
      <c r="G96" s="6">
        <v>1</v>
      </c>
      <c r="H96" s="6">
        <v>12</v>
      </c>
      <c r="I96" s="6">
        <v>1</v>
      </c>
      <c r="J96" s="20">
        <v>12</v>
      </c>
      <c r="K96" s="21"/>
      <c r="L96" s="21">
        <v>0</v>
      </c>
    </row>
    <row r="97" s="2" customFormat="1" ht="30.95" customHeight="1" spans="1:12">
      <c r="A97" s="6">
        <v>1</v>
      </c>
      <c r="B97" s="6" t="s">
        <v>220</v>
      </c>
      <c r="C97" s="7" t="s">
        <v>124</v>
      </c>
      <c r="D97" s="6" t="s">
        <v>194</v>
      </c>
      <c r="E97" s="8" t="s">
        <v>195</v>
      </c>
      <c r="F97" s="8" t="s">
        <v>78</v>
      </c>
      <c r="G97" s="6">
        <v>6.15</v>
      </c>
      <c r="H97" s="6">
        <v>1</v>
      </c>
      <c r="I97" s="6">
        <v>1</v>
      </c>
      <c r="J97" s="20">
        <v>6.15</v>
      </c>
      <c r="K97" s="22">
        <v>54</v>
      </c>
      <c r="L97" s="21">
        <v>332.1</v>
      </c>
    </row>
    <row r="98" s="2" customFormat="1" ht="30.95" customHeight="1" spans="1:12">
      <c r="A98" s="6">
        <v>2</v>
      </c>
      <c r="B98" s="6"/>
      <c r="C98" s="7" t="s">
        <v>124</v>
      </c>
      <c r="D98" s="6" t="s">
        <v>196</v>
      </c>
      <c r="E98" s="8" t="s">
        <v>197</v>
      </c>
      <c r="F98" s="8" t="s">
        <v>78</v>
      </c>
      <c r="G98" s="6">
        <v>3.48</v>
      </c>
      <c r="H98" s="6">
        <v>1</v>
      </c>
      <c r="I98" s="6">
        <v>1</v>
      </c>
      <c r="J98" s="20">
        <v>3.48</v>
      </c>
      <c r="K98" s="22">
        <v>100</v>
      </c>
      <c r="L98" s="21">
        <v>348</v>
      </c>
    </row>
    <row r="99" s="2" customFormat="1" ht="30.95" customHeight="1" spans="1:13">
      <c r="A99" s="6">
        <v>3</v>
      </c>
      <c r="B99" s="6"/>
      <c r="C99" s="9" t="s">
        <v>198</v>
      </c>
      <c r="D99" s="6" t="s">
        <v>199</v>
      </c>
      <c r="E99" s="6" t="s">
        <v>200</v>
      </c>
      <c r="F99" s="6" t="s">
        <v>78</v>
      </c>
      <c r="G99" s="6"/>
      <c r="H99" s="6">
        <v>1</v>
      </c>
      <c r="I99" s="6">
        <v>1</v>
      </c>
      <c r="J99" s="20">
        <v>0</v>
      </c>
      <c r="K99" s="22"/>
      <c r="L99" s="21">
        <v>0</v>
      </c>
      <c r="M99" s="2" t="s">
        <v>201</v>
      </c>
    </row>
    <row r="100" s="2" customFormat="1" ht="30.95" customHeight="1" spans="1:12">
      <c r="A100" s="6">
        <v>4</v>
      </c>
      <c r="B100" s="6"/>
      <c r="C100" s="7" t="s">
        <v>124</v>
      </c>
      <c r="D100" s="6" t="s">
        <v>202</v>
      </c>
      <c r="E100" s="6" t="s">
        <v>195</v>
      </c>
      <c r="F100" s="6" t="s">
        <v>78</v>
      </c>
      <c r="G100" s="6">
        <v>7.4</v>
      </c>
      <c r="H100" s="6">
        <v>12</v>
      </c>
      <c r="I100" s="6">
        <v>1</v>
      </c>
      <c r="J100" s="20">
        <v>88.8</v>
      </c>
      <c r="K100" s="22">
        <v>54</v>
      </c>
      <c r="L100" s="21">
        <v>4795.2</v>
      </c>
    </row>
    <row r="101" s="2" customFormat="1" ht="30.95" customHeight="1" spans="1:13">
      <c r="A101" s="6">
        <v>5</v>
      </c>
      <c r="B101" s="6"/>
      <c r="C101" s="7" t="s">
        <v>124</v>
      </c>
      <c r="D101" s="6" t="s">
        <v>203</v>
      </c>
      <c r="E101" s="6" t="s">
        <v>204</v>
      </c>
      <c r="F101" s="6" t="s">
        <v>78</v>
      </c>
      <c r="G101" s="6"/>
      <c r="H101" s="6">
        <v>12</v>
      </c>
      <c r="I101" s="6">
        <v>1</v>
      </c>
      <c r="J101" s="20">
        <v>0</v>
      </c>
      <c r="K101" s="22"/>
      <c r="L101" s="21">
        <v>0</v>
      </c>
      <c r="M101" s="2" t="s">
        <v>205</v>
      </c>
    </row>
    <row r="102" s="2" customFormat="1" ht="30.95" customHeight="1" spans="1:12">
      <c r="A102" s="6">
        <v>6</v>
      </c>
      <c r="B102" s="6"/>
      <c r="C102" s="9" t="s">
        <v>128</v>
      </c>
      <c r="D102" s="6" t="s">
        <v>202</v>
      </c>
      <c r="E102" s="6"/>
      <c r="F102" s="6" t="s">
        <v>78</v>
      </c>
      <c r="G102" s="6">
        <v>16.553</v>
      </c>
      <c r="H102" s="6">
        <v>12</v>
      </c>
      <c r="I102" s="6">
        <v>1</v>
      </c>
      <c r="J102" s="20">
        <v>198.636</v>
      </c>
      <c r="K102" s="21">
        <v>54</v>
      </c>
      <c r="L102" s="21">
        <v>10726.344</v>
      </c>
    </row>
    <row r="103" s="2" customFormat="1" ht="30.95" customHeight="1" spans="1:12">
      <c r="A103" s="6">
        <v>7</v>
      </c>
      <c r="B103" s="6"/>
      <c r="C103" s="9" t="s">
        <v>206</v>
      </c>
      <c r="D103" s="6"/>
      <c r="E103" s="6"/>
      <c r="F103" s="6" t="s">
        <v>84</v>
      </c>
      <c r="G103" s="6"/>
      <c r="H103" s="6">
        <v>12</v>
      </c>
      <c r="I103" s="6">
        <v>1</v>
      </c>
      <c r="J103" s="20">
        <v>0</v>
      </c>
      <c r="K103" s="21"/>
      <c r="L103" s="21">
        <v>0</v>
      </c>
    </row>
    <row r="104" s="2" customFormat="1" ht="30.95" customHeight="1" spans="1:12">
      <c r="A104" s="6">
        <v>8</v>
      </c>
      <c r="B104" s="6"/>
      <c r="C104" s="9" t="s">
        <v>207</v>
      </c>
      <c r="D104" s="6"/>
      <c r="E104" s="6"/>
      <c r="F104" s="6" t="s">
        <v>84</v>
      </c>
      <c r="G104" s="6">
        <v>13.5</v>
      </c>
      <c r="H104" s="6">
        <v>12</v>
      </c>
      <c r="I104" s="6">
        <v>1</v>
      </c>
      <c r="J104" s="20">
        <v>162</v>
      </c>
      <c r="K104" s="21"/>
      <c r="L104" s="21">
        <v>0</v>
      </c>
    </row>
    <row r="105" s="2" customFormat="1" ht="30.95" customHeight="1" spans="1:12">
      <c r="A105" s="6">
        <v>9</v>
      </c>
      <c r="B105" s="6"/>
      <c r="C105" s="9" t="s">
        <v>133</v>
      </c>
      <c r="D105" s="6"/>
      <c r="E105" s="6"/>
      <c r="F105" s="6" t="s">
        <v>90</v>
      </c>
      <c r="G105" s="6">
        <v>1</v>
      </c>
      <c r="H105" s="6">
        <v>12</v>
      </c>
      <c r="I105" s="6">
        <v>1</v>
      </c>
      <c r="J105" s="20">
        <v>12</v>
      </c>
      <c r="K105" s="21"/>
      <c r="L105" s="21">
        <v>0</v>
      </c>
    </row>
    <row r="106" s="2" customFormat="1" ht="24.95" customHeight="1" spans="1:12">
      <c r="A106" s="6" t="s">
        <v>94</v>
      </c>
      <c r="B106" s="24"/>
      <c r="C106" s="25" t="s">
        <v>221</v>
      </c>
      <c r="D106" s="6"/>
      <c r="E106" s="6"/>
      <c r="F106" s="6"/>
      <c r="G106" s="6"/>
      <c r="H106" s="6"/>
      <c r="I106" s="6"/>
      <c r="J106" s="20"/>
      <c r="K106" s="21"/>
      <c r="L106" s="21">
        <v>0</v>
      </c>
    </row>
    <row r="107" s="2" customFormat="1" ht="26.1" customHeight="1" spans="1:12">
      <c r="A107" s="26">
        <v>1</v>
      </c>
      <c r="B107" s="26" t="s">
        <v>222</v>
      </c>
      <c r="C107" s="27" t="s">
        <v>124</v>
      </c>
      <c r="D107" s="26" t="s">
        <v>194</v>
      </c>
      <c r="E107" s="28" t="s">
        <v>195</v>
      </c>
      <c r="F107" s="28" t="s">
        <v>78</v>
      </c>
      <c r="G107" s="26">
        <v>6.158</v>
      </c>
      <c r="H107" s="26">
        <v>1</v>
      </c>
      <c r="I107" s="26">
        <v>2</v>
      </c>
      <c r="J107" s="20">
        <v>12.316</v>
      </c>
      <c r="K107" s="21"/>
      <c r="L107" s="21">
        <v>0</v>
      </c>
    </row>
    <row r="108" s="2" customFormat="1" ht="26.1" customHeight="1" spans="1:12">
      <c r="A108" s="26">
        <v>2</v>
      </c>
      <c r="B108" s="26"/>
      <c r="C108" s="27" t="s">
        <v>124</v>
      </c>
      <c r="D108" s="26" t="s">
        <v>196</v>
      </c>
      <c r="E108" s="28" t="s">
        <v>197</v>
      </c>
      <c r="F108" s="28" t="s">
        <v>78</v>
      </c>
      <c r="G108" s="26">
        <v>5.083</v>
      </c>
      <c r="H108" s="26">
        <v>1</v>
      </c>
      <c r="I108" s="26">
        <v>2</v>
      </c>
      <c r="J108" s="20">
        <v>10.166</v>
      </c>
      <c r="K108" s="21"/>
      <c r="L108" s="21">
        <v>0</v>
      </c>
    </row>
    <row r="109" s="2" customFormat="1" ht="26.1" customHeight="1" spans="1:13">
      <c r="A109" s="26">
        <v>3</v>
      </c>
      <c r="B109" s="26"/>
      <c r="C109" s="29" t="s">
        <v>198</v>
      </c>
      <c r="D109" s="26" t="s">
        <v>199</v>
      </c>
      <c r="E109" s="26" t="s">
        <v>200</v>
      </c>
      <c r="F109" s="26" t="s">
        <v>78</v>
      </c>
      <c r="G109" s="26"/>
      <c r="H109" s="26">
        <v>1</v>
      </c>
      <c r="I109" s="26">
        <v>2</v>
      </c>
      <c r="J109" s="20">
        <v>0</v>
      </c>
      <c r="K109" s="21"/>
      <c r="L109" s="21">
        <v>0</v>
      </c>
      <c r="M109" s="2" t="s">
        <v>201</v>
      </c>
    </row>
    <row r="110" s="2" customFormat="1" ht="24" spans="1:12">
      <c r="A110" s="26">
        <v>4</v>
      </c>
      <c r="B110" s="26"/>
      <c r="C110" s="27" t="s">
        <v>124</v>
      </c>
      <c r="D110" s="26" t="s">
        <v>202</v>
      </c>
      <c r="E110" s="26" t="s">
        <v>195</v>
      </c>
      <c r="F110" s="26" t="s">
        <v>78</v>
      </c>
      <c r="G110" s="26">
        <v>11.8</v>
      </c>
      <c r="H110" s="26">
        <v>1</v>
      </c>
      <c r="I110" s="26">
        <v>2</v>
      </c>
      <c r="J110" s="20">
        <v>23.6</v>
      </c>
      <c r="K110" s="21"/>
      <c r="L110" s="21">
        <v>0</v>
      </c>
    </row>
    <row r="111" s="2" customFormat="1" ht="18" customHeight="1" spans="1:13">
      <c r="A111" s="26">
        <v>5</v>
      </c>
      <c r="B111" s="26"/>
      <c r="C111" s="27" t="s">
        <v>124</v>
      </c>
      <c r="D111" s="26" t="s">
        <v>203</v>
      </c>
      <c r="E111" s="26" t="s">
        <v>204</v>
      </c>
      <c r="F111" s="26" t="s">
        <v>78</v>
      </c>
      <c r="G111" s="26"/>
      <c r="H111" s="26">
        <v>1</v>
      </c>
      <c r="I111" s="26">
        <v>2</v>
      </c>
      <c r="J111" s="20">
        <v>0</v>
      </c>
      <c r="K111" s="21"/>
      <c r="L111" s="21">
        <v>0</v>
      </c>
      <c r="M111" s="2" t="s">
        <v>223</v>
      </c>
    </row>
    <row r="112" s="2" customFormat="1" ht="18" customHeight="1" spans="1:12">
      <c r="A112" s="26">
        <v>6</v>
      </c>
      <c r="B112" s="26"/>
      <c r="C112" s="29" t="s">
        <v>128</v>
      </c>
      <c r="D112" s="26" t="s">
        <v>202</v>
      </c>
      <c r="E112" s="26"/>
      <c r="F112" s="26" t="s">
        <v>78</v>
      </c>
      <c r="G112" s="26">
        <v>18.6639</v>
      </c>
      <c r="H112" s="26">
        <v>1</v>
      </c>
      <c r="I112" s="26">
        <v>2</v>
      </c>
      <c r="J112" s="20">
        <v>37.3278</v>
      </c>
      <c r="K112" s="21"/>
      <c r="L112" s="21">
        <v>0</v>
      </c>
    </row>
    <row r="113" s="2" customFormat="1" ht="18" customHeight="1" spans="1:12">
      <c r="A113" s="26">
        <v>8</v>
      </c>
      <c r="B113" s="26"/>
      <c r="C113" s="29" t="s">
        <v>207</v>
      </c>
      <c r="D113" s="26"/>
      <c r="E113" s="26"/>
      <c r="F113" s="26" t="s">
        <v>84</v>
      </c>
      <c r="G113" s="26">
        <v>14.96</v>
      </c>
      <c r="H113" s="26">
        <v>1</v>
      </c>
      <c r="I113" s="26">
        <v>2</v>
      </c>
      <c r="J113" s="20">
        <v>29.92</v>
      </c>
      <c r="K113" s="21"/>
      <c r="L113" s="21">
        <v>0</v>
      </c>
    </row>
    <row r="114" s="2" customFormat="1" ht="18" customHeight="1" spans="1:12">
      <c r="A114" s="26">
        <v>9</v>
      </c>
      <c r="B114" s="26"/>
      <c r="C114" s="29" t="s">
        <v>133</v>
      </c>
      <c r="D114" s="26"/>
      <c r="E114" s="26"/>
      <c r="F114" s="26" t="s">
        <v>90</v>
      </c>
      <c r="G114" s="26">
        <v>1</v>
      </c>
      <c r="H114" s="26">
        <v>1</v>
      </c>
      <c r="I114" s="26">
        <v>2</v>
      </c>
      <c r="J114" s="20">
        <v>2</v>
      </c>
      <c r="K114" s="21"/>
      <c r="L114" s="21">
        <v>0</v>
      </c>
    </row>
    <row r="115" s="2" customFormat="1" ht="26" customHeight="1" spans="1:12">
      <c r="A115" s="26">
        <v>1</v>
      </c>
      <c r="B115" s="26" t="s">
        <v>224</v>
      </c>
      <c r="C115" s="27" t="s">
        <v>124</v>
      </c>
      <c r="D115" s="26" t="s">
        <v>194</v>
      </c>
      <c r="E115" s="28" t="s">
        <v>195</v>
      </c>
      <c r="F115" s="28" t="s">
        <v>78</v>
      </c>
      <c r="G115" s="26">
        <v>21.175</v>
      </c>
      <c r="H115" s="26">
        <v>1</v>
      </c>
      <c r="I115" s="26">
        <v>2</v>
      </c>
      <c r="J115" s="20">
        <v>42.35</v>
      </c>
      <c r="K115" s="21"/>
      <c r="L115" s="21">
        <v>0</v>
      </c>
    </row>
    <row r="116" s="2" customFormat="1" ht="18" customHeight="1" spans="1:12">
      <c r="A116" s="26">
        <v>2</v>
      </c>
      <c r="B116" s="26"/>
      <c r="C116" s="27" t="s">
        <v>124</v>
      </c>
      <c r="D116" s="26" t="s">
        <v>196</v>
      </c>
      <c r="E116" s="28" t="s">
        <v>197</v>
      </c>
      <c r="F116" s="28" t="s">
        <v>78</v>
      </c>
      <c r="G116" s="26">
        <v>7.54</v>
      </c>
      <c r="H116" s="26">
        <v>1</v>
      </c>
      <c r="I116" s="26">
        <v>2</v>
      </c>
      <c r="J116" s="20">
        <v>15.08</v>
      </c>
      <c r="K116" s="21"/>
      <c r="L116" s="21">
        <v>0</v>
      </c>
    </row>
    <row r="117" s="2" customFormat="1" ht="18" customHeight="1" spans="1:13">
      <c r="A117" s="26">
        <v>3</v>
      </c>
      <c r="B117" s="26"/>
      <c r="C117" s="29" t="s">
        <v>198</v>
      </c>
      <c r="D117" s="26" t="s">
        <v>199</v>
      </c>
      <c r="E117" s="26" t="s">
        <v>200</v>
      </c>
      <c r="F117" s="26" t="s">
        <v>78</v>
      </c>
      <c r="G117" s="26"/>
      <c r="H117" s="26">
        <v>1</v>
      </c>
      <c r="I117" s="26">
        <v>2</v>
      </c>
      <c r="J117" s="20">
        <v>0</v>
      </c>
      <c r="K117" s="21"/>
      <c r="L117" s="21">
        <v>0</v>
      </c>
      <c r="M117" s="2" t="s">
        <v>201</v>
      </c>
    </row>
    <row r="118" s="2" customFormat="1" ht="27" customHeight="1" spans="1:12">
      <c r="A118" s="26">
        <v>4</v>
      </c>
      <c r="B118" s="26"/>
      <c r="C118" s="27" t="s">
        <v>124</v>
      </c>
      <c r="D118" s="26" t="s">
        <v>202</v>
      </c>
      <c r="E118" s="26" t="s">
        <v>195</v>
      </c>
      <c r="F118" s="26" t="s">
        <v>78</v>
      </c>
      <c r="G118" s="26">
        <v>11.18</v>
      </c>
      <c r="H118" s="26">
        <v>1</v>
      </c>
      <c r="I118" s="26">
        <v>2</v>
      </c>
      <c r="J118" s="20">
        <v>22.36</v>
      </c>
      <c r="K118" s="21"/>
      <c r="L118" s="21">
        <v>0</v>
      </c>
    </row>
    <row r="119" s="2" customFormat="1" ht="18" customHeight="1" spans="1:13">
      <c r="A119" s="26">
        <v>5</v>
      </c>
      <c r="B119" s="26"/>
      <c r="C119" s="27" t="s">
        <v>124</v>
      </c>
      <c r="D119" s="26" t="s">
        <v>203</v>
      </c>
      <c r="E119" s="26" t="s">
        <v>204</v>
      </c>
      <c r="F119" s="26" t="s">
        <v>78</v>
      </c>
      <c r="G119" s="26"/>
      <c r="H119" s="26">
        <v>1</v>
      </c>
      <c r="I119" s="26">
        <v>2</v>
      </c>
      <c r="J119" s="20">
        <v>0</v>
      </c>
      <c r="K119" s="21"/>
      <c r="L119" s="21">
        <v>0</v>
      </c>
      <c r="M119" s="2" t="s">
        <v>223</v>
      </c>
    </row>
    <row r="120" s="2" customFormat="1" ht="18" customHeight="1" spans="1:12">
      <c r="A120" s="26">
        <v>6</v>
      </c>
      <c r="B120" s="26"/>
      <c r="C120" s="29" t="s">
        <v>128</v>
      </c>
      <c r="D120" s="26" t="s">
        <v>202</v>
      </c>
      <c r="E120" s="26"/>
      <c r="F120" s="26" t="s">
        <v>78</v>
      </c>
      <c r="G120" s="26">
        <v>18.054</v>
      </c>
      <c r="H120" s="26">
        <v>1</v>
      </c>
      <c r="I120" s="26">
        <v>2</v>
      </c>
      <c r="J120" s="20">
        <v>36.108</v>
      </c>
      <c r="K120" s="21"/>
      <c r="L120" s="21">
        <v>0</v>
      </c>
    </row>
    <row r="121" s="2" customFormat="1" ht="18" customHeight="1" spans="1:12">
      <c r="A121" s="26">
        <v>8</v>
      </c>
      <c r="B121" s="26"/>
      <c r="C121" s="29" t="s">
        <v>207</v>
      </c>
      <c r="D121" s="26"/>
      <c r="E121" s="26"/>
      <c r="F121" s="26" t="s">
        <v>84</v>
      </c>
      <c r="G121" s="26">
        <v>14.96</v>
      </c>
      <c r="H121" s="26">
        <v>1</v>
      </c>
      <c r="I121" s="26">
        <v>2</v>
      </c>
      <c r="J121" s="20">
        <v>29.92</v>
      </c>
      <c r="K121" s="21"/>
      <c r="L121" s="21">
        <v>0</v>
      </c>
    </row>
    <row r="122" s="2" customFormat="1" ht="18" customHeight="1" spans="1:12">
      <c r="A122" s="26">
        <v>9</v>
      </c>
      <c r="B122" s="26"/>
      <c r="C122" s="29" t="s">
        <v>133</v>
      </c>
      <c r="D122" s="26"/>
      <c r="E122" s="26"/>
      <c r="F122" s="26" t="s">
        <v>90</v>
      </c>
      <c r="G122" s="26">
        <v>1</v>
      </c>
      <c r="H122" s="26">
        <v>1</v>
      </c>
      <c r="I122" s="26">
        <v>2</v>
      </c>
      <c r="J122" s="20">
        <v>2</v>
      </c>
      <c r="K122" s="21"/>
      <c r="L122" s="21">
        <v>0</v>
      </c>
    </row>
    <row r="123" s="2" customFormat="1" ht="18" customHeight="1" spans="1:12">
      <c r="A123" s="30">
        <v>1</v>
      </c>
      <c r="B123" s="31" t="s">
        <v>225</v>
      </c>
      <c r="C123" s="32" t="s">
        <v>124</v>
      </c>
      <c r="D123" s="33" t="s">
        <v>194</v>
      </c>
      <c r="E123" s="34"/>
      <c r="F123" s="33" t="s">
        <v>78</v>
      </c>
      <c r="G123" s="33">
        <v>9.711</v>
      </c>
      <c r="H123" s="33">
        <v>1</v>
      </c>
      <c r="I123" s="33">
        <v>2</v>
      </c>
      <c r="J123" s="20">
        <v>19.422</v>
      </c>
      <c r="K123" s="21"/>
      <c r="L123" s="21">
        <v>0</v>
      </c>
    </row>
    <row r="124" s="2" customFormat="1" ht="18" customHeight="1" spans="1:12">
      <c r="A124" s="30">
        <v>2</v>
      </c>
      <c r="B124" s="35"/>
      <c r="C124" s="32" t="s">
        <v>124</v>
      </c>
      <c r="D124" s="33" t="s">
        <v>196</v>
      </c>
      <c r="E124" s="34"/>
      <c r="F124" s="33" t="s">
        <v>78</v>
      </c>
      <c r="G124" s="33">
        <v>7.176</v>
      </c>
      <c r="H124" s="33">
        <v>1</v>
      </c>
      <c r="I124" s="33">
        <v>2</v>
      </c>
      <c r="J124" s="20">
        <v>14.352</v>
      </c>
      <c r="K124" s="21"/>
      <c r="L124" s="21">
        <v>0</v>
      </c>
    </row>
    <row r="125" s="2" customFormat="1" ht="18" customHeight="1" spans="1:12">
      <c r="A125" s="30">
        <v>3</v>
      </c>
      <c r="B125" s="35"/>
      <c r="C125" s="32" t="s">
        <v>124</v>
      </c>
      <c r="D125" s="33" t="s">
        <v>202</v>
      </c>
      <c r="E125" s="34"/>
      <c r="F125" s="33" t="s">
        <v>78</v>
      </c>
      <c r="G125" s="33">
        <v>18.14</v>
      </c>
      <c r="H125" s="33">
        <v>1</v>
      </c>
      <c r="I125" s="33">
        <v>2</v>
      </c>
      <c r="J125" s="20">
        <v>36.28</v>
      </c>
      <c r="K125" s="21"/>
      <c r="L125" s="21">
        <v>0</v>
      </c>
    </row>
    <row r="126" s="2" customFormat="1" ht="18" customHeight="1" spans="1:13">
      <c r="A126" s="30">
        <v>4</v>
      </c>
      <c r="B126" s="35"/>
      <c r="C126" s="32" t="s">
        <v>124</v>
      </c>
      <c r="D126" s="33" t="s">
        <v>203</v>
      </c>
      <c r="E126" s="34"/>
      <c r="F126" s="33" t="s">
        <v>78</v>
      </c>
      <c r="G126" s="33"/>
      <c r="H126" s="33">
        <v>1</v>
      </c>
      <c r="I126" s="33">
        <v>2</v>
      </c>
      <c r="J126" s="20">
        <v>0</v>
      </c>
      <c r="K126" s="21"/>
      <c r="L126" s="21">
        <v>0</v>
      </c>
      <c r="M126" s="2" t="s">
        <v>223</v>
      </c>
    </row>
    <row r="127" s="2" customFormat="1" ht="18" customHeight="1" spans="1:12">
      <c r="A127" s="30">
        <v>5</v>
      </c>
      <c r="B127" s="35"/>
      <c r="C127" s="36" t="s">
        <v>128</v>
      </c>
      <c r="D127" s="33" t="s">
        <v>202</v>
      </c>
      <c r="E127" s="34"/>
      <c r="F127" s="33" t="s">
        <v>78</v>
      </c>
      <c r="G127" s="33">
        <v>40.58</v>
      </c>
      <c r="H127" s="33">
        <v>1</v>
      </c>
      <c r="I127" s="33">
        <v>2</v>
      </c>
      <c r="J127" s="20">
        <v>81.16</v>
      </c>
      <c r="K127" s="21"/>
      <c r="L127" s="21">
        <v>0</v>
      </c>
    </row>
    <row r="128" s="2" customFormat="1" ht="18" customHeight="1" spans="1:12">
      <c r="A128" s="30">
        <v>6</v>
      </c>
      <c r="B128" s="35"/>
      <c r="C128" s="36" t="s">
        <v>198</v>
      </c>
      <c r="D128" s="33" t="s">
        <v>199</v>
      </c>
      <c r="E128" s="34"/>
      <c r="F128" s="33" t="s">
        <v>78</v>
      </c>
      <c r="G128" s="37"/>
      <c r="H128" s="33">
        <v>1</v>
      </c>
      <c r="I128" s="33">
        <v>2</v>
      </c>
      <c r="J128" s="20">
        <v>0</v>
      </c>
      <c r="K128" s="21"/>
      <c r="L128" s="21">
        <v>0</v>
      </c>
    </row>
    <row r="129" s="2" customFormat="1" ht="18" customHeight="1" spans="1:12">
      <c r="A129" s="30">
        <v>7</v>
      </c>
      <c r="B129" s="35"/>
      <c r="C129" s="36" t="s">
        <v>207</v>
      </c>
      <c r="D129" s="33"/>
      <c r="E129" s="34"/>
      <c r="F129" s="33" t="s">
        <v>84</v>
      </c>
      <c r="G129" s="33">
        <v>23.06</v>
      </c>
      <c r="H129" s="33">
        <v>1</v>
      </c>
      <c r="I129" s="33">
        <v>2</v>
      </c>
      <c r="J129" s="20">
        <v>46.12</v>
      </c>
      <c r="K129" s="21"/>
      <c r="L129" s="21">
        <v>0</v>
      </c>
    </row>
    <row r="130" s="2" customFormat="1" ht="18" customHeight="1" spans="1:12">
      <c r="A130" s="30">
        <v>8</v>
      </c>
      <c r="B130" s="35"/>
      <c r="C130" s="36" t="s">
        <v>133</v>
      </c>
      <c r="D130" s="33"/>
      <c r="E130" s="34"/>
      <c r="F130" s="33" t="s">
        <v>90</v>
      </c>
      <c r="G130" s="33">
        <v>1</v>
      </c>
      <c r="H130" s="33">
        <v>1</v>
      </c>
      <c r="I130" s="33">
        <v>2</v>
      </c>
      <c r="J130" s="20">
        <v>2</v>
      </c>
      <c r="K130" s="21"/>
      <c r="L130" s="21">
        <v>0</v>
      </c>
    </row>
    <row r="131" s="2" customFormat="1" ht="18" customHeight="1" spans="1:12">
      <c r="A131" s="26">
        <v>1</v>
      </c>
      <c r="B131" s="31" t="s">
        <v>226</v>
      </c>
      <c r="C131" s="32" t="s">
        <v>124</v>
      </c>
      <c r="D131" s="33" t="s">
        <v>194</v>
      </c>
      <c r="E131" s="34"/>
      <c r="F131" s="31" t="s">
        <v>78</v>
      </c>
      <c r="G131" s="38">
        <v>7.075</v>
      </c>
      <c r="H131" s="33">
        <v>1</v>
      </c>
      <c r="I131" s="33">
        <v>2</v>
      </c>
      <c r="J131" s="20">
        <v>14.15</v>
      </c>
      <c r="K131" s="21"/>
      <c r="L131" s="21">
        <v>0</v>
      </c>
    </row>
    <row r="132" s="2" customFormat="1" ht="18" customHeight="1" spans="1:12">
      <c r="A132" s="26">
        <v>2</v>
      </c>
      <c r="B132" s="35"/>
      <c r="C132" s="32" t="s">
        <v>124</v>
      </c>
      <c r="D132" s="33" t="s">
        <v>196</v>
      </c>
      <c r="E132" s="34"/>
      <c r="F132" s="31" t="s">
        <v>78</v>
      </c>
      <c r="G132" s="38">
        <v>3.432</v>
      </c>
      <c r="H132" s="33">
        <v>1</v>
      </c>
      <c r="I132" s="33">
        <v>2</v>
      </c>
      <c r="J132" s="20">
        <v>6.864</v>
      </c>
      <c r="K132" s="21"/>
      <c r="L132" s="21">
        <v>0</v>
      </c>
    </row>
    <row r="133" s="2" customFormat="1" ht="18" customHeight="1" spans="1:12">
      <c r="A133" s="26">
        <v>3</v>
      </c>
      <c r="B133" s="35"/>
      <c r="C133" s="32" t="s">
        <v>124</v>
      </c>
      <c r="D133" s="33" t="s">
        <v>202</v>
      </c>
      <c r="E133" s="34"/>
      <c r="F133" s="33" t="s">
        <v>78</v>
      </c>
      <c r="G133" s="38">
        <v>30.66</v>
      </c>
      <c r="H133" s="33">
        <v>1</v>
      </c>
      <c r="I133" s="33">
        <v>2</v>
      </c>
      <c r="J133" s="20">
        <v>61.32</v>
      </c>
      <c r="K133" s="21"/>
      <c r="L133" s="21">
        <v>0</v>
      </c>
    </row>
    <row r="134" s="2" customFormat="1" ht="18" customHeight="1" spans="1:13">
      <c r="A134" s="26">
        <v>4</v>
      </c>
      <c r="B134" s="35"/>
      <c r="C134" s="32" t="s">
        <v>124</v>
      </c>
      <c r="D134" s="33" t="s">
        <v>203</v>
      </c>
      <c r="E134" s="34"/>
      <c r="F134" s="33" t="s">
        <v>78</v>
      </c>
      <c r="G134" s="38"/>
      <c r="H134" s="33">
        <v>1</v>
      </c>
      <c r="I134" s="33">
        <v>2</v>
      </c>
      <c r="J134" s="20">
        <v>0</v>
      </c>
      <c r="K134" s="21"/>
      <c r="L134" s="21">
        <v>0</v>
      </c>
      <c r="M134" s="2" t="s">
        <v>223</v>
      </c>
    </row>
    <row r="135" s="2" customFormat="1" ht="18" customHeight="1" spans="1:12">
      <c r="A135" s="26">
        <v>5</v>
      </c>
      <c r="B135" s="35"/>
      <c r="C135" s="36" t="s">
        <v>128</v>
      </c>
      <c r="D135" s="33" t="s">
        <v>202</v>
      </c>
      <c r="E135" s="34"/>
      <c r="F135" s="33" t="s">
        <v>78</v>
      </c>
      <c r="G135" s="38">
        <v>43.44</v>
      </c>
      <c r="H135" s="33">
        <v>1</v>
      </c>
      <c r="I135" s="33">
        <v>2</v>
      </c>
      <c r="J135" s="20">
        <v>86.88</v>
      </c>
      <c r="K135" s="21"/>
      <c r="L135" s="21">
        <v>0</v>
      </c>
    </row>
    <row r="136" s="2" customFormat="1" ht="18" customHeight="1" spans="1:12">
      <c r="A136" s="26">
        <v>6</v>
      </c>
      <c r="B136" s="35"/>
      <c r="C136" s="36" t="s">
        <v>198</v>
      </c>
      <c r="D136" s="33" t="s">
        <v>199</v>
      </c>
      <c r="E136" s="34"/>
      <c r="F136" s="33" t="s">
        <v>78</v>
      </c>
      <c r="G136" s="37"/>
      <c r="H136" s="33">
        <v>1</v>
      </c>
      <c r="I136" s="33">
        <v>2</v>
      </c>
      <c r="J136" s="20">
        <v>0</v>
      </c>
      <c r="K136" s="21"/>
      <c r="L136" s="21">
        <v>0</v>
      </c>
    </row>
    <row r="137" s="2" customFormat="1" ht="18" customHeight="1" spans="1:12">
      <c r="A137" s="26">
        <v>8</v>
      </c>
      <c r="B137" s="35"/>
      <c r="C137" s="36" t="s">
        <v>207</v>
      </c>
      <c r="D137" s="33"/>
      <c r="E137" s="34"/>
      <c r="F137" s="33" t="s">
        <v>84</v>
      </c>
      <c r="G137" s="38">
        <v>23.06</v>
      </c>
      <c r="H137" s="33">
        <v>1</v>
      </c>
      <c r="I137" s="33">
        <v>2</v>
      </c>
      <c r="J137" s="20">
        <v>46.12</v>
      </c>
      <c r="K137" s="21"/>
      <c r="L137" s="21">
        <v>0</v>
      </c>
    </row>
    <row r="138" s="2" customFormat="1" ht="18" customHeight="1" spans="1:12">
      <c r="A138" s="26">
        <v>9</v>
      </c>
      <c r="B138" s="35"/>
      <c r="C138" s="36" t="s">
        <v>133</v>
      </c>
      <c r="D138" s="33"/>
      <c r="E138" s="34"/>
      <c r="F138" s="33" t="s">
        <v>90</v>
      </c>
      <c r="G138" s="33">
        <v>1</v>
      </c>
      <c r="H138" s="33">
        <v>1</v>
      </c>
      <c r="I138" s="33">
        <v>2</v>
      </c>
      <c r="J138" s="20">
        <v>2</v>
      </c>
      <c r="K138" s="21"/>
      <c r="L138" s="21">
        <v>0</v>
      </c>
    </row>
    <row r="139" s="2" customFormat="1" ht="18" customHeight="1" spans="1:12">
      <c r="A139" s="26">
        <v>1</v>
      </c>
      <c r="B139" s="31" t="s">
        <v>227</v>
      </c>
      <c r="C139" s="32" t="s">
        <v>124</v>
      </c>
      <c r="D139" s="33" t="s">
        <v>194</v>
      </c>
      <c r="E139" s="34"/>
      <c r="F139" s="33" t="s">
        <v>78</v>
      </c>
      <c r="G139" s="33">
        <v>7.9</v>
      </c>
      <c r="H139" s="33">
        <v>1</v>
      </c>
      <c r="I139" s="33">
        <v>2</v>
      </c>
      <c r="J139" s="20">
        <v>15.8</v>
      </c>
      <c r="K139" s="22">
        <v>54</v>
      </c>
      <c r="L139" s="23">
        <v>853.2</v>
      </c>
    </row>
    <row r="140" s="2" customFormat="1" ht="18" customHeight="1" spans="1:12">
      <c r="A140" s="26">
        <v>2</v>
      </c>
      <c r="B140" s="35"/>
      <c r="C140" s="32" t="s">
        <v>124</v>
      </c>
      <c r="D140" s="33" t="s">
        <v>196</v>
      </c>
      <c r="E140" s="34"/>
      <c r="F140" s="33" t="s">
        <v>78</v>
      </c>
      <c r="G140" s="33">
        <v>4.992</v>
      </c>
      <c r="H140" s="33">
        <v>1</v>
      </c>
      <c r="I140" s="33">
        <v>2</v>
      </c>
      <c r="J140" s="20">
        <v>9.984</v>
      </c>
      <c r="K140" s="22">
        <v>100</v>
      </c>
      <c r="L140" s="23">
        <v>998.4</v>
      </c>
    </row>
    <row r="141" s="2" customFormat="1" ht="18" customHeight="1" spans="1:12">
      <c r="A141" s="26">
        <v>3</v>
      </c>
      <c r="B141" s="35"/>
      <c r="C141" s="32" t="s">
        <v>124</v>
      </c>
      <c r="D141" s="33" t="s">
        <v>202</v>
      </c>
      <c r="E141" s="34"/>
      <c r="F141" s="33" t="s">
        <v>78</v>
      </c>
      <c r="G141" s="33">
        <v>12.55</v>
      </c>
      <c r="H141" s="33">
        <v>1</v>
      </c>
      <c r="I141" s="33">
        <v>2</v>
      </c>
      <c r="J141" s="20">
        <v>25.1</v>
      </c>
      <c r="K141" s="22">
        <v>54</v>
      </c>
      <c r="L141" s="23">
        <v>1355.4</v>
      </c>
    </row>
    <row r="142" s="2" customFormat="1" ht="18" customHeight="1" spans="1:13">
      <c r="A142" s="26">
        <v>4</v>
      </c>
      <c r="B142" s="35"/>
      <c r="C142" s="32" t="s">
        <v>124</v>
      </c>
      <c r="D142" s="33" t="s">
        <v>203</v>
      </c>
      <c r="E142" s="34"/>
      <c r="F142" s="33" t="s">
        <v>78</v>
      </c>
      <c r="G142" s="33"/>
      <c r="H142" s="33">
        <v>1</v>
      </c>
      <c r="I142" s="33">
        <v>2</v>
      </c>
      <c r="J142" s="20">
        <v>0</v>
      </c>
      <c r="K142" s="22"/>
      <c r="L142" s="23">
        <v>0</v>
      </c>
      <c r="M142" s="2" t="s">
        <v>223</v>
      </c>
    </row>
    <row r="143" s="2" customFormat="1" ht="18" customHeight="1" spans="1:12">
      <c r="A143" s="26">
        <v>5</v>
      </c>
      <c r="B143" s="35"/>
      <c r="C143" s="36" t="s">
        <v>128</v>
      </c>
      <c r="D143" s="33" t="s">
        <v>202</v>
      </c>
      <c r="E143" s="34"/>
      <c r="F143" s="33" t="s">
        <v>78</v>
      </c>
      <c r="G143" s="33">
        <v>37.975</v>
      </c>
      <c r="H143" s="33">
        <v>1</v>
      </c>
      <c r="I143" s="33">
        <v>2</v>
      </c>
      <c r="J143" s="20">
        <v>75.95</v>
      </c>
      <c r="K143" s="22">
        <v>54</v>
      </c>
      <c r="L143" s="23">
        <v>4101.3</v>
      </c>
    </row>
    <row r="144" s="2" customFormat="1" ht="18" customHeight="1" spans="1:13">
      <c r="A144" s="26">
        <v>6</v>
      </c>
      <c r="B144" s="35"/>
      <c r="C144" s="36" t="s">
        <v>198</v>
      </c>
      <c r="D144" s="33" t="s">
        <v>199</v>
      </c>
      <c r="E144" s="34"/>
      <c r="F144" s="33" t="s">
        <v>78</v>
      </c>
      <c r="G144" s="37"/>
      <c r="H144" s="33">
        <v>1</v>
      </c>
      <c r="I144" s="33">
        <v>2</v>
      </c>
      <c r="J144" s="20">
        <v>0</v>
      </c>
      <c r="K144" s="21"/>
      <c r="L144" s="23">
        <v>0</v>
      </c>
      <c r="M144" s="2" t="s">
        <v>228</v>
      </c>
    </row>
    <row r="145" s="2" customFormat="1" ht="18" customHeight="1" spans="1:12">
      <c r="A145" s="26">
        <v>8</v>
      </c>
      <c r="B145" s="35"/>
      <c r="C145" s="36" t="s">
        <v>207</v>
      </c>
      <c r="D145" s="33"/>
      <c r="E145" s="34"/>
      <c r="F145" s="33" t="s">
        <v>84</v>
      </c>
      <c r="G145" s="33">
        <v>22.8</v>
      </c>
      <c r="H145" s="33">
        <v>1</v>
      </c>
      <c r="I145" s="33">
        <v>2</v>
      </c>
      <c r="J145" s="20">
        <v>45.6</v>
      </c>
      <c r="K145" s="21"/>
      <c r="L145" s="23">
        <v>0</v>
      </c>
    </row>
    <row r="146" s="2" customFormat="1" ht="23" customHeight="1" spans="1:12">
      <c r="A146" s="26">
        <v>9</v>
      </c>
      <c r="B146" s="35"/>
      <c r="C146" s="36" t="s">
        <v>133</v>
      </c>
      <c r="D146" s="33"/>
      <c r="E146" s="34"/>
      <c r="F146" s="33" t="s">
        <v>90</v>
      </c>
      <c r="G146" s="33">
        <v>1</v>
      </c>
      <c r="H146" s="33">
        <v>1</v>
      </c>
      <c r="I146" s="33">
        <v>2</v>
      </c>
      <c r="J146" s="20">
        <v>2</v>
      </c>
      <c r="K146" s="21"/>
      <c r="L146" s="23">
        <v>0</v>
      </c>
    </row>
    <row r="147" s="2" customFormat="1" spans="1:12">
      <c r="A147" s="26">
        <v>1</v>
      </c>
      <c r="B147" s="31" t="s">
        <v>229</v>
      </c>
      <c r="C147" s="32" t="s">
        <v>124</v>
      </c>
      <c r="D147" s="33" t="s">
        <v>194</v>
      </c>
      <c r="E147" s="34"/>
      <c r="F147" s="31" t="s">
        <v>78</v>
      </c>
      <c r="G147" s="33">
        <v>9.75</v>
      </c>
      <c r="H147" s="33">
        <v>1</v>
      </c>
      <c r="I147" s="33">
        <v>2</v>
      </c>
      <c r="J147" s="20">
        <v>19.5</v>
      </c>
      <c r="K147" s="22">
        <v>54</v>
      </c>
      <c r="L147" s="23">
        <v>1053</v>
      </c>
    </row>
    <row r="148" s="2" customFormat="1" spans="1:12">
      <c r="A148" s="26">
        <v>2</v>
      </c>
      <c r="B148" s="35"/>
      <c r="C148" s="32" t="s">
        <v>124</v>
      </c>
      <c r="D148" s="33" t="s">
        <v>196</v>
      </c>
      <c r="E148" s="34"/>
      <c r="F148" s="31" t="s">
        <v>78</v>
      </c>
      <c r="G148" s="33">
        <v>8.424</v>
      </c>
      <c r="H148" s="33">
        <v>1</v>
      </c>
      <c r="I148" s="33">
        <v>2</v>
      </c>
      <c r="J148" s="20">
        <v>16.848</v>
      </c>
      <c r="K148" s="22">
        <v>100</v>
      </c>
      <c r="L148" s="23">
        <v>1684.8</v>
      </c>
    </row>
    <row r="149" s="2" customFormat="1" ht="24" spans="1:12">
      <c r="A149" s="26">
        <v>3</v>
      </c>
      <c r="B149" s="35"/>
      <c r="C149" s="32" t="s">
        <v>124</v>
      </c>
      <c r="D149" s="33" t="s">
        <v>202</v>
      </c>
      <c r="E149" s="34"/>
      <c r="F149" s="33" t="s">
        <v>78</v>
      </c>
      <c r="G149" s="38">
        <v>23.79</v>
      </c>
      <c r="H149" s="33">
        <v>1</v>
      </c>
      <c r="I149" s="33">
        <v>2</v>
      </c>
      <c r="J149" s="20">
        <v>47.58</v>
      </c>
      <c r="K149" s="22">
        <v>54</v>
      </c>
      <c r="L149" s="23">
        <v>2569.32</v>
      </c>
    </row>
    <row r="150" s="2" customFormat="1" ht="24" spans="1:13">
      <c r="A150" s="26">
        <v>4</v>
      </c>
      <c r="B150" s="35"/>
      <c r="C150" s="32" t="s">
        <v>124</v>
      </c>
      <c r="D150" s="33" t="s">
        <v>203</v>
      </c>
      <c r="E150" s="34"/>
      <c r="F150" s="33" t="s">
        <v>78</v>
      </c>
      <c r="G150" s="38"/>
      <c r="H150" s="33">
        <v>1</v>
      </c>
      <c r="I150" s="33">
        <v>2</v>
      </c>
      <c r="J150" s="20">
        <v>0</v>
      </c>
      <c r="K150" s="22"/>
      <c r="L150" s="23">
        <v>0</v>
      </c>
      <c r="M150" s="2" t="s">
        <v>223</v>
      </c>
    </row>
    <row r="151" s="2" customFormat="1" ht="24" spans="1:12">
      <c r="A151" s="26">
        <v>5</v>
      </c>
      <c r="B151" s="35"/>
      <c r="C151" s="36" t="s">
        <v>128</v>
      </c>
      <c r="D151" s="33" t="s">
        <v>202</v>
      </c>
      <c r="E151" s="34"/>
      <c r="F151" s="33" t="s">
        <v>78</v>
      </c>
      <c r="G151" s="38">
        <v>37.655</v>
      </c>
      <c r="H151" s="33">
        <v>1</v>
      </c>
      <c r="I151" s="33">
        <v>2</v>
      </c>
      <c r="J151" s="20">
        <v>75.31</v>
      </c>
      <c r="K151" s="22">
        <v>54</v>
      </c>
      <c r="L151" s="23">
        <v>4066.74</v>
      </c>
    </row>
    <row r="152" s="2" customFormat="1" spans="1:13">
      <c r="A152" s="26">
        <v>6</v>
      </c>
      <c r="B152" s="35"/>
      <c r="C152" s="36" t="s">
        <v>198</v>
      </c>
      <c r="D152" s="33" t="s">
        <v>199</v>
      </c>
      <c r="E152" s="34"/>
      <c r="F152" s="33" t="s">
        <v>78</v>
      </c>
      <c r="G152" s="37"/>
      <c r="H152" s="33">
        <v>1</v>
      </c>
      <c r="I152" s="33">
        <v>2</v>
      </c>
      <c r="J152" s="20">
        <v>0</v>
      </c>
      <c r="K152" s="21"/>
      <c r="L152" s="21">
        <v>0</v>
      </c>
      <c r="M152" s="2" t="s">
        <v>228</v>
      </c>
    </row>
    <row r="153" s="2" customFormat="1" spans="1:12">
      <c r="A153" s="26">
        <v>8</v>
      </c>
      <c r="B153" s="35"/>
      <c r="C153" s="36" t="s">
        <v>207</v>
      </c>
      <c r="D153" s="33"/>
      <c r="E153" s="34"/>
      <c r="F153" s="33" t="s">
        <v>84</v>
      </c>
      <c r="G153" s="38">
        <v>21.2</v>
      </c>
      <c r="H153" s="33">
        <v>1</v>
      </c>
      <c r="I153" s="33">
        <v>2</v>
      </c>
      <c r="J153" s="20">
        <v>42.4</v>
      </c>
      <c r="K153" s="21"/>
      <c r="L153" s="21">
        <v>0</v>
      </c>
    </row>
    <row r="154" s="2" customFormat="1" spans="1:12">
      <c r="A154" s="28">
        <v>9</v>
      </c>
      <c r="B154" s="35"/>
      <c r="C154" s="39" t="s">
        <v>133</v>
      </c>
      <c r="D154" s="31"/>
      <c r="E154" s="40"/>
      <c r="F154" s="31" t="s">
        <v>90</v>
      </c>
      <c r="G154" s="31">
        <v>1</v>
      </c>
      <c r="H154" s="31">
        <v>1</v>
      </c>
      <c r="I154" s="31">
        <v>1</v>
      </c>
      <c r="J154" s="42">
        <v>1</v>
      </c>
      <c r="K154" s="22"/>
      <c r="L154" s="21"/>
    </row>
    <row r="155" s="2" customFormat="1" spans="1:12">
      <c r="A155" s="26">
        <v>1</v>
      </c>
      <c r="B155" s="31" t="s">
        <v>230</v>
      </c>
      <c r="C155" s="32" t="s">
        <v>124</v>
      </c>
      <c r="D155" s="33" t="s">
        <v>194</v>
      </c>
      <c r="E155" s="34"/>
      <c r="F155" s="33" t="s">
        <v>78</v>
      </c>
      <c r="G155" s="33">
        <v>6.083</v>
      </c>
      <c r="H155" s="33">
        <v>1</v>
      </c>
      <c r="I155" s="33">
        <v>1</v>
      </c>
      <c r="J155" s="20">
        <v>6.083</v>
      </c>
      <c r="K155" s="22">
        <v>54</v>
      </c>
      <c r="L155" s="22">
        <f t="shared" ref="L155:L157" si="1">K155*J155</f>
        <v>328.482</v>
      </c>
    </row>
    <row r="156" s="2" customFormat="1" spans="1:12">
      <c r="A156" s="26">
        <v>2</v>
      </c>
      <c r="B156" s="35"/>
      <c r="C156" s="32" t="s">
        <v>124</v>
      </c>
      <c r="D156" s="33" t="s">
        <v>196</v>
      </c>
      <c r="E156" s="34"/>
      <c r="F156" s="33" t="s">
        <v>78</v>
      </c>
      <c r="G156" s="33">
        <v>5.083</v>
      </c>
      <c r="H156" s="33">
        <v>1</v>
      </c>
      <c r="I156" s="33">
        <v>1</v>
      </c>
      <c r="J156" s="20">
        <v>5.083</v>
      </c>
      <c r="K156" s="22">
        <v>100</v>
      </c>
      <c r="L156" s="22">
        <f t="shared" si="1"/>
        <v>508.3</v>
      </c>
    </row>
    <row r="157" s="2" customFormat="1" ht="24" spans="1:12">
      <c r="A157" s="26">
        <v>3</v>
      </c>
      <c r="B157" s="35"/>
      <c r="C157" s="32" t="s">
        <v>124</v>
      </c>
      <c r="D157" s="33" t="s">
        <v>202</v>
      </c>
      <c r="E157" s="34"/>
      <c r="F157" s="33" t="s">
        <v>78</v>
      </c>
      <c r="G157" s="33">
        <v>23.647</v>
      </c>
      <c r="H157" s="33">
        <v>1</v>
      </c>
      <c r="I157" s="31">
        <v>1</v>
      </c>
      <c r="J157" s="20">
        <v>23.647</v>
      </c>
      <c r="K157" s="22">
        <v>54</v>
      </c>
      <c r="L157" s="22">
        <f t="shared" si="1"/>
        <v>1276.938</v>
      </c>
    </row>
    <row r="158" s="2" customFormat="1" ht="24" spans="1:13">
      <c r="A158" s="26">
        <v>4</v>
      </c>
      <c r="B158" s="35"/>
      <c r="C158" s="32" t="s">
        <v>124</v>
      </c>
      <c r="D158" s="33" t="s">
        <v>203</v>
      </c>
      <c r="E158" s="34"/>
      <c r="F158" s="33" t="s">
        <v>78</v>
      </c>
      <c r="H158" s="33">
        <v>1</v>
      </c>
      <c r="I158" s="33">
        <v>1</v>
      </c>
      <c r="J158" s="20">
        <v>0</v>
      </c>
      <c r="K158" s="22"/>
      <c r="L158" s="22">
        <v>0</v>
      </c>
      <c r="M158" s="2" t="s">
        <v>223</v>
      </c>
    </row>
    <row r="159" s="2" customFormat="1" ht="24" spans="1:12">
      <c r="A159" s="26">
        <v>5</v>
      </c>
      <c r="B159" s="35"/>
      <c r="C159" s="36" t="s">
        <v>128</v>
      </c>
      <c r="D159" s="33" t="s">
        <v>202</v>
      </c>
      <c r="E159" s="34"/>
      <c r="F159" s="33" t="s">
        <v>78</v>
      </c>
      <c r="G159" s="33">
        <v>20.836</v>
      </c>
      <c r="H159" s="33">
        <v>1</v>
      </c>
      <c r="I159" s="33">
        <v>1</v>
      </c>
      <c r="J159" s="20">
        <v>20.836</v>
      </c>
      <c r="K159" s="21">
        <v>54</v>
      </c>
      <c r="L159" s="22">
        <v>1125.144</v>
      </c>
    </row>
    <row r="160" s="2" customFormat="1" ht="24" spans="1:13">
      <c r="A160" s="26">
        <v>6</v>
      </c>
      <c r="B160" s="35"/>
      <c r="C160" s="36" t="s">
        <v>198</v>
      </c>
      <c r="D160" s="33" t="s">
        <v>231</v>
      </c>
      <c r="E160" s="26" t="s">
        <v>200</v>
      </c>
      <c r="F160" s="33" t="s">
        <v>78</v>
      </c>
      <c r="G160" s="37">
        <v>21.58</v>
      </c>
      <c r="H160" s="33">
        <v>1</v>
      </c>
      <c r="I160" s="31">
        <v>1</v>
      </c>
      <c r="J160" s="20">
        <v>21.58</v>
      </c>
      <c r="K160" s="21"/>
      <c r="L160" s="22">
        <v>0</v>
      </c>
      <c r="M160" s="2" t="s">
        <v>228</v>
      </c>
    </row>
    <row r="161" s="2" customFormat="1" spans="1:12">
      <c r="A161" s="26">
        <v>8</v>
      </c>
      <c r="B161" s="35"/>
      <c r="C161" s="36" t="s">
        <v>207</v>
      </c>
      <c r="D161" s="33"/>
      <c r="E161" s="34"/>
      <c r="F161" s="33" t="s">
        <v>84</v>
      </c>
      <c r="G161" s="33">
        <v>19.38</v>
      </c>
      <c r="H161" s="33">
        <v>1</v>
      </c>
      <c r="I161" s="33">
        <v>1</v>
      </c>
      <c r="J161" s="20">
        <v>19.38</v>
      </c>
      <c r="K161" s="21"/>
      <c r="L161" s="22">
        <v>0</v>
      </c>
    </row>
    <row r="162" s="2" customFormat="1" spans="1:12">
      <c r="A162" s="26">
        <v>9</v>
      </c>
      <c r="B162" s="35"/>
      <c r="C162" s="36" t="s">
        <v>133</v>
      </c>
      <c r="D162" s="33"/>
      <c r="E162" s="34"/>
      <c r="F162" s="33" t="s">
        <v>90</v>
      </c>
      <c r="G162" s="33">
        <v>1</v>
      </c>
      <c r="H162" s="33">
        <v>1</v>
      </c>
      <c r="I162" s="33">
        <v>1</v>
      </c>
      <c r="J162" s="20">
        <v>1</v>
      </c>
      <c r="K162" s="21"/>
      <c r="L162" s="22">
        <v>0</v>
      </c>
    </row>
    <row r="163" s="2" customFormat="1" spans="1:12">
      <c r="A163" s="26">
        <v>1</v>
      </c>
      <c r="B163" s="31" t="s">
        <v>232</v>
      </c>
      <c r="C163" s="32" t="s">
        <v>124</v>
      </c>
      <c r="D163" s="33" t="s">
        <v>194</v>
      </c>
      <c r="E163" s="34"/>
      <c r="F163" s="31" t="s">
        <v>78</v>
      </c>
      <c r="G163" s="33">
        <v>22.5</v>
      </c>
      <c r="H163" s="33">
        <v>1</v>
      </c>
      <c r="I163" s="31">
        <v>1</v>
      </c>
      <c r="J163" s="20">
        <v>22.5</v>
      </c>
      <c r="K163" s="22">
        <v>54</v>
      </c>
      <c r="L163" s="22">
        <v>1215</v>
      </c>
    </row>
    <row r="164" s="2" customFormat="1" spans="1:12">
      <c r="A164" s="26">
        <v>2</v>
      </c>
      <c r="B164" s="35"/>
      <c r="C164" s="32" t="s">
        <v>124</v>
      </c>
      <c r="D164" s="33" t="s">
        <v>196</v>
      </c>
      <c r="E164" s="34"/>
      <c r="F164" s="31" t="s">
        <v>78</v>
      </c>
      <c r="G164" s="33">
        <v>8.671</v>
      </c>
      <c r="H164" s="33">
        <v>1</v>
      </c>
      <c r="I164" s="33">
        <v>1</v>
      </c>
      <c r="J164" s="20">
        <v>8.671</v>
      </c>
      <c r="K164" s="22">
        <v>100</v>
      </c>
      <c r="L164" s="22">
        <v>867.1</v>
      </c>
    </row>
    <row r="165" s="2" customFormat="1" ht="24" spans="1:12">
      <c r="A165" s="26">
        <v>3</v>
      </c>
      <c r="B165" s="35"/>
      <c r="C165" s="32" t="s">
        <v>124</v>
      </c>
      <c r="D165" s="33" t="s">
        <v>202</v>
      </c>
      <c r="E165" s="34"/>
      <c r="F165" s="33" t="s">
        <v>78</v>
      </c>
      <c r="G165" s="38">
        <v>10.03</v>
      </c>
      <c r="H165" s="33">
        <v>1</v>
      </c>
      <c r="I165" s="33">
        <v>1</v>
      </c>
      <c r="J165" s="20">
        <v>10.03</v>
      </c>
      <c r="K165" s="22">
        <v>54</v>
      </c>
      <c r="L165" s="22">
        <v>541.62</v>
      </c>
    </row>
    <row r="166" s="2" customFormat="1" ht="24" spans="1:13">
      <c r="A166" s="26">
        <v>4</v>
      </c>
      <c r="B166" s="35"/>
      <c r="C166" s="32" t="s">
        <v>124</v>
      </c>
      <c r="D166" s="33" t="s">
        <v>203</v>
      </c>
      <c r="E166" s="34"/>
      <c r="F166" s="33" t="s">
        <v>78</v>
      </c>
      <c r="G166" s="38"/>
      <c r="H166" s="33">
        <v>1</v>
      </c>
      <c r="I166" s="31">
        <v>1</v>
      </c>
      <c r="J166" s="20">
        <v>0</v>
      </c>
      <c r="K166" s="22"/>
      <c r="L166" s="22">
        <v>0</v>
      </c>
      <c r="M166" s="2" t="s">
        <v>223</v>
      </c>
    </row>
    <row r="167" s="2" customFormat="1" ht="24" spans="1:12">
      <c r="A167" s="26">
        <v>5</v>
      </c>
      <c r="B167" s="35"/>
      <c r="C167" s="41" t="s">
        <v>128</v>
      </c>
      <c r="D167" s="33" t="s">
        <v>202</v>
      </c>
      <c r="E167" s="34"/>
      <c r="F167" s="33" t="s">
        <v>78</v>
      </c>
      <c r="G167" s="38">
        <v>19.051</v>
      </c>
      <c r="H167" s="33">
        <v>1</v>
      </c>
      <c r="I167" s="33">
        <v>1</v>
      </c>
      <c r="J167" s="20">
        <v>19.051</v>
      </c>
      <c r="K167" s="22">
        <v>54</v>
      </c>
      <c r="L167" s="22">
        <v>1028.754</v>
      </c>
    </row>
    <row r="168" s="2" customFormat="1" spans="1:13">
      <c r="A168" s="26">
        <v>6</v>
      </c>
      <c r="B168" s="35"/>
      <c r="C168" s="36" t="s">
        <v>198</v>
      </c>
      <c r="D168" s="33" t="s">
        <v>199</v>
      </c>
      <c r="E168" s="34"/>
      <c r="F168" s="33" t="s">
        <v>78</v>
      </c>
      <c r="G168" s="37"/>
      <c r="H168" s="33">
        <v>1</v>
      </c>
      <c r="I168" s="33">
        <v>1</v>
      </c>
      <c r="J168" s="20">
        <v>0</v>
      </c>
      <c r="K168" s="21"/>
      <c r="L168" s="22">
        <v>0</v>
      </c>
      <c r="M168" s="2" t="s">
        <v>228</v>
      </c>
    </row>
    <row r="169" s="2" customFormat="1" spans="1:12">
      <c r="A169" s="26">
        <v>8</v>
      </c>
      <c r="B169" s="35"/>
      <c r="C169" s="36" t="s">
        <v>207</v>
      </c>
      <c r="D169" s="33"/>
      <c r="E169" s="34"/>
      <c r="F169" s="33" t="s">
        <v>84</v>
      </c>
      <c r="G169" s="38">
        <v>9.05</v>
      </c>
      <c r="H169" s="33">
        <v>1</v>
      </c>
      <c r="I169" s="31">
        <v>1</v>
      </c>
      <c r="J169" s="20">
        <v>9.05</v>
      </c>
      <c r="K169" s="21"/>
      <c r="L169" s="22">
        <v>0</v>
      </c>
    </row>
    <row r="170" s="2" customFormat="1" spans="1:12">
      <c r="A170" s="28">
        <v>9</v>
      </c>
      <c r="B170" s="35"/>
      <c r="C170" s="39" t="s">
        <v>133</v>
      </c>
      <c r="D170" s="31"/>
      <c r="E170" s="40"/>
      <c r="F170" s="31" t="s">
        <v>90</v>
      </c>
      <c r="G170" s="31">
        <v>1</v>
      </c>
      <c r="H170" s="31">
        <v>1</v>
      </c>
      <c r="I170" s="33">
        <v>1</v>
      </c>
      <c r="J170" s="20">
        <v>1</v>
      </c>
      <c r="K170" s="21"/>
      <c r="L170" s="22">
        <v>0</v>
      </c>
    </row>
    <row r="171" s="2" customFormat="1" spans="1:12">
      <c r="A171" s="26"/>
      <c r="B171" s="31" t="s">
        <v>233</v>
      </c>
      <c r="C171" s="32" t="s">
        <v>124</v>
      </c>
      <c r="D171" s="33" t="s">
        <v>194</v>
      </c>
      <c r="E171" s="34"/>
      <c r="F171" s="33" t="s">
        <v>78</v>
      </c>
      <c r="G171" s="33">
        <v>6.65</v>
      </c>
      <c r="H171" s="33">
        <v>1</v>
      </c>
      <c r="I171" s="33">
        <v>1</v>
      </c>
      <c r="J171" s="20">
        <v>6.65</v>
      </c>
      <c r="K171" s="22">
        <v>54</v>
      </c>
      <c r="L171" s="22">
        <v>359.1</v>
      </c>
    </row>
    <row r="172" s="2" customFormat="1" spans="1:12">
      <c r="A172" s="26"/>
      <c r="B172" s="35"/>
      <c r="C172" s="32" t="s">
        <v>124</v>
      </c>
      <c r="D172" s="33" t="s">
        <v>196</v>
      </c>
      <c r="E172" s="34"/>
      <c r="F172" s="33" t="s">
        <v>78</v>
      </c>
      <c r="G172" s="33">
        <v>5.616</v>
      </c>
      <c r="H172" s="33">
        <v>1</v>
      </c>
      <c r="I172" s="33">
        <v>1</v>
      </c>
      <c r="J172" s="20">
        <v>5.616</v>
      </c>
      <c r="K172" s="22">
        <v>100</v>
      </c>
      <c r="L172" s="22">
        <v>561.6</v>
      </c>
    </row>
    <row r="173" s="2" customFormat="1" ht="24" spans="1:12">
      <c r="A173" s="26"/>
      <c r="B173" s="35"/>
      <c r="C173" s="32" t="s">
        <v>124</v>
      </c>
      <c r="D173" s="33" t="s">
        <v>202</v>
      </c>
      <c r="E173" s="34"/>
      <c r="F173" s="33" t="s">
        <v>78</v>
      </c>
      <c r="G173" s="33">
        <v>31.7</v>
      </c>
      <c r="H173" s="33">
        <v>1</v>
      </c>
      <c r="I173" s="31">
        <v>1</v>
      </c>
      <c r="J173" s="20">
        <v>31.7</v>
      </c>
      <c r="K173" s="22">
        <v>54</v>
      </c>
      <c r="L173" s="22">
        <v>1711.8</v>
      </c>
    </row>
    <row r="174" s="2" customFormat="1" ht="24" spans="1:13">
      <c r="A174" s="26"/>
      <c r="B174" s="35"/>
      <c r="C174" s="32" t="s">
        <v>124</v>
      </c>
      <c r="D174" s="33" t="s">
        <v>203</v>
      </c>
      <c r="E174" s="34"/>
      <c r="F174" s="33" t="s">
        <v>78</v>
      </c>
      <c r="H174" s="33">
        <v>1</v>
      </c>
      <c r="I174" s="33">
        <v>1</v>
      </c>
      <c r="J174" s="20">
        <v>0</v>
      </c>
      <c r="K174" s="22"/>
      <c r="L174" s="22">
        <v>0</v>
      </c>
      <c r="M174" s="2" t="s">
        <v>223</v>
      </c>
    </row>
    <row r="175" s="2" customFormat="1" ht="24" spans="1:12">
      <c r="A175" s="26"/>
      <c r="B175" s="35"/>
      <c r="C175" s="36" t="s">
        <v>128</v>
      </c>
      <c r="D175" s="33" t="s">
        <v>202</v>
      </c>
      <c r="E175" s="34"/>
      <c r="F175" s="33" t="s">
        <v>78</v>
      </c>
      <c r="G175" s="33">
        <v>13.764</v>
      </c>
      <c r="H175" s="33">
        <v>1</v>
      </c>
      <c r="I175" s="33">
        <v>1</v>
      </c>
      <c r="J175" s="20">
        <v>13.764</v>
      </c>
      <c r="K175" s="22">
        <v>54</v>
      </c>
      <c r="L175" s="22">
        <v>743.256</v>
      </c>
    </row>
    <row r="176" s="2" customFormat="1" ht="24" spans="1:13">
      <c r="A176" s="26"/>
      <c r="B176" s="35"/>
      <c r="C176" s="36" t="s">
        <v>198</v>
      </c>
      <c r="D176" s="33" t="s">
        <v>231</v>
      </c>
      <c r="E176" s="26" t="s">
        <v>200</v>
      </c>
      <c r="F176" s="33" t="s">
        <v>78</v>
      </c>
      <c r="G176" s="37"/>
      <c r="H176" s="33">
        <v>1</v>
      </c>
      <c r="I176" s="31">
        <v>1</v>
      </c>
      <c r="J176" s="20">
        <v>0</v>
      </c>
      <c r="K176" s="21"/>
      <c r="L176" s="22">
        <v>0</v>
      </c>
      <c r="M176" s="2" t="s">
        <v>228</v>
      </c>
    </row>
    <row r="177" s="2" customFormat="1" spans="1:12">
      <c r="A177" s="26"/>
      <c r="B177" s="35"/>
      <c r="C177" s="36" t="s">
        <v>207</v>
      </c>
      <c r="D177" s="33"/>
      <c r="E177" s="34"/>
      <c r="F177" s="33" t="s">
        <v>84</v>
      </c>
      <c r="G177" s="33">
        <v>43.418</v>
      </c>
      <c r="H177" s="33">
        <v>1</v>
      </c>
      <c r="I177" s="33">
        <v>1</v>
      </c>
      <c r="J177" s="20">
        <v>43.418</v>
      </c>
      <c r="K177" s="21"/>
      <c r="L177" s="22">
        <v>0</v>
      </c>
    </row>
    <row r="178" s="2" customFormat="1" spans="1:12">
      <c r="A178" s="26"/>
      <c r="B178" s="35"/>
      <c r="C178" s="36" t="s">
        <v>133</v>
      </c>
      <c r="D178" s="33"/>
      <c r="E178" s="34"/>
      <c r="F178" s="33" t="s">
        <v>90</v>
      </c>
      <c r="G178" s="33">
        <v>1</v>
      </c>
      <c r="H178" s="33">
        <v>1</v>
      </c>
      <c r="I178" s="33">
        <v>1</v>
      </c>
      <c r="J178" s="20">
        <v>1</v>
      </c>
      <c r="K178" s="21"/>
      <c r="L178" s="22">
        <v>0</v>
      </c>
    </row>
    <row r="179" s="2" customFormat="1" spans="1:12">
      <c r="A179" s="26"/>
      <c r="B179" s="31" t="s">
        <v>234</v>
      </c>
      <c r="C179" s="32" t="s">
        <v>124</v>
      </c>
      <c r="D179" s="33" t="s">
        <v>194</v>
      </c>
      <c r="E179" s="34"/>
      <c r="F179" s="31" t="s">
        <v>78</v>
      </c>
      <c r="G179" s="33">
        <v>23.5</v>
      </c>
      <c r="H179" s="33">
        <v>1</v>
      </c>
      <c r="I179" s="31">
        <v>1</v>
      </c>
      <c r="J179" s="20">
        <v>23.5</v>
      </c>
      <c r="K179" s="22">
        <v>54</v>
      </c>
      <c r="L179" s="22">
        <v>1269</v>
      </c>
    </row>
    <row r="180" s="2" customFormat="1" spans="1:12">
      <c r="A180" s="26"/>
      <c r="B180" s="35"/>
      <c r="C180" s="32" t="s">
        <v>124</v>
      </c>
      <c r="D180" s="33" t="s">
        <v>196</v>
      </c>
      <c r="E180" s="34"/>
      <c r="F180" s="31" t="s">
        <v>78</v>
      </c>
      <c r="G180" s="33">
        <v>9.048</v>
      </c>
      <c r="H180" s="33">
        <v>1</v>
      </c>
      <c r="I180" s="33">
        <v>1</v>
      </c>
      <c r="J180" s="20">
        <v>9.048</v>
      </c>
      <c r="K180" s="22">
        <v>100</v>
      </c>
      <c r="L180" s="22">
        <v>904.8</v>
      </c>
    </row>
    <row r="181" s="2" customFormat="1" ht="24" spans="1:12">
      <c r="A181" s="26"/>
      <c r="B181" s="35"/>
      <c r="C181" s="32" t="s">
        <v>124</v>
      </c>
      <c r="D181" s="33" t="s">
        <v>202</v>
      </c>
      <c r="E181" s="34"/>
      <c r="F181" s="33" t="s">
        <v>78</v>
      </c>
      <c r="G181" s="38">
        <v>38.65</v>
      </c>
      <c r="H181" s="33">
        <v>1</v>
      </c>
      <c r="I181" s="33">
        <v>1</v>
      </c>
      <c r="J181" s="20">
        <v>38.65</v>
      </c>
      <c r="K181" s="22">
        <v>54</v>
      </c>
      <c r="L181" s="22">
        <v>2087.1</v>
      </c>
    </row>
    <row r="182" s="2" customFormat="1" ht="24" spans="1:13">
      <c r="A182" s="26"/>
      <c r="B182" s="35"/>
      <c r="C182" s="32" t="s">
        <v>124</v>
      </c>
      <c r="D182" s="33" t="s">
        <v>203</v>
      </c>
      <c r="E182" s="34"/>
      <c r="F182" s="33" t="s">
        <v>78</v>
      </c>
      <c r="G182" s="38"/>
      <c r="H182" s="33">
        <v>1</v>
      </c>
      <c r="I182" s="31">
        <v>1</v>
      </c>
      <c r="J182" s="20">
        <v>0</v>
      </c>
      <c r="K182" s="22"/>
      <c r="L182" s="22">
        <v>0</v>
      </c>
      <c r="M182" s="2" t="s">
        <v>223</v>
      </c>
    </row>
    <row r="183" s="1" customFormat="1" ht="24" spans="1:13">
      <c r="A183" s="5"/>
      <c r="B183" s="35"/>
      <c r="C183" s="41" t="s">
        <v>128</v>
      </c>
      <c r="D183" s="33" t="s">
        <v>202</v>
      </c>
      <c r="E183" s="34"/>
      <c r="F183" s="33" t="s">
        <v>78</v>
      </c>
      <c r="G183" s="38">
        <v>67.42</v>
      </c>
      <c r="H183" s="33">
        <v>1</v>
      </c>
      <c r="I183" s="33">
        <v>1</v>
      </c>
      <c r="J183" s="20">
        <v>67.42</v>
      </c>
      <c r="K183" s="22">
        <v>54</v>
      </c>
      <c r="L183" s="22">
        <v>3640.68</v>
      </c>
      <c r="M183" s="2"/>
    </row>
    <row r="184" s="2" customFormat="1" spans="1:13">
      <c r="A184" s="26"/>
      <c r="B184" s="35"/>
      <c r="C184" s="36" t="s">
        <v>198</v>
      </c>
      <c r="D184" s="33" t="s">
        <v>199</v>
      </c>
      <c r="E184" s="34"/>
      <c r="F184" s="33" t="s">
        <v>78</v>
      </c>
      <c r="G184" s="37"/>
      <c r="H184" s="33">
        <v>1</v>
      </c>
      <c r="I184" s="33">
        <v>1</v>
      </c>
      <c r="J184" s="20">
        <v>0</v>
      </c>
      <c r="K184" s="21"/>
      <c r="L184" s="21">
        <v>0</v>
      </c>
      <c r="M184" s="2" t="s">
        <v>228</v>
      </c>
    </row>
    <row r="185" s="2" customFormat="1" spans="1:12">
      <c r="A185" s="26"/>
      <c r="B185" s="35"/>
      <c r="C185" s="36" t="s">
        <v>207</v>
      </c>
      <c r="D185" s="33"/>
      <c r="E185" s="34"/>
      <c r="F185" s="33" t="s">
        <v>84</v>
      </c>
      <c r="G185" s="38">
        <v>36.1</v>
      </c>
      <c r="H185" s="33">
        <v>1</v>
      </c>
      <c r="I185" s="31">
        <v>1</v>
      </c>
      <c r="J185" s="20">
        <v>36.1</v>
      </c>
      <c r="K185" s="21"/>
      <c r="L185" s="21">
        <v>0</v>
      </c>
    </row>
    <row r="186" s="2" customFormat="1" spans="1:12">
      <c r="A186" s="26"/>
      <c r="B186" s="35"/>
      <c r="C186" s="39" t="s">
        <v>133</v>
      </c>
      <c r="D186" s="31"/>
      <c r="E186" s="40"/>
      <c r="F186" s="31" t="s">
        <v>90</v>
      </c>
      <c r="G186" s="31">
        <v>2</v>
      </c>
      <c r="H186" s="31">
        <v>1</v>
      </c>
      <c r="I186" s="33">
        <v>1</v>
      </c>
      <c r="J186" s="20">
        <v>2</v>
      </c>
      <c r="K186" s="21"/>
      <c r="L186" s="21">
        <v>0</v>
      </c>
    </row>
    <row r="187" s="2" customFormat="1" spans="1:12">
      <c r="A187" s="26"/>
      <c r="B187" s="31" t="s">
        <v>235</v>
      </c>
      <c r="C187" s="32" t="s">
        <v>124</v>
      </c>
      <c r="D187" s="33" t="s">
        <v>194</v>
      </c>
      <c r="E187" s="34"/>
      <c r="F187" s="33" t="s">
        <v>78</v>
      </c>
      <c r="G187" s="33">
        <v>13.6</v>
      </c>
      <c r="H187" s="33">
        <v>1</v>
      </c>
      <c r="I187" s="33">
        <v>1</v>
      </c>
      <c r="J187" s="20">
        <v>13.6</v>
      </c>
      <c r="K187" s="21"/>
      <c r="L187" s="21">
        <v>0</v>
      </c>
    </row>
    <row r="188" s="2" customFormat="1" spans="1:12">
      <c r="A188" s="26"/>
      <c r="B188" s="35"/>
      <c r="C188" s="32" t="s">
        <v>124</v>
      </c>
      <c r="D188" s="33" t="s">
        <v>196</v>
      </c>
      <c r="E188" s="34"/>
      <c r="F188" s="33" t="s">
        <v>78</v>
      </c>
      <c r="G188" s="33">
        <v>7.8</v>
      </c>
      <c r="H188" s="33">
        <v>1</v>
      </c>
      <c r="I188" s="33">
        <v>1</v>
      </c>
      <c r="J188" s="20">
        <v>7.8</v>
      </c>
      <c r="K188" s="21"/>
      <c r="L188" s="21">
        <v>0</v>
      </c>
    </row>
    <row r="189" s="2" customFormat="1" ht="24" spans="1:12">
      <c r="A189" s="26"/>
      <c r="B189" s="35"/>
      <c r="C189" s="32" t="s">
        <v>124</v>
      </c>
      <c r="D189" s="33" t="s">
        <v>202</v>
      </c>
      <c r="E189" s="34"/>
      <c r="F189" s="33" t="s">
        <v>78</v>
      </c>
      <c r="G189" s="33">
        <v>19.45</v>
      </c>
      <c r="H189" s="33">
        <v>1</v>
      </c>
      <c r="I189" s="31">
        <v>1</v>
      </c>
      <c r="J189" s="20">
        <v>19.45</v>
      </c>
      <c r="K189" s="21"/>
      <c r="L189" s="21">
        <v>0</v>
      </c>
    </row>
    <row r="190" s="2" customFormat="1" ht="24" spans="1:13">
      <c r="A190" s="26"/>
      <c r="B190" s="35"/>
      <c r="C190" s="32" t="s">
        <v>124</v>
      </c>
      <c r="D190" s="33" t="s">
        <v>203</v>
      </c>
      <c r="E190" s="34"/>
      <c r="F190" s="33" t="s">
        <v>78</v>
      </c>
      <c r="H190" s="33">
        <v>1</v>
      </c>
      <c r="I190" s="33">
        <v>1</v>
      </c>
      <c r="J190" s="20">
        <v>0</v>
      </c>
      <c r="K190" s="21"/>
      <c r="L190" s="21">
        <v>0</v>
      </c>
      <c r="M190" s="2" t="s">
        <v>223</v>
      </c>
    </row>
    <row r="191" s="2" customFormat="1" ht="24" spans="1:12">
      <c r="A191" s="26"/>
      <c r="B191" s="35"/>
      <c r="C191" s="36" t="s">
        <v>128</v>
      </c>
      <c r="D191" s="33" t="s">
        <v>202</v>
      </c>
      <c r="E191" s="34"/>
      <c r="F191" s="33" t="s">
        <v>78</v>
      </c>
      <c r="G191" s="33">
        <v>14.578</v>
      </c>
      <c r="H191" s="33">
        <v>1</v>
      </c>
      <c r="I191" s="33">
        <v>1</v>
      </c>
      <c r="J191" s="20">
        <v>14.578</v>
      </c>
      <c r="K191" s="21"/>
      <c r="L191" s="21">
        <v>0</v>
      </c>
    </row>
    <row r="192" s="2" customFormat="1" ht="24" spans="1:13">
      <c r="A192" s="26"/>
      <c r="B192" s="35"/>
      <c r="C192" s="36" t="s">
        <v>198</v>
      </c>
      <c r="D192" s="33" t="s">
        <v>231</v>
      </c>
      <c r="E192" s="26" t="s">
        <v>200</v>
      </c>
      <c r="F192" s="33" t="s">
        <v>78</v>
      </c>
      <c r="G192" s="37"/>
      <c r="H192" s="33">
        <v>1</v>
      </c>
      <c r="I192" s="31">
        <v>1</v>
      </c>
      <c r="J192" s="20">
        <v>0</v>
      </c>
      <c r="K192" s="21"/>
      <c r="L192" s="21">
        <v>0</v>
      </c>
      <c r="M192" s="2" t="s">
        <v>228</v>
      </c>
    </row>
    <row r="193" s="2" customFormat="1" spans="1:12">
      <c r="A193" s="26"/>
      <c r="B193" s="35"/>
      <c r="C193" s="36" t="s">
        <v>207</v>
      </c>
      <c r="D193" s="33"/>
      <c r="E193" s="34"/>
      <c r="F193" s="33" t="s">
        <v>84</v>
      </c>
      <c r="G193" s="33">
        <v>13.7</v>
      </c>
      <c r="H193" s="33">
        <v>1</v>
      </c>
      <c r="I193" s="33">
        <v>1</v>
      </c>
      <c r="J193" s="20">
        <v>13.7</v>
      </c>
      <c r="K193" s="21"/>
      <c r="L193" s="21">
        <v>0</v>
      </c>
    </row>
    <row r="194" s="2" customFormat="1" spans="1:12">
      <c r="A194" s="26"/>
      <c r="B194" s="35"/>
      <c r="C194" s="36" t="s">
        <v>133</v>
      </c>
      <c r="D194" s="33"/>
      <c r="E194" s="34"/>
      <c r="F194" s="33" t="s">
        <v>90</v>
      </c>
      <c r="G194" s="33">
        <v>1</v>
      </c>
      <c r="H194" s="33">
        <v>1</v>
      </c>
      <c r="I194" s="33">
        <v>1</v>
      </c>
      <c r="J194" s="20">
        <v>1</v>
      </c>
      <c r="K194" s="21"/>
      <c r="L194" s="21">
        <v>0</v>
      </c>
    </row>
    <row r="195" s="2" customFormat="1" spans="1:12">
      <c r="A195" s="26"/>
      <c r="B195" s="33" t="s">
        <v>236</v>
      </c>
      <c r="C195" s="32" t="s">
        <v>124</v>
      </c>
      <c r="D195" s="33" t="s">
        <v>194</v>
      </c>
      <c r="E195" s="34"/>
      <c r="F195" s="33" t="s">
        <v>78</v>
      </c>
      <c r="G195" s="33">
        <v>9.536</v>
      </c>
      <c r="H195" s="33">
        <v>1</v>
      </c>
      <c r="I195" s="33">
        <v>1</v>
      </c>
      <c r="J195" s="20">
        <v>9.536</v>
      </c>
      <c r="K195" s="21"/>
      <c r="L195" s="21">
        <v>0</v>
      </c>
    </row>
    <row r="196" s="2" customFormat="1" spans="1:12">
      <c r="A196" s="26"/>
      <c r="B196" s="33"/>
      <c r="C196" s="32" t="s">
        <v>124</v>
      </c>
      <c r="D196" s="33" t="s">
        <v>196</v>
      </c>
      <c r="E196" s="34"/>
      <c r="F196" s="33" t="s">
        <v>78</v>
      </c>
      <c r="G196" s="33">
        <v>8.232</v>
      </c>
      <c r="H196" s="33">
        <v>1</v>
      </c>
      <c r="I196" s="33">
        <v>1</v>
      </c>
      <c r="J196" s="20">
        <v>8.232</v>
      </c>
      <c r="K196" s="21"/>
      <c r="L196" s="21">
        <v>0</v>
      </c>
    </row>
    <row r="197" s="2" customFormat="1" ht="16" customHeight="1" spans="1:12">
      <c r="A197" s="26"/>
      <c r="B197" s="33"/>
      <c r="C197" s="32" t="s">
        <v>124</v>
      </c>
      <c r="D197" s="33" t="s">
        <v>202</v>
      </c>
      <c r="E197" s="34"/>
      <c r="F197" s="33" t="s">
        <v>78</v>
      </c>
      <c r="G197" s="33">
        <v>22.53</v>
      </c>
      <c r="H197" s="33">
        <v>1</v>
      </c>
      <c r="I197" s="31">
        <v>1</v>
      </c>
      <c r="J197" s="20">
        <v>22.53</v>
      </c>
      <c r="K197" s="21"/>
      <c r="L197" s="21">
        <v>0</v>
      </c>
    </row>
    <row r="198" s="1" customFormat="1" ht="24" spans="1:13">
      <c r="A198" s="26"/>
      <c r="B198" s="33"/>
      <c r="C198" s="32" t="s">
        <v>124</v>
      </c>
      <c r="D198" s="33" t="s">
        <v>203</v>
      </c>
      <c r="E198" s="34"/>
      <c r="F198" s="33" t="s">
        <v>78</v>
      </c>
      <c r="G198" s="2"/>
      <c r="H198" s="33">
        <v>1</v>
      </c>
      <c r="I198" s="33">
        <v>1</v>
      </c>
      <c r="J198" s="20">
        <v>0</v>
      </c>
      <c r="K198" s="21"/>
      <c r="L198" s="21">
        <v>0</v>
      </c>
      <c r="M198" s="2" t="s">
        <v>223</v>
      </c>
    </row>
    <row r="199" s="1" customFormat="1" ht="24" spans="1:13">
      <c r="A199" s="26"/>
      <c r="B199" s="33"/>
      <c r="C199" s="36" t="s">
        <v>128</v>
      </c>
      <c r="D199" s="33" t="s">
        <v>202</v>
      </c>
      <c r="E199" s="34"/>
      <c r="F199" s="33" t="s">
        <v>78</v>
      </c>
      <c r="G199" s="33">
        <v>21.404</v>
      </c>
      <c r="H199" s="33">
        <v>1</v>
      </c>
      <c r="I199" s="33">
        <v>1</v>
      </c>
      <c r="J199" s="20">
        <v>21.404</v>
      </c>
      <c r="K199" s="21"/>
      <c r="L199" s="21">
        <v>0</v>
      </c>
      <c r="M199" s="2"/>
    </row>
    <row r="200" s="1" customFormat="1" ht="24" spans="1:13">
      <c r="A200" s="26"/>
      <c r="B200" s="33"/>
      <c r="C200" s="36" t="s">
        <v>198</v>
      </c>
      <c r="D200" s="33" t="s">
        <v>231</v>
      </c>
      <c r="E200" s="26" t="s">
        <v>200</v>
      </c>
      <c r="F200" s="33" t="s">
        <v>78</v>
      </c>
      <c r="G200" s="37"/>
      <c r="H200" s="33">
        <v>1</v>
      </c>
      <c r="I200" s="31">
        <v>1</v>
      </c>
      <c r="J200" s="20">
        <v>0</v>
      </c>
      <c r="K200" s="21"/>
      <c r="L200" s="21">
        <v>0</v>
      </c>
      <c r="M200" s="2" t="s">
        <v>228</v>
      </c>
    </row>
    <row r="201" s="1" customFormat="1" spans="1:13">
      <c r="A201" s="26"/>
      <c r="B201" s="33"/>
      <c r="C201" s="36" t="s">
        <v>207</v>
      </c>
      <c r="D201" s="33"/>
      <c r="E201" s="34"/>
      <c r="F201" s="33" t="s">
        <v>84</v>
      </c>
      <c r="G201" s="33">
        <v>15</v>
      </c>
      <c r="H201" s="33">
        <v>1</v>
      </c>
      <c r="I201" s="33">
        <v>1</v>
      </c>
      <c r="J201" s="20">
        <v>15</v>
      </c>
      <c r="K201" s="21"/>
      <c r="L201" s="21">
        <v>0</v>
      </c>
      <c r="M201" s="2"/>
    </row>
    <row r="202" s="1" customFormat="1" spans="1:13">
      <c r="A202" s="26"/>
      <c r="B202" s="33"/>
      <c r="C202" s="36" t="s">
        <v>133</v>
      </c>
      <c r="D202" s="33"/>
      <c r="E202" s="34"/>
      <c r="F202" s="33" t="s">
        <v>90</v>
      </c>
      <c r="G202" s="33">
        <v>1</v>
      </c>
      <c r="H202" s="33">
        <v>1</v>
      </c>
      <c r="I202" s="33">
        <v>1</v>
      </c>
      <c r="J202" s="20">
        <v>1</v>
      </c>
      <c r="K202" s="21"/>
      <c r="L202" s="21">
        <v>0</v>
      </c>
      <c r="M202" s="2"/>
    </row>
    <row r="203" s="1" customFormat="1" spans="1:13">
      <c r="A203" s="26"/>
      <c r="B203" s="33" t="s">
        <v>237</v>
      </c>
      <c r="C203" s="32" t="s">
        <v>124</v>
      </c>
      <c r="D203" s="33" t="s">
        <v>194</v>
      </c>
      <c r="E203" s="34"/>
      <c r="F203" s="33" t="s">
        <v>78</v>
      </c>
      <c r="G203" s="33">
        <v>9.536</v>
      </c>
      <c r="H203" s="33">
        <v>1</v>
      </c>
      <c r="I203" s="33">
        <v>2</v>
      </c>
      <c r="J203" s="20">
        <v>19.072</v>
      </c>
      <c r="K203" s="21"/>
      <c r="L203" s="21">
        <v>0</v>
      </c>
      <c r="M203" s="2"/>
    </row>
    <row r="204" s="1" customFormat="1" spans="1:13">
      <c r="A204" s="26"/>
      <c r="B204" s="33"/>
      <c r="C204" s="32" t="s">
        <v>124</v>
      </c>
      <c r="D204" s="33" t="s">
        <v>196</v>
      </c>
      <c r="E204" s="34"/>
      <c r="F204" s="33" t="s">
        <v>78</v>
      </c>
      <c r="G204" s="33">
        <v>8.232</v>
      </c>
      <c r="H204" s="33">
        <v>1</v>
      </c>
      <c r="I204" s="33">
        <v>2</v>
      </c>
      <c r="J204" s="20">
        <v>16.464</v>
      </c>
      <c r="K204" s="21"/>
      <c r="L204" s="21">
        <v>0</v>
      </c>
      <c r="M204" s="2"/>
    </row>
    <row r="205" s="1" customFormat="1" ht="24" spans="1:13">
      <c r="A205" s="26"/>
      <c r="B205" s="33"/>
      <c r="C205" s="32" t="s">
        <v>124</v>
      </c>
      <c r="D205" s="33" t="s">
        <v>202</v>
      </c>
      <c r="E205" s="34"/>
      <c r="F205" s="33" t="s">
        <v>78</v>
      </c>
      <c r="G205" s="33">
        <v>22.53</v>
      </c>
      <c r="H205" s="33">
        <v>1</v>
      </c>
      <c r="I205" s="31">
        <v>2</v>
      </c>
      <c r="J205" s="20">
        <v>45.06</v>
      </c>
      <c r="K205" s="21"/>
      <c r="L205" s="21">
        <v>0</v>
      </c>
      <c r="M205" s="2"/>
    </row>
    <row r="206" s="1" customFormat="1" ht="24" spans="1:13">
      <c r="A206" s="26"/>
      <c r="B206" s="33"/>
      <c r="C206" s="32" t="s">
        <v>124</v>
      </c>
      <c r="D206" s="33" t="s">
        <v>203</v>
      </c>
      <c r="E206" s="34"/>
      <c r="F206" s="33" t="s">
        <v>78</v>
      </c>
      <c r="G206" s="2"/>
      <c r="H206" s="33">
        <v>1</v>
      </c>
      <c r="I206" s="33">
        <v>2</v>
      </c>
      <c r="J206" s="20">
        <v>0</v>
      </c>
      <c r="K206" s="21"/>
      <c r="L206" s="21">
        <v>0</v>
      </c>
      <c r="M206" s="2" t="s">
        <v>223</v>
      </c>
    </row>
    <row r="207" s="1" customFormat="1" ht="24" spans="1:13">
      <c r="A207" s="26"/>
      <c r="B207" s="33"/>
      <c r="C207" s="36" t="s">
        <v>128</v>
      </c>
      <c r="D207" s="33" t="s">
        <v>202</v>
      </c>
      <c r="E207" s="34"/>
      <c r="F207" s="33" t="s">
        <v>78</v>
      </c>
      <c r="G207" s="33">
        <v>21.404</v>
      </c>
      <c r="H207" s="33">
        <v>1</v>
      </c>
      <c r="I207" s="33">
        <v>2</v>
      </c>
      <c r="J207" s="20">
        <v>42.808</v>
      </c>
      <c r="K207" s="21"/>
      <c r="L207" s="21">
        <v>0</v>
      </c>
      <c r="M207" s="2"/>
    </row>
    <row r="208" s="1" customFormat="1" ht="24" spans="1:13">
      <c r="A208" s="26"/>
      <c r="B208" s="33"/>
      <c r="C208" s="36" t="s">
        <v>198</v>
      </c>
      <c r="D208" s="33" t="s">
        <v>231</v>
      </c>
      <c r="E208" s="26" t="s">
        <v>200</v>
      </c>
      <c r="F208" s="33" t="s">
        <v>78</v>
      </c>
      <c r="G208" s="37"/>
      <c r="H208" s="33">
        <v>1</v>
      </c>
      <c r="I208" s="31">
        <v>2</v>
      </c>
      <c r="J208" s="20">
        <v>0</v>
      </c>
      <c r="K208" s="21"/>
      <c r="L208" s="21">
        <v>0</v>
      </c>
      <c r="M208" s="2" t="s">
        <v>228</v>
      </c>
    </row>
    <row r="209" s="1" customFormat="1" spans="1:13">
      <c r="A209" s="26"/>
      <c r="B209" s="33"/>
      <c r="C209" s="36" t="s">
        <v>207</v>
      </c>
      <c r="D209" s="33"/>
      <c r="E209" s="34"/>
      <c r="F209" s="33" t="s">
        <v>84</v>
      </c>
      <c r="G209" s="33">
        <v>15</v>
      </c>
      <c r="H209" s="33">
        <v>1</v>
      </c>
      <c r="I209" s="33">
        <v>2</v>
      </c>
      <c r="J209" s="20">
        <v>30</v>
      </c>
      <c r="K209" s="21"/>
      <c r="L209" s="21">
        <v>0</v>
      </c>
      <c r="M209" s="2"/>
    </row>
    <row r="210" s="1" customFormat="1" spans="1:13">
      <c r="A210" s="26"/>
      <c r="B210" s="33"/>
      <c r="C210" s="36" t="s">
        <v>133</v>
      </c>
      <c r="D210" s="33"/>
      <c r="E210" s="34"/>
      <c r="F210" s="33" t="s">
        <v>90</v>
      </c>
      <c r="G210" s="33">
        <v>1</v>
      </c>
      <c r="H210" s="33">
        <v>1</v>
      </c>
      <c r="I210" s="33">
        <v>2</v>
      </c>
      <c r="J210" s="20">
        <v>2</v>
      </c>
      <c r="K210" s="21"/>
      <c r="L210" s="21">
        <v>0</v>
      </c>
      <c r="M210" s="2"/>
    </row>
    <row r="211" s="1" customFormat="1" spans="1:13">
      <c r="A211" s="5"/>
      <c r="B211" s="33" t="s">
        <v>238</v>
      </c>
      <c r="C211" s="32" t="s">
        <v>124</v>
      </c>
      <c r="D211" s="33" t="s">
        <v>194</v>
      </c>
      <c r="E211" s="34"/>
      <c r="F211" s="33" t="s">
        <v>78</v>
      </c>
      <c r="G211" s="33">
        <v>9.536</v>
      </c>
      <c r="H211" s="33">
        <v>1</v>
      </c>
      <c r="I211" s="33">
        <v>2</v>
      </c>
      <c r="J211" s="20">
        <v>19.072</v>
      </c>
      <c r="K211" s="21"/>
      <c r="L211" s="21">
        <v>0</v>
      </c>
      <c r="M211" s="2"/>
    </row>
    <row r="212" s="1" customFormat="1" spans="1:13">
      <c r="A212" s="5"/>
      <c r="B212" s="33"/>
      <c r="C212" s="32" t="s">
        <v>124</v>
      </c>
      <c r="D212" s="33" t="s">
        <v>196</v>
      </c>
      <c r="E212" s="34"/>
      <c r="F212" s="33" t="s">
        <v>78</v>
      </c>
      <c r="G212" s="33">
        <v>8.232</v>
      </c>
      <c r="H212" s="33">
        <v>1</v>
      </c>
      <c r="I212" s="33">
        <v>2</v>
      </c>
      <c r="J212" s="20">
        <v>16.464</v>
      </c>
      <c r="K212" s="21"/>
      <c r="L212" s="21">
        <v>0</v>
      </c>
      <c r="M212" s="2"/>
    </row>
    <row r="213" s="1" customFormat="1" ht="24" spans="1:13">
      <c r="A213" s="5"/>
      <c r="B213" s="33"/>
      <c r="C213" s="32" t="s">
        <v>124</v>
      </c>
      <c r="D213" s="33" t="s">
        <v>202</v>
      </c>
      <c r="E213" s="34"/>
      <c r="F213" s="33" t="s">
        <v>78</v>
      </c>
      <c r="G213" s="33">
        <v>22.53</v>
      </c>
      <c r="H213" s="33">
        <v>1</v>
      </c>
      <c r="I213" s="31">
        <v>2</v>
      </c>
      <c r="J213" s="20">
        <v>45.06</v>
      </c>
      <c r="K213" s="21"/>
      <c r="L213" s="21">
        <v>0</v>
      </c>
      <c r="M213" s="2"/>
    </row>
    <row r="214" s="1" customFormat="1" ht="24" spans="1:13">
      <c r="A214" s="5"/>
      <c r="B214" s="33"/>
      <c r="C214" s="32" t="s">
        <v>124</v>
      </c>
      <c r="D214" s="33" t="s">
        <v>203</v>
      </c>
      <c r="E214" s="34"/>
      <c r="F214" s="33" t="s">
        <v>78</v>
      </c>
      <c r="G214" s="2"/>
      <c r="H214" s="33">
        <v>1</v>
      </c>
      <c r="I214" s="33">
        <v>2</v>
      </c>
      <c r="J214" s="20">
        <v>0</v>
      </c>
      <c r="K214" s="21"/>
      <c r="L214" s="21">
        <v>0</v>
      </c>
      <c r="M214" s="2" t="s">
        <v>223</v>
      </c>
    </row>
    <row r="215" s="1" customFormat="1" ht="24" spans="1:13">
      <c r="A215" s="5"/>
      <c r="B215" s="33"/>
      <c r="C215" s="36" t="s">
        <v>128</v>
      </c>
      <c r="D215" s="33" t="s">
        <v>202</v>
      </c>
      <c r="E215" s="34"/>
      <c r="F215" s="33" t="s">
        <v>78</v>
      </c>
      <c r="G215" s="33">
        <v>21.404</v>
      </c>
      <c r="H215" s="33">
        <v>1</v>
      </c>
      <c r="I215" s="33">
        <v>2</v>
      </c>
      <c r="J215" s="20">
        <v>42.808</v>
      </c>
      <c r="K215" s="21"/>
      <c r="L215" s="21">
        <v>0</v>
      </c>
      <c r="M215" s="2"/>
    </row>
    <row r="216" s="1" customFormat="1" ht="24" spans="1:13">
      <c r="A216" s="5"/>
      <c r="B216" s="33"/>
      <c r="C216" s="36" t="s">
        <v>198</v>
      </c>
      <c r="D216" s="33" t="s">
        <v>231</v>
      </c>
      <c r="E216" s="26" t="s">
        <v>200</v>
      </c>
      <c r="F216" s="33" t="s">
        <v>78</v>
      </c>
      <c r="G216" s="37"/>
      <c r="H216" s="33">
        <v>1</v>
      </c>
      <c r="I216" s="31">
        <v>2</v>
      </c>
      <c r="J216" s="20">
        <v>0</v>
      </c>
      <c r="K216" s="21"/>
      <c r="L216" s="21">
        <v>0</v>
      </c>
      <c r="M216" s="2" t="s">
        <v>228</v>
      </c>
    </row>
    <row r="217" s="1" customFormat="1" spans="1:13">
      <c r="A217" s="5"/>
      <c r="B217" s="33"/>
      <c r="C217" s="36" t="s">
        <v>207</v>
      </c>
      <c r="D217" s="33"/>
      <c r="E217" s="34"/>
      <c r="F217" s="33" t="s">
        <v>84</v>
      </c>
      <c r="G217" s="33">
        <v>15</v>
      </c>
      <c r="H217" s="33">
        <v>1</v>
      </c>
      <c r="I217" s="33">
        <v>2</v>
      </c>
      <c r="J217" s="20">
        <v>30</v>
      </c>
      <c r="K217" s="21"/>
      <c r="L217" s="21">
        <v>0</v>
      </c>
      <c r="M217" s="2"/>
    </row>
    <row r="218" s="1" customFormat="1" spans="1:13">
      <c r="A218" s="5"/>
      <c r="B218" s="33"/>
      <c r="C218" s="36" t="s">
        <v>133</v>
      </c>
      <c r="D218" s="33"/>
      <c r="E218" s="34"/>
      <c r="F218" s="33" t="s">
        <v>90</v>
      </c>
      <c r="G218" s="33">
        <v>1</v>
      </c>
      <c r="H218" s="33">
        <v>1</v>
      </c>
      <c r="I218" s="33">
        <v>2</v>
      </c>
      <c r="J218" s="20">
        <v>2</v>
      </c>
      <c r="K218" s="21"/>
      <c r="L218" s="21">
        <v>0</v>
      </c>
      <c r="M218" s="2"/>
    </row>
    <row r="219" s="1" customFormat="1" spans="1:13">
      <c r="A219" s="26">
        <v>1</v>
      </c>
      <c r="B219" s="31" t="s">
        <v>239</v>
      </c>
      <c r="C219" s="32" t="s">
        <v>124</v>
      </c>
      <c r="D219" s="33" t="s">
        <v>194</v>
      </c>
      <c r="E219" s="34"/>
      <c r="F219" s="33" t="s">
        <v>78</v>
      </c>
      <c r="G219" s="33">
        <v>13.6</v>
      </c>
      <c r="H219" s="33">
        <v>1</v>
      </c>
      <c r="I219" s="33">
        <v>1</v>
      </c>
      <c r="J219" s="20">
        <v>13.6</v>
      </c>
      <c r="K219" s="22">
        <v>54</v>
      </c>
      <c r="L219" s="21">
        <v>734.4</v>
      </c>
      <c r="M219" s="2"/>
    </row>
    <row r="220" s="1" customFormat="1" spans="1:13">
      <c r="A220" s="26">
        <v>2</v>
      </c>
      <c r="B220" s="35"/>
      <c r="C220" s="32" t="s">
        <v>124</v>
      </c>
      <c r="D220" s="33" t="s">
        <v>196</v>
      </c>
      <c r="E220" s="34"/>
      <c r="F220" s="33" t="s">
        <v>78</v>
      </c>
      <c r="G220" s="33">
        <v>7.8</v>
      </c>
      <c r="H220" s="33">
        <v>1</v>
      </c>
      <c r="I220" s="33">
        <v>1</v>
      </c>
      <c r="J220" s="20">
        <v>7.8</v>
      </c>
      <c r="K220" s="22">
        <v>100</v>
      </c>
      <c r="L220" s="21">
        <v>780</v>
      </c>
      <c r="M220" s="2"/>
    </row>
    <row r="221" s="1" customFormat="1" ht="24" spans="1:13">
      <c r="A221" s="26">
        <v>3</v>
      </c>
      <c r="B221" s="35"/>
      <c r="C221" s="32" t="s">
        <v>124</v>
      </c>
      <c r="D221" s="33" t="s">
        <v>202</v>
      </c>
      <c r="E221" s="34"/>
      <c r="F221" s="33" t="s">
        <v>78</v>
      </c>
      <c r="G221" s="33">
        <v>19.45</v>
      </c>
      <c r="H221" s="33">
        <v>1</v>
      </c>
      <c r="I221" s="31">
        <v>1</v>
      </c>
      <c r="J221" s="20">
        <v>19.45</v>
      </c>
      <c r="K221" s="22">
        <v>54</v>
      </c>
      <c r="L221" s="21">
        <v>1050.3</v>
      </c>
      <c r="M221" s="2"/>
    </row>
    <row r="222" s="1" customFormat="1" ht="24" spans="1:13">
      <c r="A222" s="26">
        <v>4</v>
      </c>
      <c r="B222" s="35"/>
      <c r="C222" s="32" t="s">
        <v>124</v>
      </c>
      <c r="D222" s="33" t="s">
        <v>203</v>
      </c>
      <c r="E222" s="34"/>
      <c r="F222" s="33" t="s">
        <v>78</v>
      </c>
      <c r="G222" s="2"/>
      <c r="H222" s="33">
        <v>1</v>
      </c>
      <c r="I222" s="33">
        <v>1</v>
      </c>
      <c r="J222" s="20">
        <v>0</v>
      </c>
      <c r="K222" s="22"/>
      <c r="L222" s="21">
        <v>0</v>
      </c>
      <c r="M222" s="2" t="s">
        <v>223</v>
      </c>
    </row>
    <row r="223" s="1" customFormat="1" ht="24" spans="1:13">
      <c r="A223" s="26">
        <v>5</v>
      </c>
      <c r="B223" s="35"/>
      <c r="C223" s="36" t="s">
        <v>128</v>
      </c>
      <c r="D223" s="33" t="s">
        <v>202</v>
      </c>
      <c r="E223" s="34"/>
      <c r="F223" s="33" t="s">
        <v>78</v>
      </c>
      <c r="G223" s="33">
        <v>14.578</v>
      </c>
      <c r="H223" s="33">
        <v>1</v>
      </c>
      <c r="I223" s="33">
        <v>1</v>
      </c>
      <c r="J223" s="20">
        <v>14.578</v>
      </c>
      <c r="K223" s="22">
        <v>54</v>
      </c>
      <c r="L223" s="21">
        <v>787.212</v>
      </c>
      <c r="M223" s="2"/>
    </row>
    <row r="224" s="1" customFormat="1" ht="24" spans="1:13">
      <c r="A224" s="26">
        <v>6</v>
      </c>
      <c r="B224" s="35"/>
      <c r="C224" s="36" t="s">
        <v>198</v>
      </c>
      <c r="D224" s="33" t="s">
        <v>231</v>
      </c>
      <c r="E224" s="26" t="s">
        <v>200</v>
      </c>
      <c r="F224" s="33" t="s">
        <v>78</v>
      </c>
      <c r="G224" s="37"/>
      <c r="H224" s="33">
        <v>1</v>
      </c>
      <c r="I224" s="31">
        <v>1</v>
      </c>
      <c r="J224" s="20">
        <v>0</v>
      </c>
      <c r="K224" s="21"/>
      <c r="L224" s="21">
        <v>0</v>
      </c>
      <c r="M224" s="2" t="s">
        <v>228</v>
      </c>
    </row>
    <row r="225" s="1" customFormat="1" spans="1:13">
      <c r="A225" s="26">
        <v>8</v>
      </c>
      <c r="B225" s="35"/>
      <c r="C225" s="36" t="s">
        <v>207</v>
      </c>
      <c r="D225" s="33"/>
      <c r="E225" s="34"/>
      <c r="F225" s="33" t="s">
        <v>84</v>
      </c>
      <c r="G225" s="33">
        <v>13.7</v>
      </c>
      <c r="H225" s="33">
        <v>1</v>
      </c>
      <c r="I225" s="33">
        <v>1</v>
      </c>
      <c r="J225" s="20">
        <v>13.7</v>
      </c>
      <c r="K225" s="21"/>
      <c r="L225" s="21">
        <v>0</v>
      </c>
      <c r="M225" s="2"/>
    </row>
    <row r="226" s="1" customFormat="1" spans="1:13">
      <c r="A226" s="16">
        <v>9</v>
      </c>
      <c r="B226" s="35"/>
      <c r="C226" s="36" t="s">
        <v>133</v>
      </c>
      <c r="D226" s="33"/>
      <c r="E226" s="34"/>
      <c r="F226" s="33" t="s">
        <v>90</v>
      </c>
      <c r="G226" s="33">
        <v>1</v>
      </c>
      <c r="H226" s="33">
        <v>1</v>
      </c>
      <c r="I226" s="33">
        <v>1</v>
      </c>
      <c r="J226" s="20">
        <v>1</v>
      </c>
      <c r="K226" s="21"/>
      <c r="L226" s="21">
        <v>0</v>
      </c>
      <c r="M226" s="2"/>
    </row>
    <row r="227" s="1" customFormat="1" spans="1:13">
      <c r="A227" s="26">
        <v>1</v>
      </c>
      <c r="B227" s="33" t="s">
        <v>240</v>
      </c>
      <c r="C227" s="32" t="s">
        <v>124</v>
      </c>
      <c r="D227" s="33" t="s">
        <v>194</v>
      </c>
      <c r="E227" s="34"/>
      <c r="F227" s="33" t="s">
        <v>78</v>
      </c>
      <c r="G227" s="33">
        <v>9.536</v>
      </c>
      <c r="H227" s="33">
        <v>1</v>
      </c>
      <c r="I227" s="33">
        <v>1</v>
      </c>
      <c r="J227" s="20">
        <v>9.536</v>
      </c>
      <c r="K227" s="22">
        <v>54</v>
      </c>
      <c r="L227" s="21">
        <v>514.944</v>
      </c>
      <c r="M227" s="2"/>
    </row>
    <row r="228" s="1" customFormat="1" spans="1:13">
      <c r="A228" s="26">
        <v>2</v>
      </c>
      <c r="B228" s="33"/>
      <c r="C228" s="32" t="s">
        <v>124</v>
      </c>
      <c r="D228" s="33" t="s">
        <v>196</v>
      </c>
      <c r="E228" s="34"/>
      <c r="F228" s="33" t="s">
        <v>78</v>
      </c>
      <c r="G228" s="33">
        <v>8.232</v>
      </c>
      <c r="H228" s="33">
        <v>1</v>
      </c>
      <c r="I228" s="33">
        <v>1</v>
      </c>
      <c r="J228" s="20">
        <v>8.232</v>
      </c>
      <c r="K228" s="22">
        <v>100</v>
      </c>
      <c r="L228" s="21">
        <v>823.2</v>
      </c>
      <c r="M228" s="2"/>
    </row>
    <row r="229" s="1" customFormat="1" ht="24" spans="1:13">
      <c r="A229" s="26">
        <v>3</v>
      </c>
      <c r="B229" s="33"/>
      <c r="C229" s="32" t="s">
        <v>124</v>
      </c>
      <c r="D229" s="33" t="s">
        <v>202</v>
      </c>
      <c r="E229" s="34"/>
      <c r="F229" s="33" t="s">
        <v>78</v>
      </c>
      <c r="G229" s="33">
        <v>22.53</v>
      </c>
      <c r="H229" s="33">
        <v>1</v>
      </c>
      <c r="I229" s="33">
        <v>1</v>
      </c>
      <c r="J229" s="20">
        <v>22.53</v>
      </c>
      <c r="K229" s="22">
        <v>54</v>
      </c>
      <c r="L229" s="21">
        <v>1216.62</v>
      </c>
      <c r="M229" s="2"/>
    </row>
    <row r="230" s="1" customFormat="1" ht="24" spans="1:13">
      <c r="A230" s="26">
        <v>4</v>
      </c>
      <c r="B230" s="33"/>
      <c r="C230" s="32" t="s">
        <v>124</v>
      </c>
      <c r="D230" s="33" t="s">
        <v>203</v>
      </c>
      <c r="E230" s="34"/>
      <c r="F230" s="33" t="s">
        <v>78</v>
      </c>
      <c r="G230" s="2"/>
      <c r="H230" s="33">
        <v>1</v>
      </c>
      <c r="I230" s="33">
        <v>1</v>
      </c>
      <c r="J230" s="20">
        <v>0</v>
      </c>
      <c r="K230" s="22"/>
      <c r="L230" s="21">
        <v>0</v>
      </c>
      <c r="M230" s="2" t="s">
        <v>223</v>
      </c>
    </row>
    <row r="231" s="1" customFormat="1" ht="24" spans="1:13">
      <c r="A231" s="26">
        <v>5</v>
      </c>
      <c r="B231" s="33"/>
      <c r="C231" s="36" t="s">
        <v>128</v>
      </c>
      <c r="D231" s="33" t="s">
        <v>202</v>
      </c>
      <c r="E231" s="34"/>
      <c r="F231" s="33" t="s">
        <v>78</v>
      </c>
      <c r="G231" s="33">
        <v>21.404</v>
      </c>
      <c r="H231" s="33">
        <v>1</v>
      </c>
      <c r="I231" s="33">
        <v>1</v>
      </c>
      <c r="J231" s="20">
        <v>21.404</v>
      </c>
      <c r="K231" s="22">
        <v>54</v>
      </c>
      <c r="L231" s="21">
        <v>1155.816</v>
      </c>
      <c r="M231" s="2"/>
    </row>
    <row r="232" s="1" customFormat="1" ht="24" spans="1:13">
      <c r="A232" s="26">
        <v>6</v>
      </c>
      <c r="B232" s="33"/>
      <c r="C232" s="36" t="s">
        <v>198</v>
      </c>
      <c r="D232" s="33" t="s">
        <v>231</v>
      </c>
      <c r="E232" s="26" t="s">
        <v>200</v>
      </c>
      <c r="F232" s="33" t="s">
        <v>78</v>
      </c>
      <c r="G232" s="37"/>
      <c r="H232" s="33">
        <v>1</v>
      </c>
      <c r="I232" s="33">
        <v>1</v>
      </c>
      <c r="J232" s="20">
        <v>0</v>
      </c>
      <c r="K232" s="21"/>
      <c r="L232" s="21"/>
      <c r="M232" s="2" t="s">
        <v>228</v>
      </c>
    </row>
    <row r="233" s="1" customFormat="1" spans="1:13">
      <c r="A233" s="26">
        <v>8</v>
      </c>
      <c r="B233" s="33"/>
      <c r="C233" s="36" t="s">
        <v>207</v>
      </c>
      <c r="D233" s="33"/>
      <c r="E233" s="34"/>
      <c r="F233" s="33" t="s">
        <v>84</v>
      </c>
      <c r="G233" s="33">
        <v>15</v>
      </c>
      <c r="H233" s="33">
        <v>1</v>
      </c>
      <c r="I233" s="33">
        <v>1</v>
      </c>
      <c r="J233" s="20">
        <v>15</v>
      </c>
      <c r="K233" s="21"/>
      <c r="L233" s="21"/>
      <c r="M233" s="2"/>
    </row>
    <row r="234" s="1" customFormat="1" spans="1:13">
      <c r="A234" s="16">
        <v>9</v>
      </c>
      <c r="B234" s="33"/>
      <c r="C234" s="36" t="s">
        <v>133</v>
      </c>
      <c r="D234" s="33"/>
      <c r="E234" s="34"/>
      <c r="F234" s="33" t="s">
        <v>90</v>
      </c>
      <c r="G234" s="33">
        <v>1</v>
      </c>
      <c r="H234" s="33">
        <v>1</v>
      </c>
      <c r="I234" s="33">
        <v>1</v>
      </c>
      <c r="J234" s="20">
        <v>1</v>
      </c>
      <c r="K234" s="21"/>
      <c r="L234" s="21"/>
      <c r="M234" s="2"/>
    </row>
    <row r="1048576" customFormat="1"/>
  </sheetData>
  <mergeCells count="28">
    <mergeCell ref="A1:J1"/>
    <mergeCell ref="B3:B11"/>
    <mergeCell ref="B12:B21"/>
    <mergeCell ref="B22:B31"/>
    <mergeCell ref="B32:B41"/>
    <mergeCell ref="B42:B50"/>
    <mergeCell ref="B51:B59"/>
    <mergeCell ref="B60:B69"/>
    <mergeCell ref="B70:B78"/>
    <mergeCell ref="B79:B87"/>
    <mergeCell ref="B88:B96"/>
    <mergeCell ref="B97:B105"/>
    <mergeCell ref="B107:B114"/>
    <mergeCell ref="B115:B122"/>
    <mergeCell ref="B123:B130"/>
    <mergeCell ref="B131:B138"/>
    <mergeCell ref="B139:B146"/>
    <mergeCell ref="B147:B154"/>
    <mergeCell ref="B155:B162"/>
    <mergeCell ref="B163:B170"/>
    <mergeCell ref="B171:B178"/>
    <mergeCell ref="B179:B186"/>
    <mergeCell ref="B187:B194"/>
    <mergeCell ref="B195:B202"/>
    <mergeCell ref="B203:B210"/>
    <mergeCell ref="B211:B218"/>
    <mergeCell ref="B219:B226"/>
    <mergeCell ref="B227:B234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进度款费用计算明细表）</vt:lpstr>
      <vt:lpstr>门头合同附件</vt:lpstr>
      <vt:lpstr>大堂</vt:lpstr>
      <vt:lpstr>公区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岳鹏</cp:lastModifiedBy>
  <dcterms:created xsi:type="dcterms:W3CDTF">2020-10-01T09:11:00Z</dcterms:created>
  <cp:lastPrinted>2022-11-10T03:57:00Z</cp:lastPrinted>
  <dcterms:modified xsi:type="dcterms:W3CDTF">2024-07-29T06:48:29Z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KSOReadingLayout">
    <vt:bool>true</vt:bool>
  </property>
  <property fmtid="{D5CDD505-2E9C-101B-9397-08002B2CF9AE}" pid="4" name="ICV">
    <vt:lpwstr>8AA6E7D6B73240EFB8453DE9B977BBA0</vt:lpwstr>
  </property>
</Properties>
</file>