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1925" activeTab="1"/>
  </bookViews>
  <sheets>
    <sheet name="2资料存档目录" sheetId="1" r:id="rId1"/>
    <sheet name="3、结算汇总表" sheetId="3" r:id="rId2"/>
    <sheet name="4、各月结算汇总" sheetId="10" r:id="rId3"/>
    <sheet name="5 、2023年9月结算明细表" sheetId="5" r:id="rId4"/>
    <sheet name="6、2023年11月结算明细表" sheetId="11" r:id="rId5"/>
    <sheet name="2024年3月" sheetId="12" r:id="rId6"/>
    <sheet name="07单子计算明细" sheetId="7" state="hidden" r:id="rId7"/>
    <sheet name="09单子明细" sheetId="8" state="hidden" r:id="rId8"/>
    <sheet name="计算明细" sheetId="6" state="hidden" r:id="rId9"/>
    <sheet name="Sheet1" sheetId="9" state="hidden" r:id="rId10"/>
  </sheets>
  <externalReferences>
    <externalReference r:id="rId11"/>
  </externalReferences>
  <definedNames>
    <definedName name="_xlnm.Print_Area" localSheetId="0">'2资料存档目录'!$A$1:$F$20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<sst xmlns="http://schemas.openxmlformats.org/spreadsheetml/2006/main" count="587" uniqueCount="331">
  <si>
    <t>栾川山水文苑2023年度零星工程合同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</si>
  <si>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</si>
  <si>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</si>
  <si>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</si>
  <si>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</si>
  <si>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</si>
  <si>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</si>
  <si>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栾川山水文苑2023年度零星工程合同结算审批表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</si>
  <si>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</si>
  <si>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</si>
  <si>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</si>
  <si>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</si>
  <si>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</si>
  <si>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</si>
  <si>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</si>
  <si>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</si>
  <si>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</si>
  <si>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</si>
  <si>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</si>
  <si>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</si>
  <si>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</si>
  <si>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</si>
  <si>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</si>
  <si>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</si>
  <si>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</si>
  <si>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结算资料核对确认单</t>
  </si>
  <si>
    <t>1份2页</t>
  </si>
  <si>
    <t>第9-10也页</t>
  </si>
  <si>
    <t>结算工作交接单</t>
  </si>
  <si>
    <t>第11页</t>
  </si>
  <si>
    <t>工程往来账目明细</t>
  </si>
  <si>
    <t>第12页</t>
  </si>
  <si>
    <t>验收单</t>
  </si>
  <si>
    <t>第13页</t>
  </si>
  <si>
    <t>派发单022-026</t>
  </si>
  <si>
    <t>1份19页</t>
  </si>
  <si>
    <t>第14-33页</t>
  </si>
  <si>
    <t>栾川山水文苑2023年度9月零星工程合同结算审批表</t>
  </si>
  <si>
    <t>一册</t>
  </si>
  <si>
    <t>栾川山水文苑2023年度11月零星工程合同结算审批表</t>
  </si>
  <si>
    <t>栾川山水文苑2024年度3月零星工程合同结算审批表</t>
  </si>
  <si>
    <t>造价师：</t>
  </si>
  <si>
    <t>日期：</t>
  </si>
  <si>
    <t>栾川山水文苑2023年度零星工程合同结算汇总表</t>
  </si>
  <si>
    <t xml:space="preserve">合同编号：LCS1-JA-084                           合同金额：1252965.00   元 </t>
  </si>
  <si>
    <t>合同名称：栾川山水文苑2023年度零星工程合同</t>
  </si>
  <si>
    <t>甲    方：栾川县浩德颐康文旅有限公司</t>
  </si>
  <si>
    <t>乙    方：河南玺尊建设有限公司栾川合峪分公司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</si>
  <si>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</si>
  <si>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</si>
  <si>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</si>
  <si>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</si>
  <si>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</si>
  <si>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</si>
  <si>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</si>
  <si>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</si>
  <si>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</si>
  <si>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</si>
  <si>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</si>
  <si>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</si>
  <si>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</si>
  <si>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</si>
  <si>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</si>
  <si>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</si>
  <si>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</si>
  <si>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</si>
  <si>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</si>
  <si>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</si>
  <si>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</si>
  <si>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</si>
  <si>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</si>
  <si>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</si>
  <si>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</si>
  <si>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</si>
  <si>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</si>
  <si>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</si>
  <si>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</si>
  <si>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</si>
  <si>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</si>
  <si>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</si>
  <si>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</si>
  <si>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</si>
  <si>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栾川山水文苑2023年度零星工程合同结算明细表</t>
  </si>
  <si>
    <t>主要内容</t>
  </si>
  <si>
    <t>单位</t>
  </si>
  <si>
    <t>工程量</t>
  </si>
  <si>
    <t>单价</t>
  </si>
  <si>
    <t>合同总价</t>
  </si>
  <si>
    <t>2023年9月结算</t>
  </si>
  <si>
    <t>项</t>
  </si>
  <si>
    <t>2023年10月结算</t>
  </si>
  <si>
    <t>2024年3月结算</t>
  </si>
  <si>
    <t>2024年7月结算</t>
  </si>
  <si>
    <t>派发单及确认单022</t>
  </si>
  <si>
    <t>售楼部西侧增加不锈钢洗手池一套</t>
  </si>
  <si>
    <t>个</t>
  </si>
  <si>
    <t>协商</t>
  </si>
  <si>
    <t>三角阀</t>
  </si>
  <si>
    <t>pevde110下水管道安装</t>
  </si>
  <si>
    <t>普</t>
  </si>
  <si>
    <t>喷灌软管</t>
  </si>
  <si>
    <t>m</t>
  </si>
  <si>
    <t>喷灌取水阀</t>
  </si>
  <si>
    <t>塑木地板修复</t>
  </si>
  <si>
    <t>工</t>
  </si>
  <si>
    <t>水龙头</t>
  </si>
  <si>
    <t>营销道具滑梯移动安装</t>
  </si>
  <si>
    <t>技工</t>
  </si>
  <si>
    <t>派发单及确认单023</t>
  </si>
  <si>
    <t>排水管、石材等质量检测</t>
  </si>
  <si>
    <t>详见情况说明</t>
  </si>
  <si>
    <t>安徽远溯景观建设有限公司</t>
  </si>
  <si>
    <t>派发单及确认单024</t>
  </si>
  <si>
    <t>不锈钢重力挂钩</t>
  </si>
  <si>
    <t>详见约谈纪率</t>
  </si>
  <si>
    <t>福字防撞贴</t>
  </si>
  <si>
    <t>详见约谈记录</t>
  </si>
  <si>
    <t>派发单及确认单025</t>
  </si>
  <si>
    <t>集团慰问物资采购</t>
  </si>
  <si>
    <t>斤</t>
  </si>
  <si>
    <t>派发单及确认单026</t>
  </si>
  <si>
    <t>清扫垃圾</t>
  </si>
  <si>
    <t>分摊系数</t>
  </si>
  <si>
    <t>河南诚鹏建设工程有限公司</t>
  </si>
  <si>
    <t>郑州宜信装饰工程有限公司</t>
  </si>
  <si>
    <t>山东奇威特太阳能销售股份有限公司</t>
  </si>
  <si>
    <t>淄博消防安全工程公司</t>
  </si>
  <si>
    <t>河南省埃思特建设工程有限公司</t>
  </si>
  <si>
    <t>河南邦丰装饰工程有限公司</t>
  </si>
  <si>
    <t>郑州七彩装饰工程有限公司</t>
  </si>
  <si>
    <t>洛阳阳光铝业有限公司</t>
  </si>
  <si>
    <t>河南首创建设集团有限公司</t>
  </si>
  <si>
    <t>西继迅达电梯有限公司</t>
  </si>
  <si>
    <t>广州宝露智能科技有限公司</t>
  </si>
  <si>
    <t>步阳集团有限公司</t>
  </si>
  <si>
    <t>洛阳兴民门业有限公司嵩县分公司</t>
  </si>
  <si>
    <t>小计</t>
  </si>
  <si>
    <t>除税价</t>
  </si>
  <si>
    <t>含税价</t>
  </si>
  <si>
    <t>八</t>
  </si>
  <si>
    <t>最终结算价格</t>
  </si>
  <si>
    <t>甲方</t>
  </si>
  <si>
    <t>乙方</t>
  </si>
  <si>
    <t>栾川山水文苑2023年度9月零星工程合同结算明细表</t>
  </si>
  <si>
    <t>派发单及确认单001</t>
  </si>
  <si>
    <t>s2地块（原村委会位置）地形整理，钩机DH225</t>
  </si>
  <si>
    <t>台</t>
  </si>
  <si>
    <t>s2地块（原村委会位置）草皮</t>
  </si>
  <si>
    <t>m2</t>
  </si>
  <si>
    <t>地形整理</t>
  </si>
  <si>
    <t>扣除深沟部分平整费用</t>
  </si>
  <si>
    <t>草皮破话二次补种</t>
  </si>
  <si>
    <t>安徽远溯景观建设有限公司，合同编号 LCS1-JP-062</t>
  </si>
  <si>
    <t>草皮二次整理地形</t>
  </si>
  <si>
    <t>派发单及确认单002</t>
  </si>
  <si>
    <t>垃圾清理外运</t>
  </si>
  <si>
    <t>垃圾外运车辆</t>
  </si>
  <si>
    <t>辆</t>
  </si>
  <si>
    <t>河南鼎甲装饰工程有限公司</t>
  </si>
  <si>
    <t>派发单及确认单003</t>
  </si>
  <si>
    <t>售楼部西侧化粪池抢修更换直径100钢丝软管100</t>
  </si>
  <si>
    <t>现场工程协商，抢险工程</t>
  </si>
  <si>
    <t>派发单及确认单004</t>
  </si>
  <si>
    <t>s1地块3#-5#楼南侧主楼雨污水管道混凝土保护层</t>
  </si>
  <si>
    <t>按合同175元/m2，适当调减</t>
  </si>
  <si>
    <t>派发单及确认单005</t>
  </si>
  <si>
    <t>s1地块3#5#南侧商业街井口变形维修</t>
  </si>
  <si>
    <t>扣款明细：总包承担1500合同编号LCS1-JA-016，
消防单位（ 淄博消防安全工程有限公司）承担700元，合同编号：LCS1-JA-050
自来水单位扣款300 LCS1-JP-055</t>
  </si>
  <si>
    <t>派发单及确认单006</t>
  </si>
  <si>
    <t>详见约谈纪录</t>
  </si>
  <si>
    <t>派发单及确认单007</t>
  </si>
  <si>
    <t>1#南侧化粪池增加、排水</t>
  </si>
  <si>
    <t>详见07单子明细表</t>
  </si>
  <si>
    <t>派发单及确认单008</t>
  </si>
  <si>
    <t>南商业街多余土方外运</t>
  </si>
  <si>
    <t>其中总包承担</t>
  </si>
  <si>
    <t>河南诚鹏建设工程有限公司
扣款合同编号：LCS1-JA-01</t>
  </si>
  <si>
    <t>消防单位承担</t>
  </si>
  <si>
    <t xml:space="preserve"> 淄博消防安全工程有限公司合同编号：LCS1-JA-050</t>
  </si>
  <si>
    <t>自来水单位承担</t>
  </si>
  <si>
    <t>自来水单位 合同编号： LCS1-JP-055</t>
  </si>
  <si>
    <t>派发单及确认单009</t>
  </si>
  <si>
    <t>售楼部北侧雨污水接入新建主管网</t>
  </si>
  <si>
    <t>详见09单子明细表</t>
  </si>
  <si>
    <t>派发单及确认单010</t>
  </si>
  <si>
    <t>连山石破除（95勾机）</t>
  </si>
  <si>
    <t>台班</t>
  </si>
  <si>
    <t>连山石破除（150勾机）</t>
  </si>
  <si>
    <t>50铲车</t>
  </si>
  <si>
    <t>参照土方合同价
安徽远溯景观建设有限公司，合同编号 LCS1-JP-062</t>
  </si>
  <si>
    <t>土方外运（遗留土方）</t>
  </si>
  <si>
    <t>m3</t>
  </si>
  <si>
    <t xml:space="preserve">参照土方合同价
</t>
  </si>
  <si>
    <t>混凝土盖板c25  200mm厚</t>
  </si>
  <si>
    <t>钢筋 直径12钢筋@200</t>
  </si>
  <si>
    <t>t</t>
  </si>
  <si>
    <t>围墙拆除</t>
  </si>
  <si>
    <t>井盖（中型井盖）</t>
  </si>
  <si>
    <t>参照07单子价格</t>
  </si>
  <si>
    <t>合计</t>
  </si>
  <si>
    <t>本月结算</t>
  </si>
  <si>
    <t>日期</t>
  </si>
  <si>
    <t>栾川山水文苑2023年度11月零星工程合同结算明细表</t>
  </si>
  <si>
    <t>派发单及确认单011</t>
  </si>
  <si>
    <t>交房前零星用工</t>
  </si>
  <si>
    <t>派发单及确认单012</t>
  </si>
  <si>
    <t>de PE63*1.0MPA</t>
  </si>
  <si>
    <t>M</t>
  </si>
  <si>
    <t>pvc De110</t>
  </si>
  <si>
    <t>变压器进线口砌筑挡墙</t>
  </si>
  <si>
    <t>粉刷</t>
  </si>
  <si>
    <t>铸铁篦子 300*500</t>
  </si>
  <si>
    <t>160pvc管道</t>
  </si>
  <si>
    <t>参照150管子</t>
  </si>
  <si>
    <t>开挖回填</t>
  </si>
  <si>
    <t>铸铁井盖 直径700</t>
  </si>
  <si>
    <t>派发单及确认单013</t>
  </si>
  <si>
    <t>派发单及确认单014</t>
  </si>
  <si>
    <t>轮胎清洗、搬运、色彩打底零星用工</t>
  </si>
  <si>
    <t>材料购买</t>
  </si>
  <si>
    <t>派发单及确认单015</t>
  </si>
  <si>
    <t>售楼部西侧停车场混凝土路面破除</t>
  </si>
  <si>
    <t>售楼部西侧停车场碎石垫层铺设</t>
  </si>
  <si>
    <t>参照南商业街调整税金</t>
  </si>
  <si>
    <t>售楼部西侧停车场c25混泥土路面20mm厚</t>
  </si>
  <si>
    <t>售楼部西侧停车场铺设沥路面50mm厚</t>
  </si>
  <si>
    <t>1#楼南商业西侧（红线外）铺设20cm厚碎石</t>
  </si>
  <si>
    <t>浇筑20厚c20混凝土垫层</t>
  </si>
  <si>
    <t>售楼部西侧停车场路沿石铺设</t>
  </si>
  <si>
    <t>路沿石利用甲方原有材料参照</t>
  </si>
  <si>
    <t>售楼部西侧pc砖破损跟换</t>
  </si>
  <si>
    <t>3#楼南侧垃圾池</t>
  </si>
  <si>
    <t>派发单及确认单016</t>
  </si>
  <si>
    <t>防腐木地板</t>
  </si>
  <si>
    <t>防腐木围栏</t>
  </si>
  <si>
    <t>派发单及确认单017</t>
  </si>
  <si>
    <t>石狮子</t>
  </si>
  <si>
    <t>对</t>
  </si>
  <si>
    <t>小狮子</t>
  </si>
  <si>
    <t>看好</t>
  </si>
  <si>
    <t>次</t>
  </si>
  <si>
    <t>栾川山水文苑2024年度3月零星工程合同结算明细表</t>
  </si>
  <si>
    <t>派发单及确认单018</t>
  </si>
  <si>
    <t>土方开挖</t>
  </si>
  <si>
    <t>参照土方合同</t>
  </si>
  <si>
    <t>商品混凝土c25价格调整c20价格</t>
  </si>
  <si>
    <t>5cm沥青路面</t>
  </si>
  <si>
    <t>详见约谈记录，其中入口沥青路相关工作内容均从景观公司合同扣除，扣款合同编号：LCS1-JP-062</t>
  </si>
  <si>
    <t>pc砖铺贴</t>
  </si>
  <si>
    <t>参照那商业街道价格调整税差</t>
  </si>
  <si>
    <t>毛桃（s7移栽）</t>
  </si>
  <si>
    <t>棵</t>
  </si>
  <si>
    <t>参照以往移栽碧桃价格</t>
  </si>
  <si>
    <t>黄杨球（冠幅1.5m）</t>
  </si>
  <si>
    <t>参照以往售楼部门口价格</t>
  </si>
  <si>
    <t>大叶黄杨篱（0.75m）高 宽0.8m</t>
  </si>
  <si>
    <t>爬山虎</t>
  </si>
  <si>
    <t>苗子太小，忽略</t>
  </si>
  <si>
    <t>草皮</t>
  </si>
  <si>
    <t>含地坪整理</t>
  </si>
  <si>
    <t>减速带</t>
  </si>
  <si>
    <t>参照地坪漆价格调整税率</t>
  </si>
  <si>
    <t>派发单及确认单019</t>
  </si>
  <si>
    <t>YJLV-5*16 电线</t>
  </si>
  <si>
    <t>含配件</t>
  </si>
  <si>
    <t>参照以前价格</t>
  </si>
  <si>
    <t>派发单及确认单020</t>
  </si>
  <si>
    <t>售楼部泳池设备管道漏水维修</t>
  </si>
  <si>
    <t>LCS2-JA-004《栾川山水文苑售楼部游泳池设备供货安装合同》</t>
  </si>
  <si>
    <t>维修2次</t>
  </si>
  <si>
    <t>约谈记录</t>
  </si>
  <si>
    <t>派发单及确认单021</t>
  </si>
  <si>
    <t>景观示范区绿植冻防工程</t>
  </si>
  <si>
    <t>搭设保温设施及拆除</t>
  </si>
  <si>
    <t>派发单007-售楼部西侧化粪池及市政管网施工</t>
  </si>
  <si>
    <t>工程项目名称</t>
  </si>
  <si>
    <t>工程内容</t>
  </si>
  <si>
    <t>工程量
g</t>
  </si>
  <si>
    <t>其中：各子项构成（元）</t>
  </si>
  <si>
    <t>含税综合单价(元)
f=(a+b+c+d+e)</t>
  </si>
  <si>
    <t>合价(元)=g*f</t>
  </si>
  <si>
    <t>人工费
a</t>
  </si>
  <si>
    <t>主材费
b</t>
  </si>
  <si>
    <t>机械、辅材及其他c</t>
  </si>
  <si>
    <t>管理费及利润
d=(a+b+c)*费率</t>
  </si>
  <si>
    <t>税金
e=(a+b+c+d)*费率</t>
  </si>
  <si>
    <t>售楼部西侧化粪池及市政管网施工</t>
  </si>
  <si>
    <t>砼垫层（含管道包封）</t>
  </si>
  <si>
    <t>1.混凝土强度等级:100厚C15混凝土
2.混凝土拌合料要求：符合规范要求
3.模板安拆费用计入综合单价，支模方式综合考虑
4.其它说明：其它满足规范和设计图纸要求</t>
  </si>
  <si>
    <t>执行三方合同价</t>
  </si>
  <si>
    <t>直径500钢筋混凝土管</t>
  </si>
  <si>
    <t xml:space="preserve">1、安装部位:室外
2、介质:雨水
3、材质、规格：钢筋混凝土管 DN500
</t>
  </si>
  <si>
    <t>双方协商</t>
  </si>
  <si>
    <t>砖砌井</t>
  </si>
  <si>
    <t>1、井口内径φ700，井深3.2米，井下部直径1.4米，上部直径0.7米，内粉</t>
  </si>
  <si>
    <t>座</t>
  </si>
  <si>
    <t>铸铁井盖</t>
  </si>
  <si>
    <t>1、φ700，带框（800*800）</t>
  </si>
  <si>
    <t>玻璃钢化粪池</t>
  </si>
  <si>
    <t>1.名称:玻璃钢化粪池
2.型号、规格:HFRP(LWQ)-13(V=100m3)
3.详见图集12YS8，基础做法见图集14SS706第49页，含周边换填及土方</t>
  </si>
  <si>
    <t>拆除</t>
  </si>
  <si>
    <t xml:space="preserve">拆除20cm混凝土垫层
</t>
  </si>
  <si>
    <t>拆除5cm沥青，切缝15cm</t>
  </si>
  <si>
    <t>挖土方</t>
  </si>
  <si>
    <t>1、名称:土方的开挖
2、未详尽处满足图纸设计、相关规范要求</t>
  </si>
  <si>
    <t>参考南商业街补充协议，挖管沟价格</t>
  </si>
  <si>
    <t>土方回填</t>
  </si>
  <si>
    <t>因为交房，不惧回填条件，直接回填</t>
  </si>
  <si>
    <t>1、浇注砼路面</t>
  </si>
  <si>
    <t>C25砼路面厚250mm（商品混凝土价格）</t>
  </si>
  <si>
    <t>派发单009-售楼部北侧原临时管网更改接入正式管网</t>
  </si>
  <si>
    <t>排水管</t>
  </si>
  <si>
    <t>16、PVC管，DN100
含材料及安装人工，不含土方开挖、回填</t>
  </si>
  <si>
    <t>三方合同价</t>
  </si>
  <si>
    <t>17、PVC管，DN150
含材料及安装人工，不含土方开挖、回填</t>
  </si>
  <si>
    <t>1、PVC管，De50
含材料及安装人工，不含土方开挖、回填</t>
  </si>
  <si>
    <t>1、焊接钢管，DN80
含材料及安装人工，不含土方开挖、回填</t>
  </si>
  <si>
    <t>回填土</t>
  </si>
  <si>
    <t>1、名称:土方的回填
2、未详尽处满足图纸设计、相关规范要求</t>
  </si>
  <si>
    <t>派发单001草皮计算明细</t>
  </si>
  <si>
    <t>长</t>
  </si>
  <si>
    <t>宽</t>
  </si>
  <si>
    <t>3#楼前</t>
  </si>
  <si>
    <t>5#楼前</t>
  </si>
  <si>
    <t>5#楼前 边条</t>
  </si>
  <si>
    <t>变压器左侧</t>
  </si>
  <si>
    <t>梯形面积</t>
  </si>
  <si>
    <t>售楼部西侧草皮</t>
  </si>
  <si>
    <t>破坏面积</t>
  </si>
  <si>
    <t>三角</t>
  </si>
  <si>
    <t>梯形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</si>
</sst>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72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.5"/>
      <color indexed="8"/>
      <name val="宋体"/>
      <charset val="134"/>
    </font>
    <font>
      <sz val="9"/>
      <name val="Arial"/>
      <charset val="134"/>
    </font>
    <font>
      <sz val="10"/>
      <name val="Arial"/>
      <charset val="1"/>
    </font>
    <font>
      <sz val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Arial"/>
      <charset val="1"/>
    </font>
    <font>
      <b/>
      <sz val="8"/>
      <name val="宋体"/>
      <charset val="134"/>
    </font>
    <font>
      <sz val="8"/>
      <name val="Arial"/>
      <charset val="134"/>
    </font>
    <font>
      <b/>
      <sz val="9"/>
      <name val="宋体"/>
      <charset val="134"/>
    </font>
    <font>
      <b/>
      <sz val="14"/>
      <color rgb="FF000000"/>
      <name val="微软雅黑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u/>
      <sz val="12"/>
      <name val="宋体"/>
      <charset val="134"/>
    </font>
    <font>
      <sz val="9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" borderId="3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35" applyNumberFormat="0" applyAlignment="0" applyProtection="0">
      <alignment vertical="center"/>
    </xf>
    <xf numFmtId="0" fontId="45" fillId="5" borderId="36" applyNumberFormat="0" applyAlignment="0" applyProtection="0">
      <alignment vertical="center"/>
    </xf>
    <xf numFmtId="0" fontId="46" fillId="5" borderId="35" applyNumberFormat="0" applyAlignment="0" applyProtection="0">
      <alignment vertical="center"/>
    </xf>
    <xf numFmtId="0" fontId="47" fillId="6" borderId="37" applyNumberFormat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9" fillId="0" borderId="39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40" applyNumberFormat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9" fillId="35" borderId="41" applyNumberFormat="0" applyAlignment="0" applyProtection="0">
      <alignment vertical="center"/>
    </xf>
    <xf numFmtId="0" fontId="0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9" fillId="35" borderId="41" applyNumberFormat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6" fillId="35" borderId="40" applyNumberFormat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1" fillId="45" borderId="42" applyNumberFormat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62" fillId="0" borderId="43" applyNumberFormat="0" applyFill="0" applyAlignment="0" applyProtection="0">
      <alignment vertical="center"/>
    </xf>
    <xf numFmtId="0" fontId="62" fillId="0" borderId="43" applyNumberFormat="0" applyFill="0" applyAlignment="0" applyProtection="0">
      <alignment vertical="center"/>
    </xf>
    <xf numFmtId="0" fontId="63" fillId="0" borderId="44" applyNumberFormat="0" applyFill="0" applyAlignment="0" applyProtection="0">
      <alignment vertical="center"/>
    </xf>
    <xf numFmtId="0" fontId="63" fillId="0" borderId="44" applyNumberFormat="0" applyFill="0" applyAlignment="0" applyProtection="0">
      <alignment vertical="center"/>
    </xf>
    <xf numFmtId="0" fontId="64" fillId="0" borderId="45" applyNumberFormat="0" applyFill="0" applyAlignment="0" applyProtection="0">
      <alignment vertical="center"/>
    </xf>
    <xf numFmtId="0" fontId="64" fillId="0" borderId="4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8" fillId="0" borderId="46" applyNumberFormat="0" applyFill="0" applyAlignment="0" applyProtection="0">
      <alignment vertical="center"/>
    </xf>
    <xf numFmtId="0" fontId="68" fillId="0" borderId="46" applyNumberFormat="0" applyFill="0" applyAlignment="0" applyProtection="0">
      <alignment vertical="center"/>
    </xf>
    <xf numFmtId="0" fontId="61" fillId="45" borderId="42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47" applyNumberFormat="0" applyFill="0" applyAlignment="0" applyProtection="0">
      <alignment vertical="center"/>
    </xf>
    <xf numFmtId="0" fontId="70" fillId="0" borderId="47" applyNumberFormat="0" applyFill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71" fillId="43" borderId="40" applyNumberFormat="0" applyAlignment="0" applyProtection="0">
      <alignment vertical="center"/>
    </xf>
    <xf numFmtId="0" fontId="71" fillId="43" borderId="40" applyNumberFormat="0" applyAlignment="0" applyProtection="0">
      <alignment vertical="center"/>
    </xf>
    <xf numFmtId="0" fontId="0" fillId="55" borderId="48" applyNumberFormat="0" applyFont="0" applyAlignment="0" applyProtection="0">
      <alignment vertical="center"/>
    </xf>
    <xf numFmtId="0" fontId="0" fillId="55" borderId="48" applyNumberFormat="0" applyFont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/>
      <protection locked="0"/>
    </xf>
    <xf numFmtId="176" fontId="6" fillId="0" borderId="7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/>
    <xf numFmtId="0" fontId="5" fillId="0" borderId="7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176" fontId="2" fillId="0" borderId="7" xfId="0" applyNumberFormat="1" applyFont="1" applyFill="1" applyBorder="1" applyAlignment="1" applyProtection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ont="1" applyFill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176" fontId="17" fillId="0" borderId="7" xfId="0" applyNumberFormat="1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6" fontId="15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19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176" fontId="19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0" fillId="0" borderId="7" xfId="0" applyNumberForma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176" fontId="9" fillId="0" borderId="7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9" fontId="23" fillId="0" borderId="7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vertical="center" wrapText="1"/>
    </xf>
    <xf numFmtId="176" fontId="0" fillId="0" borderId="7" xfId="0" applyNumberFormat="1" applyBorder="1">
      <alignment vertical="center"/>
    </xf>
    <xf numFmtId="9" fontId="0" fillId="0" borderId="7" xfId="0" applyNumberFormat="1" applyBorder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justify" vertical="top" wrapText="1"/>
    </xf>
    <xf numFmtId="0" fontId="27" fillId="0" borderId="13" xfId="0" applyFont="1" applyBorder="1" applyAlignment="1">
      <alignment horizontal="justify" vertical="top" wrapText="1"/>
    </xf>
    <xf numFmtId="0" fontId="27" fillId="0" borderId="14" xfId="0" applyFont="1" applyBorder="1" applyAlignment="1">
      <alignment horizontal="justify" vertical="top" wrapText="1"/>
    </xf>
    <xf numFmtId="0" fontId="28" fillId="0" borderId="16" xfId="0" applyFont="1" applyBorder="1" applyAlignment="1">
      <alignment horizontal="justify" vertical="top" wrapText="1"/>
    </xf>
    <xf numFmtId="176" fontId="28" fillId="0" borderId="16" xfId="0" applyNumberFormat="1" applyFont="1" applyBorder="1" applyAlignment="1">
      <alignment horizontal="justify" vertical="top" wrapText="1"/>
    </xf>
    <xf numFmtId="0" fontId="28" fillId="0" borderId="1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justify" vertical="top" wrapText="1"/>
    </xf>
    <xf numFmtId="0" fontId="28" fillId="0" borderId="13" xfId="0" applyFont="1" applyBorder="1" applyAlignment="1">
      <alignment horizontal="justify" vertical="top" wrapText="1"/>
    </xf>
    <xf numFmtId="0" fontId="28" fillId="0" borderId="14" xfId="0" applyFont="1" applyBorder="1" applyAlignment="1">
      <alignment horizontal="justify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top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justify" vertical="top" wrapText="1"/>
    </xf>
    <xf numFmtId="0" fontId="27" fillId="0" borderId="20" xfId="0" applyFont="1" applyBorder="1" applyAlignment="1">
      <alignment horizontal="justify" vertical="top" wrapText="1"/>
    </xf>
    <xf numFmtId="177" fontId="28" fillId="0" borderId="12" xfId="0" applyNumberFormat="1" applyFont="1" applyBorder="1" applyAlignment="1">
      <alignment horizontal="justify" vertical="top" wrapText="1"/>
    </xf>
    <xf numFmtId="177" fontId="28" fillId="0" borderId="13" xfId="0" applyNumberFormat="1" applyFont="1" applyBorder="1" applyAlignment="1">
      <alignment horizontal="justify" vertical="top" wrapText="1"/>
    </xf>
    <xf numFmtId="177" fontId="28" fillId="0" borderId="14" xfId="0" applyNumberFormat="1" applyFont="1" applyBorder="1" applyAlignment="1">
      <alignment horizontal="justify" vertical="top" wrapText="1"/>
    </xf>
    <xf numFmtId="0" fontId="27" fillId="0" borderId="21" xfId="0" applyFont="1" applyBorder="1" applyAlignment="1">
      <alignment horizontal="justify" vertical="top" wrapText="1"/>
    </xf>
    <xf numFmtId="0" fontId="27" fillId="0" borderId="16" xfId="0" applyFont="1" applyBorder="1" applyAlignment="1">
      <alignment horizontal="justify" vertical="top" wrapText="1"/>
    </xf>
    <xf numFmtId="0" fontId="28" fillId="0" borderId="16" xfId="0" applyFont="1" applyBorder="1" applyAlignment="1">
      <alignment horizontal="center" vertical="center" wrapText="1"/>
    </xf>
    <xf numFmtId="178" fontId="25" fillId="0" borderId="12" xfId="0" applyNumberFormat="1" applyFont="1" applyBorder="1" applyAlignment="1">
      <alignment horizontal="left" vertical="top" wrapText="1"/>
    </xf>
    <xf numFmtId="178" fontId="25" fillId="0" borderId="13" xfId="0" applyNumberFormat="1" applyFont="1" applyBorder="1" applyAlignment="1">
      <alignment horizontal="left" vertical="top" wrapText="1"/>
    </xf>
    <xf numFmtId="178" fontId="25" fillId="0" borderId="14" xfId="0" applyNumberFormat="1" applyFont="1" applyBorder="1" applyAlignment="1">
      <alignment horizontal="left" vertical="top" wrapText="1"/>
    </xf>
    <xf numFmtId="0" fontId="27" fillId="0" borderId="18" xfId="0" applyFont="1" applyBorder="1" applyAlignment="1">
      <alignment horizontal="justify" vertical="top" wrapText="1"/>
    </xf>
    <xf numFmtId="0" fontId="27" fillId="0" borderId="15" xfId="0" applyFont="1" applyBorder="1" applyAlignment="1">
      <alignment horizontal="justify" vertical="top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4" fillId="0" borderId="25" xfId="22" applyFont="1" applyFill="1" applyBorder="1" applyAlignment="1">
      <alignment horizontal="center" vertical="center" wrapText="1"/>
    </xf>
    <xf numFmtId="0" fontId="34" fillId="0" borderId="10" xfId="22" applyFont="1" applyFill="1" applyBorder="1" applyAlignment="1">
      <alignment vertical="center" wrapText="1"/>
    </xf>
    <xf numFmtId="0" fontId="34" fillId="0" borderId="10" xfId="22" applyFont="1" applyFill="1" applyBorder="1" applyAlignment="1">
      <alignment horizontal="center" vertical="center" wrapText="1"/>
    </xf>
    <xf numFmtId="0" fontId="34" fillId="0" borderId="26" xfId="22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4" fillId="0" borderId="10" xfId="22" applyFont="1" applyFill="1" applyBorder="1" applyAlignment="1">
      <alignment vertical="center" wrapText="1"/>
    </xf>
    <xf numFmtId="0" fontId="34" fillId="0" borderId="10" xfId="22" applyFont="1" applyFill="1" applyBorder="1" applyAlignment="1">
      <alignment horizontal="center" vertical="center" wrapText="1"/>
    </xf>
    <xf numFmtId="0" fontId="34" fillId="0" borderId="26" xfId="22" applyFont="1" applyFill="1" applyBorder="1" applyAlignment="1">
      <alignment vertical="center" wrapText="1"/>
    </xf>
    <xf numFmtId="0" fontId="0" fillId="0" borderId="2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0</xdr:row>
      <xdr:rowOff>12065</xdr:rowOff>
    </xdr:from>
    <xdr:to>
      <xdr:col>6</xdr:col>
      <xdr:colOff>287655</xdr:colOff>
      <xdr:row>24</xdr:row>
      <xdr:rowOff>115570</xdr:rowOff>
    </xdr:to>
    <xdr:pic>
      <xdr:nvPicPr>
        <xdr:cNvPr id="2" name="图片 1" descr="7a84096c8610778a9c1ea66324f940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" y="12065"/>
          <a:ext cx="3335655" cy="444690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25</xdr:row>
      <xdr:rowOff>153035</xdr:rowOff>
    </xdr:from>
    <xdr:to>
      <xdr:col>6</xdr:col>
      <xdr:colOff>365125</xdr:colOff>
      <xdr:row>46</xdr:row>
      <xdr:rowOff>120650</xdr:rowOff>
    </xdr:to>
    <xdr:pic>
      <xdr:nvPicPr>
        <xdr:cNvPr id="3" name="图片 2" descr="bb7fe07c87e5ff4e20449d66e1d48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175" y="4677410"/>
          <a:ext cx="3460750" cy="37680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CS1-JA-084&#26686;&#24029;&#23665;&#27700;&#25991;&#33489;2023&#24180;&#24230;11&#26376;&#38646;&#26143;&#24037;&#31243;&#21512;&#21516;&#32467;&#31639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资料存档目录"/>
      <sheetName val="3、结算汇总表"/>
      <sheetName val="4 、结算明细表"/>
      <sheetName val="Sheet1"/>
    </sheetNames>
    <sheetDataSet>
      <sheetData sheetId="0"/>
      <sheetData sheetId="1"/>
      <sheetData sheetId="2"/>
      <sheetData sheetId="3">
        <row r="33">
          <cell r="G33">
            <v>297.26</v>
          </cell>
        </row>
        <row r="43">
          <cell r="C43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opLeftCell="A18" workbookViewId="0">
      <selection activeCell="J14" sqref="J14"/>
    </sheetView>
  </sheetViews>
  <sheetFormatPr defaultColWidth="9" defaultRowHeight="14.25"/>
  <cols>
    <col min="1" max="1" width="6.375" style="163" customWidth="1"/>
    <col min="2" max="2" width="40.25" style="57" customWidth="1"/>
    <col min="3" max="3" width="8.875" style="163" customWidth="1"/>
    <col min="4" max="4" width="9.625" style="163" customWidth="1"/>
    <col min="5" max="5" width="11" style="57" customWidth="1"/>
    <col min="6" max="6" width="7.25" style="164" customWidth="1"/>
    <col min="7" max="7" width="8.5" style="57" customWidth="1"/>
    <col min="8" max="10" width="9" style="57"/>
    <col min="11" max="11" width="46.125" style="57" customWidth="1"/>
    <col min="12" max="12" width="9" style="57"/>
  </cols>
  <sheetData>
    <row r="1" ht="68" customHeight="1" spans="1:9">
      <c r="A1" s="165" t="s">
        <v>0</v>
      </c>
      <c r="B1" s="165"/>
      <c r="C1" s="165"/>
      <c r="D1" s="165"/>
      <c r="E1" s="165"/>
      <c r="F1" s="165"/>
      <c r="G1" s="166"/>
      <c r="H1" s="166"/>
      <c r="I1" s="166"/>
    </row>
    <row r="2" ht="30.75" customHeight="1" spans="1:6">
      <c r="A2" s="167" t="s">
        <v>1</v>
      </c>
      <c r="B2" s="168" t="s">
        <v>2</v>
      </c>
      <c r="C2" s="168" t="s">
        <v>3</v>
      </c>
      <c r="D2" s="168" t="s">
        <v>4</v>
      </c>
      <c r="E2" s="168" t="s">
        <v>5</v>
      </c>
      <c r="F2" s="169" t="s">
        <v>6</v>
      </c>
    </row>
    <row r="3" s="159" customFormat="1" ht="28" customHeight="1" spans="1:12">
      <c r="A3" s="170">
        <v>1</v>
      </c>
      <c r="B3" s="171" t="s">
        <v>7</v>
      </c>
      <c r="C3" s="172" t="s">
        <v>8</v>
      </c>
      <c r="D3" s="172" t="s">
        <v>9</v>
      </c>
      <c r="E3" s="171" t="s">
        <v>10</v>
      </c>
      <c r="F3" s="173"/>
      <c r="G3" s="174"/>
      <c r="H3" s="174"/>
      <c r="I3" s="174"/>
      <c r="J3" s="174"/>
      <c r="K3" s="174"/>
      <c r="L3" s="174"/>
    </row>
    <row r="4" s="159" customFormat="1" ht="28" customHeight="1" spans="1:12">
      <c r="A4" s="170">
        <v>2</v>
      </c>
      <c r="B4" s="171" t="s">
        <v>11</v>
      </c>
      <c r="C4" s="172" t="s">
        <v>8</v>
      </c>
      <c r="D4" s="172" t="s">
        <v>12</v>
      </c>
      <c r="E4" s="171" t="s">
        <v>10</v>
      </c>
      <c r="F4" s="173"/>
      <c r="G4" s="174"/>
      <c r="H4" s="174"/>
      <c r="I4" s="174"/>
      <c r="J4" s="174"/>
      <c r="K4" s="174"/>
      <c r="L4" s="174"/>
    </row>
    <row r="5" s="159" customFormat="1" ht="28" customHeight="1" spans="1:12">
      <c r="A5" s="170">
        <v>3</v>
      </c>
      <c r="B5" s="171" t="s">
        <v>13</v>
      </c>
      <c r="C5" s="172" t="s">
        <v>8</v>
      </c>
      <c r="D5" s="172" t="s">
        <v>14</v>
      </c>
      <c r="E5" s="171" t="s">
        <v>10</v>
      </c>
      <c r="F5" s="173"/>
      <c r="G5" s="174"/>
      <c r="H5" s="174"/>
      <c r="I5" s="174"/>
      <c r="J5" s="174"/>
      <c r="K5" s="174"/>
      <c r="L5" s="174"/>
    </row>
    <row r="6" s="159" customFormat="1" ht="27" customHeight="1" spans="1:12">
      <c r="A6" s="170">
        <v>4</v>
      </c>
      <c r="B6" s="171" t="s">
        <v>15</v>
      </c>
      <c r="C6" s="172" t="s">
        <v>8</v>
      </c>
      <c r="D6" s="172" t="s">
        <v>16</v>
      </c>
      <c r="E6" s="171" t="s">
        <v>10</v>
      </c>
      <c r="F6" s="173"/>
      <c r="G6" s="174"/>
      <c r="H6" s="174"/>
      <c r="I6" s="174"/>
      <c r="J6" s="174"/>
      <c r="K6" s="174"/>
      <c r="L6" s="174"/>
    </row>
    <row r="7" s="159" customFormat="1" ht="27" customHeight="1" spans="1:12">
      <c r="A7" s="170">
        <v>5</v>
      </c>
      <c r="B7" s="171" t="s">
        <v>17</v>
      </c>
      <c r="C7" s="172" t="s">
        <v>8</v>
      </c>
      <c r="D7" s="172" t="s">
        <v>18</v>
      </c>
      <c r="E7" s="171" t="s">
        <v>10</v>
      </c>
      <c r="F7" s="173"/>
      <c r="G7" s="174"/>
      <c r="H7" s="174"/>
      <c r="I7" s="174"/>
      <c r="J7" s="174"/>
      <c r="K7" s="174"/>
      <c r="L7" s="174"/>
    </row>
    <row r="8" s="159" customFormat="1" ht="32.1" customHeight="1" spans="1:12">
      <c r="A8" s="170">
        <v>6</v>
      </c>
      <c r="B8" s="171" t="s">
        <v>19</v>
      </c>
      <c r="C8" s="172" t="s">
        <v>8</v>
      </c>
      <c r="D8" s="172" t="s">
        <v>20</v>
      </c>
      <c r="E8" s="171" t="s">
        <v>10</v>
      </c>
      <c r="F8" s="173"/>
      <c r="G8" s="175"/>
      <c r="H8" s="174"/>
      <c r="I8" s="174"/>
      <c r="J8" s="174"/>
      <c r="K8" s="174"/>
      <c r="L8" s="174"/>
    </row>
    <row r="9" s="159" customFormat="1" ht="32.1" customHeight="1" spans="1:12">
      <c r="A9" s="170">
        <v>7</v>
      </c>
      <c r="B9" s="171" t="s">
        <v>21</v>
      </c>
      <c r="C9" s="172" t="s">
        <v>8</v>
      </c>
      <c r="D9" s="172" t="s">
        <v>22</v>
      </c>
      <c r="E9" s="171" t="s">
        <v>10</v>
      </c>
      <c r="F9" s="173"/>
      <c r="G9" s="175"/>
      <c r="H9" s="174"/>
      <c r="I9" s="174"/>
      <c r="J9" s="174"/>
      <c r="K9" s="174"/>
      <c r="L9" s="174"/>
    </row>
    <row r="10" s="160" customFormat="1" ht="32.1" customHeight="1" spans="1:12">
      <c r="A10" s="170">
        <v>8</v>
      </c>
      <c r="B10" s="171" t="s">
        <v>23</v>
      </c>
      <c r="C10" s="172" t="s">
        <v>8</v>
      </c>
      <c r="D10" s="172" t="s">
        <v>24</v>
      </c>
      <c r="E10" s="171" t="s">
        <v>10</v>
      </c>
      <c r="F10" s="173"/>
      <c r="G10" s="176"/>
      <c r="H10" s="177"/>
      <c r="I10" s="189"/>
      <c r="J10" s="189"/>
      <c r="K10" s="189"/>
      <c r="L10" s="189"/>
    </row>
    <row r="11" s="161" customFormat="1" ht="32.1" customHeight="1" spans="1:12">
      <c r="A11" s="170">
        <v>9</v>
      </c>
      <c r="B11" s="171" t="s">
        <v>25</v>
      </c>
      <c r="C11" s="172" t="s">
        <v>26</v>
      </c>
      <c r="D11" s="172" t="s">
        <v>27</v>
      </c>
      <c r="E11" s="171" t="s">
        <v>10</v>
      </c>
      <c r="F11" s="173"/>
      <c r="G11" s="178"/>
      <c r="H11" s="179"/>
      <c r="I11" s="190"/>
      <c r="J11" s="190"/>
      <c r="K11" s="190"/>
      <c r="L11" s="190"/>
    </row>
    <row r="12" s="161" customFormat="1" ht="32.1" customHeight="1" spans="1:12">
      <c r="A12" s="170">
        <v>10</v>
      </c>
      <c r="B12" s="171" t="s">
        <v>28</v>
      </c>
      <c r="C12" s="172" t="s">
        <v>8</v>
      </c>
      <c r="D12" s="172" t="s">
        <v>29</v>
      </c>
      <c r="E12" s="171" t="s">
        <v>10</v>
      </c>
      <c r="F12" s="173"/>
      <c r="G12" s="178"/>
      <c r="H12" s="179"/>
      <c r="I12" s="190"/>
      <c r="J12" s="190"/>
      <c r="K12" s="190"/>
      <c r="L12" s="190"/>
    </row>
    <row r="13" s="161" customFormat="1" ht="32.1" customHeight="1" spans="1:12">
      <c r="A13" s="170">
        <v>11</v>
      </c>
      <c r="B13" s="171" t="s">
        <v>30</v>
      </c>
      <c r="C13" s="172" t="s">
        <v>8</v>
      </c>
      <c r="D13" s="172" t="s">
        <v>31</v>
      </c>
      <c r="E13" s="171" t="s">
        <v>10</v>
      </c>
      <c r="F13" s="173"/>
      <c r="G13" s="178"/>
      <c r="H13" s="179"/>
      <c r="I13" s="190"/>
      <c r="J13" s="190"/>
      <c r="K13" s="190"/>
      <c r="L13" s="190"/>
    </row>
    <row r="14" s="161" customFormat="1" ht="32.1" customHeight="1" spans="1:12">
      <c r="A14" s="170">
        <v>12</v>
      </c>
      <c r="B14" s="171" t="s">
        <v>32</v>
      </c>
      <c r="C14" s="172" t="s">
        <v>26</v>
      </c>
      <c r="D14" s="172" t="s">
        <v>33</v>
      </c>
      <c r="E14" s="171" t="s">
        <v>10</v>
      </c>
      <c r="F14" s="173"/>
      <c r="G14" s="178"/>
      <c r="H14" s="179"/>
      <c r="I14" s="190"/>
      <c r="J14" s="190"/>
      <c r="K14" s="190"/>
      <c r="L14" s="190"/>
    </row>
    <row r="15" s="162" customFormat="1" ht="33" customHeight="1" spans="1:12">
      <c r="A15" s="170">
        <v>13</v>
      </c>
      <c r="B15" s="171" t="s">
        <v>34</v>
      </c>
      <c r="C15" s="172" t="s">
        <v>35</v>
      </c>
      <c r="D15" s="172" t="s">
        <v>36</v>
      </c>
      <c r="E15" s="171" t="s">
        <v>10</v>
      </c>
      <c r="F15" s="173"/>
      <c r="G15" s="178"/>
      <c r="H15" s="179"/>
      <c r="I15" s="179"/>
      <c r="J15" s="179"/>
      <c r="K15" s="179"/>
      <c r="L15" s="179"/>
    </row>
    <row r="16" s="162" customFormat="1" ht="33" customHeight="1" spans="1:12">
      <c r="A16" s="170">
        <v>14</v>
      </c>
      <c r="B16" s="180" t="s">
        <v>37</v>
      </c>
      <c r="C16" s="181" t="s">
        <v>38</v>
      </c>
      <c r="D16" s="181"/>
      <c r="E16" s="180"/>
      <c r="F16" s="182"/>
      <c r="G16" s="178"/>
      <c r="H16" s="179"/>
      <c r="I16" s="179"/>
      <c r="J16" s="179"/>
      <c r="K16" s="179"/>
      <c r="L16" s="179"/>
    </row>
    <row r="17" s="162" customFormat="1" ht="33" customHeight="1" spans="1:12">
      <c r="A17" s="170">
        <v>15</v>
      </c>
      <c r="B17" s="180" t="s">
        <v>39</v>
      </c>
      <c r="C17" s="181" t="s">
        <v>38</v>
      </c>
      <c r="D17" s="181"/>
      <c r="E17" s="180"/>
      <c r="F17" s="182"/>
      <c r="G17" s="178"/>
      <c r="H17" s="179"/>
      <c r="I17" s="179"/>
      <c r="J17" s="179"/>
      <c r="K17" s="179"/>
      <c r="L17" s="179"/>
    </row>
    <row r="18" s="162" customFormat="1" ht="33" customHeight="1" spans="1:12">
      <c r="A18" s="170">
        <v>16</v>
      </c>
      <c r="B18" s="180" t="s">
        <v>40</v>
      </c>
      <c r="C18" s="181" t="s">
        <v>38</v>
      </c>
      <c r="D18" s="181"/>
      <c r="E18" s="180"/>
      <c r="F18" s="182"/>
      <c r="G18" s="178"/>
      <c r="H18" s="179"/>
      <c r="I18" s="179"/>
      <c r="J18" s="179"/>
      <c r="K18" s="179"/>
      <c r="L18" s="179"/>
    </row>
    <row r="19" ht="33.95" customHeight="1" spans="1:6">
      <c r="A19" s="183" t="s">
        <v>41</v>
      </c>
      <c r="B19" s="184"/>
      <c r="C19" s="184" t="s">
        <v>42</v>
      </c>
      <c r="D19" s="184"/>
      <c r="E19" s="184"/>
      <c r="F19" s="185"/>
    </row>
    <row r="20" ht="33.95" customHeight="1" spans="1:6">
      <c r="A20" s="186"/>
      <c r="B20" s="187"/>
      <c r="C20" s="187"/>
      <c r="D20" s="187"/>
      <c r="E20" s="187"/>
      <c r="F20" s="188"/>
    </row>
    <row r="35" ht="43.5" customHeight="1"/>
  </sheetData>
  <mergeCells count="3">
    <mergeCell ref="A1:F1"/>
    <mergeCell ref="A19:B20"/>
    <mergeCell ref="C19:F20"/>
  </mergeCells>
  <pageMargins left="0.550694444444444" right="0.590277777777778" top="0.393055555555556" bottom="0.393055555555556" header="0.511805555555556" footer="0.511805555555556"/>
  <pageSetup paperSize="9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9" defaultRowHeight="14.25"/>
  <sheetData/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6" workbookViewId="0">
      <selection activeCell="M30" sqref="M30"/>
    </sheetView>
  </sheetViews>
  <sheetFormatPr defaultColWidth="9" defaultRowHeight="14.25" outlineLevelCol="7"/>
  <cols>
    <col min="3" max="3" width="3.25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22" t="s">
        <v>43</v>
      </c>
      <c r="B1" s="122"/>
      <c r="C1" s="122"/>
      <c r="D1" s="122"/>
      <c r="E1" s="122"/>
      <c r="F1" s="122"/>
      <c r="G1" s="122"/>
      <c r="H1" s="122"/>
    </row>
    <row r="2" ht="31.9" customHeight="1" spans="1:8">
      <c r="A2" s="123" t="s">
        <v>44</v>
      </c>
      <c r="B2" s="123"/>
      <c r="C2" s="123"/>
      <c r="D2" s="123"/>
      <c r="E2" s="123"/>
      <c r="F2" s="123"/>
      <c r="G2" s="123"/>
      <c r="H2" s="123"/>
    </row>
    <row r="3" ht="23.25" customHeight="1" spans="1:8">
      <c r="A3" s="123" t="s">
        <v>45</v>
      </c>
      <c r="B3" s="123"/>
      <c r="C3" s="123"/>
      <c r="D3" s="123"/>
      <c r="E3" s="123"/>
      <c r="F3" s="123"/>
      <c r="G3" s="123"/>
      <c r="H3" s="123"/>
    </row>
    <row r="4" ht="25.5" customHeight="1" spans="1:8">
      <c r="A4" s="123" t="s">
        <v>46</v>
      </c>
      <c r="B4" s="123"/>
      <c r="C4" s="123"/>
      <c r="D4" s="123"/>
      <c r="E4" s="123"/>
      <c r="F4" s="123"/>
      <c r="G4" s="123"/>
      <c r="H4" s="123"/>
    </row>
    <row r="5" ht="30" customHeight="1" spans="1:8">
      <c r="A5" s="124" t="s">
        <v>47</v>
      </c>
      <c r="B5" s="124"/>
      <c r="C5" s="124"/>
      <c r="D5" s="124"/>
      <c r="E5" s="124"/>
      <c r="F5" s="124"/>
      <c r="G5" s="124"/>
      <c r="H5" s="124"/>
    </row>
    <row r="6" ht="20.25" customHeight="1" spans="1:8">
      <c r="A6" s="125" t="s">
        <v>1</v>
      </c>
      <c r="B6" s="126" t="s">
        <v>48</v>
      </c>
      <c r="C6" s="127"/>
      <c r="D6" s="128"/>
      <c r="E6" s="128" t="s">
        <v>49</v>
      </c>
      <c r="F6" s="128" t="s">
        <v>50</v>
      </c>
      <c r="G6" s="128" t="s">
        <v>51</v>
      </c>
      <c r="H6" s="128" t="s">
        <v>52</v>
      </c>
    </row>
    <row r="7" ht="20.25" customHeight="1" spans="1:8">
      <c r="A7" s="129" t="s">
        <v>53</v>
      </c>
      <c r="B7" s="130" t="s">
        <v>54</v>
      </c>
      <c r="C7" s="131"/>
      <c r="D7" s="132"/>
      <c r="E7" s="133">
        <f>E8+E9+E10+E11</f>
        <v>0</v>
      </c>
      <c r="F7" s="133">
        <v>0</v>
      </c>
      <c r="G7" s="133">
        <f>G8+G9+G10+G11</f>
        <v>0</v>
      </c>
      <c r="H7" s="134">
        <f>H8+H10+H11+H12</f>
        <v>1008800</v>
      </c>
    </row>
    <row r="8" ht="20.25" customHeight="1" spans="1:8">
      <c r="A8" s="135">
        <v>1.1</v>
      </c>
      <c r="B8" s="136" t="s">
        <v>55</v>
      </c>
      <c r="C8" s="137"/>
      <c r="D8" s="138"/>
      <c r="E8" s="133">
        <v>0</v>
      </c>
      <c r="F8" s="133">
        <v>0</v>
      </c>
      <c r="G8" s="133">
        <v>0</v>
      </c>
      <c r="H8" s="134">
        <f>'4、各月结算汇总'!G36</f>
        <v>1008895.27</v>
      </c>
    </row>
    <row r="9" ht="20.25" customHeight="1" spans="1:8">
      <c r="A9" s="135">
        <v>1.2</v>
      </c>
      <c r="B9" s="136" t="s">
        <v>56</v>
      </c>
      <c r="C9" s="137"/>
      <c r="D9" s="138"/>
      <c r="E9" s="133">
        <v>0</v>
      </c>
      <c r="F9" s="133">
        <v>0</v>
      </c>
      <c r="G9" s="133">
        <v>0</v>
      </c>
      <c r="H9" s="133"/>
    </row>
    <row r="10" ht="20.25" customHeight="1" spans="1:8">
      <c r="A10" s="135">
        <v>1.3</v>
      </c>
      <c r="B10" s="136" t="s">
        <v>57</v>
      </c>
      <c r="C10" s="137"/>
      <c r="D10" s="138"/>
      <c r="E10" s="133">
        <v>0</v>
      </c>
      <c r="F10" s="133">
        <v>0</v>
      </c>
      <c r="G10" s="133">
        <v>0</v>
      </c>
      <c r="H10" s="133"/>
    </row>
    <row r="11" ht="20.25" customHeight="1" spans="1:8">
      <c r="A11" s="135">
        <v>1.4</v>
      </c>
      <c r="B11" s="136" t="s">
        <v>58</v>
      </c>
      <c r="C11" s="137"/>
      <c r="D11" s="138"/>
      <c r="E11" s="133">
        <v>0</v>
      </c>
      <c r="F11" s="133">
        <v>0</v>
      </c>
      <c r="G11" s="133">
        <v>0</v>
      </c>
      <c r="H11" s="134"/>
    </row>
    <row r="12" ht="20.25" customHeight="1" spans="1:8">
      <c r="A12" s="135">
        <v>1.5</v>
      </c>
      <c r="B12" s="136" t="s">
        <v>59</v>
      </c>
      <c r="C12" s="137"/>
      <c r="D12" s="138"/>
      <c r="E12" s="139"/>
      <c r="F12" s="140"/>
      <c r="G12" s="133"/>
      <c r="H12" s="134">
        <f>'4、各月结算汇总'!G37-'4、各月结算汇总'!G36</f>
        <v>-95.27</v>
      </c>
    </row>
    <row r="13" ht="20.25" customHeight="1" spans="1:8">
      <c r="A13" s="129" t="s">
        <v>60</v>
      </c>
      <c r="B13" s="130" t="s">
        <v>61</v>
      </c>
      <c r="C13" s="131"/>
      <c r="D13" s="132"/>
      <c r="E13" s="136">
        <v>0</v>
      </c>
      <c r="F13" s="138"/>
      <c r="G13" s="133">
        <v>0</v>
      </c>
      <c r="H13" s="133">
        <v>0</v>
      </c>
    </row>
    <row r="14" ht="20.25" customHeight="1" spans="1:8">
      <c r="A14" s="135">
        <v>2.1</v>
      </c>
      <c r="B14" s="136" t="s">
        <v>62</v>
      </c>
      <c r="C14" s="137"/>
      <c r="D14" s="138"/>
      <c r="E14" s="136">
        <v>0</v>
      </c>
      <c r="F14" s="138"/>
      <c r="G14" s="133">
        <v>0</v>
      </c>
      <c r="H14" s="133">
        <v>0</v>
      </c>
    </row>
    <row r="15" ht="20.25" customHeight="1" spans="1:8">
      <c r="A15" s="135">
        <v>2.2</v>
      </c>
      <c r="B15" s="136" t="s">
        <v>62</v>
      </c>
      <c r="C15" s="137"/>
      <c r="D15" s="138"/>
      <c r="E15" s="136">
        <v>0</v>
      </c>
      <c r="F15" s="138"/>
      <c r="G15" s="133">
        <v>0</v>
      </c>
      <c r="H15" s="133">
        <v>0</v>
      </c>
    </row>
    <row r="16" ht="20.25" customHeight="1" spans="1:8">
      <c r="A16" s="141" t="s">
        <v>63</v>
      </c>
      <c r="B16" s="142" t="s">
        <v>64</v>
      </c>
      <c r="C16" s="143"/>
      <c r="D16" s="133" t="s">
        <v>65</v>
      </c>
      <c r="E16" s="144">
        <f>H7</f>
        <v>1008800</v>
      </c>
      <c r="F16" s="145"/>
      <c r="G16" s="145"/>
      <c r="H16" s="146"/>
    </row>
    <row r="17" ht="20.25" customHeight="1" spans="1:8">
      <c r="A17" s="129"/>
      <c r="B17" s="147"/>
      <c r="C17" s="148"/>
      <c r="D17" s="149" t="s">
        <v>66</v>
      </c>
      <c r="E17" s="150">
        <f>E16</f>
        <v>1008800</v>
      </c>
      <c r="F17" s="151"/>
      <c r="G17" s="151"/>
      <c r="H17" s="152"/>
    </row>
    <row r="18" ht="20.25" customHeight="1" spans="1:8">
      <c r="A18" s="129" t="s">
        <v>67</v>
      </c>
      <c r="B18" s="130" t="s">
        <v>68</v>
      </c>
      <c r="C18" s="131"/>
      <c r="D18" s="132"/>
      <c r="E18" s="136">
        <v>0</v>
      </c>
      <c r="F18" s="137"/>
      <c r="G18" s="137"/>
      <c r="H18" s="138"/>
    </row>
    <row r="19" ht="20.25" customHeight="1" spans="1:8">
      <c r="A19" s="135">
        <v>4.1</v>
      </c>
      <c r="B19" s="136" t="s">
        <v>69</v>
      </c>
      <c r="C19" s="137"/>
      <c r="D19" s="138"/>
      <c r="E19" s="136">
        <v>0</v>
      </c>
      <c r="F19" s="137"/>
      <c r="G19" s="137"/>
      <c r="H19" s="138"/>
    </row>
    <row r="20" ht="20.25" customHeight="1" spans="1:8">
      <c r="A20" s="135">
        <v>4.2</v>
      </c>
      <c r="B20" s="136" t="s">
        <v>70</v>
      </c>
      <c r="C20" s="137"/>
      <c r="D20" s="138"/>
      <c r="E20" s="136">
        <v>0</v>
      </c>
      <c r="F20" s="137"/>
      <c r="G20" s="137"/>
      <c r="H20" s="138"/>
    </row>
    <row r="21" ht="20.25" customHeight="1" spans="1:8">
      <c r="A21" s="129" t="s">
        <v>71</v>
      </c>
      <c r="B21" s="130" t="s">
        <v>72</v>
      </c>
      <c r="C21" s="131"/>
      <c r="D21" s="132"/>
      <c r="E21" s="136">
        <v>0</v>
      </c>
      <c r="F21" s="137"/>
      <c r="G21" s="137"/>
      <c r="H21" s="138"/>
    </row>
    <row r="22" ht="20.25" customHeight="1" spans="1:8">
      <c r="A22" s="135">
        <v>5.1</v>
      </c>
      <c r="B22" s="136" t="s">
        <v>73</v>
      </c>
      <c r="C22" s="137"/>
      <c r="D22" s="138"/>
      <c r="E22" s="136" t="s">
        <v>74</v>
      </c>
      <c r="F22" s="137"/>
      <c r="G22" s="137"/>
      <c r="H22" s="138"/>
    </row>
    <row r="23" ht="20.25" customHeight="1" spans="1:8">
      <c r="A23" s="135">
        <v>5.2</v>
      </c>
      <c r="B23" s="136" t="s">
        <v>75</v>
      </c>
      <c r="C23" s="137"/>
      <c r="D23" s="138"/>
      <c r="E23" s="136" t="s">
        <v>74</v>
      </c>
      <c r="F23" s="137"/>
      <c r="G23" s="137"/>
      <c r="H23" s="138"/>
    </row>
    <row r="24" ht="20.25" customHeight="1" spans="1:8">
      <c r="A24" s="141" t="s">
        <v>76</v>
      </c>
      <c r="B24" s="153" t="s">
        <v>77</v>
      </c>
      <c r="C24" s="136" t="s">
        <v>65</v>
      </c>
      <c r="D24" s="138"/>
      <c r="E24" s="144">
        <f>E16</f>
        <v>1008800</v>
      </c>
      <c r="F24" s="137"/>
      <c r="G24" s="137"/>
      <c r="H24" s="138"/>
    </row>
    <row r="25" ht="20.25" customHeight="1" spans="1:8">
      <c r="A25" s="129"/>
      <c r="B25" s="154"/>
      <c r="C25" s="136" t="s">
        <v>66</v>
      </c>
      <c r="D25" s="138"/>
      <c r="E25" s="150">
        <f>E17</f>
        <v>1008800</v>
      </c>
      <c r="F25" s="151"/>
      <c r="G25" s="151"/>
      <c r="H25" s="152"/>
    </row>
    <row r="26" ht="20.25" customHeight="1" spans="1:8">
      <c r="A26" s="141" t="s">
        <v>78</v>
      </c>
      <c r="B26" s="153" t="s">
        <v>79</v>
      </c>
      <c r="C26" s="136" t="s">
        <v>65</v>
      </c>
      <c r="D26" s="138"/>
      <c r="E26" s="144">
        <f>E24</f>
        <v>1008800</v>
      </c>
      <c r="F26" s="137"/>
      <c r="G26" s="137"/>
      <c r="H26" s="138"/>
    </row>
    <row r="27" ht="20.25" customHeight="1" spans="1:8">
      <c r="A27" s="129"/>
      <c r="B27" s="154"/>
      <c r="C27" s="136" t="s">
        <v>66</v>
      </c>
      <c r="D27" s="138"/>
      <c r="E27" s="150">
        <f>E17</f>
        <v>1008800</v>
      </c>
      <c r="F27" s="151"/>
      <c r="G27" s="151"/>
      <c r="H27" s="152"/>
    </row>
    <row r="28" spans="1:8">
      <c r="A28" s="155"/>
      <c r="B28" s="155"/>
      <c r="C28" s="155"/>
      <c r="D28" s="155"/>
      <c r="E28" s="155"/>
      <c r="F28" s="155"/>
      <c r="G28" s="155"/>
      <c r="H28" s="155"/>
    </row>
    <row r="29" spans="1:8">
      <c r="A29" s="156" t="s">
        <v>80</v>
      </c>
      <c r="B29" s="156"/>
      <c r="C29" s="156"/>
      <c r="D29" s="156"/>
      <c r="E29" s="156"/>
      <c r="F29" s="156"/>
      <c r="G29" s="156"/>
      <c r="H29" s="156"/>
    </row>
    <row r="30" spans="1:1">
      <c r="A30" s="157"/>
    </row>
    <row r="31" spans="1:1">
      <c r="A31" s="157"/>
    </row>
    <row r="32" spans="1:8">
      <c r="A32" s="156" t="s">
        <v>81</v>
      </c>
      <c r="B32" s="156"/>
      <c r="C32" s="156"/>
      <c r="D32" s="156"/>
      <c r="E32" s="156"/>
      <c r="F32" s="156"/>
      <c r="G32" s="156"/>
      <c r="H32" s="156"/>
    </row>
    <row r="33" spans="1:1">
      <c r="A33" s="157"/>
    </row>
    <row r="34" ht="27" customHeight="1" spans="1:8">
      <c r="A34" s="158"/>
      <c r="B34" s="158"/>
      <c r="C34" s="158"/>
      <c r="D34" s="158"/>
      <c r="E34" s="158"/>
      <c r="F34" s="158"/>
      <c r="G34" s="158"/>
      <c r="H34" s="158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N19" sqref="N19"/>
    </sheetView>
  </sheetViews>
  <sheetFormatPr defaultColWidth="9" defaultRowHeight="14.25" outlineLevelCol="7"/>
  <cols>
    <col min="1" max="1" width="3.625" style="1" customWidth="1"/>
    <col min="2" max="2" width="10.75" customWidth="1"/>
    <col min="3" max="3" width="13.75" customWidth="1"/>
    <col min="4" max="4" width="4.25" style="57" customWidth="1"/>
    <col min="5" max="5" width="5.375" customWidth="1"/>
    <col min="6" max="6" width="7.375" customWidth="1"/>
    <col min="7" max="7" width="11.875" customWidth="1"/>
    <col min="8" max="8" width="24" customWidth="1"/>
  </cols>
  <sheetData>
    <row r="1" ht="30" customHeight="1" spans="1:8">
      <c r="A1" s="58" t="s">
        <v>82</v>
      </c>
      <c r="B1" s="58"/>
      <c r="C1" s="58"/>
      <c r="D1" s="58"/>
      <c r="E1" s="58"/>
      <c r="F1" s="58"/>
      <c r="G1" s="58"/>
      <c r="H1" s="58"/>
    </row>
    <row r="2" ht="24" customHeight="1" spans="1:8">
      <c r="A2" s="82" t="s">
        <v>1</v>
      </c>
      <c r="B2" s="82" t="s">
        <v>48</v>
      </c>
      <c r="C2" s="82" t="s">
        <v>83</v>
      </c>
      <c r="D2" s="82" t="s">
        <v>84</v>
      </c>
      <c r="E2" s="82" t="s">
        <v>85</v>
      </c>
      <c r="F2" s="82" t="s">
        <v>86</v>
      </c>
      <c r="G2" s="82" t="s">
        <v>87</v>
      </c>
      <c r="H2" s="83" t="s">
        <v>6</v>
      </c>
    </row>
    <row r="3" s="1" customFormat="1" spans="1:8">
      <c r="A3" s="100" t="s">
        <v>53</v>
      </c>
      <c r="B3" s="101" t="s">
        <v>88</v>
      </c>
      <c r="C3" s="102"/>
      <c r="D3" s="103" t="s">
        <v>89</v>
      </c>
      <c r="E3" s="100">
        <v>1</v>
      </c>
      <c r="F3" s="100">
        <f>'5 、2023年9月结算明细表'!G43</f>
        <v>542000</v>
      </c>
      <c r="G3" s="100">
        <f>E3*F3</f>
        <v>542000</v>
      </c>
      <c r="H3" s="100"/>
    </row>
    <row r="4" spans="1:8">
      <c r="A4" s="100" t="s">
        <v>60</v>
      </c>
      <c r="B4" s="101" t="s">
        <v>90</v>
      </c>
      <c r="C4" s="102"/>
      <c r="D4" s="103" t="s">
        <v>89</v>
      </c>
      <c r="E4" s="100">
        <v>1</v>
      </c>
      <c r="F4" s="100">
        <f>'6、2023年11月结算明细表'!G46</f>
        <v>259000</v>
      </c>
      <c r="G4" s="100">
        <f>E4*F4</f>
        <v>259000</v>
      </c>
      <c r="H4" s="104"/>
    </row>
    <row r="5" spans="1:8">
      <c r="A5" s="100" t="s">
        <v>63</v>
      </c>
      <c r="B5" s="101" t="s">
        <v>91</v>
      </c>
      <c r="C5" s="102"/>
      <c r="D5" s="103" t="s">
        <v>89</v>
      </c>
      <c r="E5" s="100">
        <v>1</v>
      </c>
      <c r="F5" s="100">
        <v>197000</v>
      </c>
      <c r="G5" s="100">
        <f>E5*F5</f>
        <v>197000</v>
      </c>
      <c r="H5" s="104"/>
    </row>
    <row r="6" spans="1:8">
      <c r="A6" s="100" t="s">
        <v>67</v>
      </c>
      <c r="B6" s="101" t="s">
        <v>92</v>
      </c>
      <c r="C6" s="102"/>
      <c r="D6" s="93"/>
      <c r="E6" s="104"/>
      <c r="F6" s="100"/>
      <c r="G6" s="104"/>
      <c r="H6" s="104"/>
    </row>
    <row r="7" ht="24" spans="1:8">
      <c r="A7" s="100">
        <v>1</v>
      </c>
      <c r="B7" s="103" t="s">
        <v>93</v>
      </c>
      <c r="C7" s="105" t="s">
        <v>94</v>
      </c>
      <c r="D7" s="103" t="s">
        <v>95</v>
      </c>
      <c r="E7" s="100">
        <v>1</v>
      </c>
      <c r="F7" s="100">
        <v>500</v>
      </c>
      <c r="G7" s="100">
        <f t="shared" ref="G7:G20" si="0">F7*E7</f>
        <v>500</v>
      </c>
      <c r="H7" s="104" t="s">
        <v>96</v>
      </c>
    </row>
    <row r="8" spans="1:8">
      <c r="A8" s="100"/>
      <c r="B8" s="103"/>
      <c r="C8" s="105" t="s">
        <v>97</v>
      </c>
      <c r="D8" s="103" t="s">
        <v>95</v>
      </c>
      <c r="E8" s="100">
        <v>1</v>
      </c>
      <c r="F8" s="100">
        <v>100</v>
      </c>
      <c r="G8" s="100">
        <f t="shared" si="0"/>
        <v>100</v>
      </c>
      <c r="H8" s="104" t="s">
        <v>96</v>
      </c>
    </row>
    <row r="9" ht="24" spans="1:8">
      <c r="A9" s="100"/>
      <c r="B9" s="103"/>
      <c r="C9" s="105" t="s">
        <v>98</v>
      </c>
      <c r="D9" s="103" t="s">
        <v>99</v>
      </c>
      <c r="E9" s="100">
        <v>1</v>
      </c>
      <c r="F9" s="100">
        <v>120</v>
      </c>
      <c r="G9" s="100">
        <f t="shared" si="0"/>
        <v>120</v>
      </c>
      <c r="H9" s="104"/>
    </row>
    <row r="10" spans="1:8">
      <c r="A10" s="100"/>
      <c r="B10" s="103"/>
      <c r="C10" s="106" t="s">
        <v>100</v>
      </c>
      <c r="D10" s="103" t="s">
        <v>101</v>
      </c>
      <c r="E10" s="100">
        <v>20</v>
      </c>
      <c r="F10" s="100">
        <v>5</v>
      </c>
      <c r="G10" s="100">
        <f t="shared" si="0"/>
        <v>100</v>
      </c>
      <c r="H10" s="104" t="s">
        <v>96</v>
      </c>
    </row>
    <row r="11" spans="1:8">
      <c r="A11" s="100"/>
      <c r="B11" s="103"/>
      <c r="C11" s="106" t="s">
        <v>102</v>
      </c>
      <c r="D11" s="103" t="s">
        <v>95</v>
      </c>
      <c r="E11" s="100">
        <v>1</v>
      </c>
      <c r="F11" s="100">
        <v>120</v>
      </c>
      <c r="G11" s="100">
        <f t="shared" si="0"/>
        <v>120</v>
      </c>
      <c r="H11" s="104" t="s">
        <v>96</v>
      </c>
    </row>
    <row r="12" spans="1:8">
      <c r="A12" s="100"/>
      <c r="B12" s="103"/>
      <c r="C12" s="106" t="s">
        <v>103</v>
      </c>
      <c r="D12" s="103" t="s">
        <v>104</v>
      </c>
      <c r="E12" s="100">
        <v>1</v>
      </c>
      <c r="F12" s="100">
        <v>120</v>
      </c>
      <c r="G12" s="100">
        <f t="shared" si="0"/>
        <v>120</v>
      </c>
      <c r="H12" s="104" t="s">
        <v>96</v>
      </c>
    </row>
    <row r="13" spans="1:8">
      <c r="A13" s="100"/>
      <c r="B13" s="103"/>
      <c r="C13" s="106" t="s">
        <v>105</v>
      </c>
      <c r="D13" s="103" t="s">
        <v>95</v>
      </c>
      <c r="E13" s="100">
        <v>1</v>
      </c>
      <c r="F13" s="100">
        <v>60</v>
      </c>
      <c r="G13" s="100">
        <f t="shared" si="0"/>
        <v>60</v>
      </c>
      <c r="H13" s="104" t="s">
        <v>96</v>
      </c>
    </row>
    <row r="14" ht="28.5" spans="1:8">
      <c r="A14" s="100"/>
      <c r="B14" s="103"/>
      <c r="C14" s="105" t="s">
        <v>106</v>
      </c>
      <c r="D14" s="103" t="s">
        <v>107</v>
      </c>
      <c r="E14" s="100">
        <v>3</v>
      </c>
      <c r="F14" s="100">
        <v>200</v>
      </c>
      <c r="G14" s="100">
        <f t="shared" si="0"/>
        <v>600</v>
      </c>
      <c r="H14" s="104"/>
    </row>
    <row r="15" spans="1:8">
      <c r="A15" s="107">
        <v>2</v>
      </c>
      <c r="B15" s="108" t="s">
        <v>108</v>
      </c>
      <c r="C15" s="109" t="s">
        <v>109</v>
      </c>
      <c r="D15" s="108" t="s">
        <v>89</v>
      </c>
      <c r="E15" s="104">
        <v>0.3</v>
      </c>
      <c r="F15" s="100">
        <f>12000*1.08</f>
        <v>12960</v>
      </c>
      <c r="G15" s="100">
        <f t="shared" si="0"/>
        <v>3888</v>
      </c>
      <c r="H15" s="105" t="s">
        <v>110</v>
      </c>
    </row>
    <row r="16" spans="1:8">
      <c r="A16" s="110"/>
      <c r="B16" s="111"/>
      <c r="C16" s="112"/>
      <c r="D16" s="111"/>
      <c r="E16" s="104">
        <v>0.7</v>
      </c>
      <c r="F16" s="100">
        <f>12000*1.08</f>
        <v>12960</v>
      </c>
      <c r="G16" s="100">
        <f t="shared" si="0"/>
        <v>9072</v>
      </c>
      <c r="H16" s="105" t="s">
        <v>111</v>
      </c>
    </row>
    <row r="17" ht="16.5" spans="1:8">
      <c r="A17" s="100">
        <v>3</v>
      </c>
      <c r="B17" s="103" t="s">
        <v>112</v>
      </c>
      <c r="C17" s="113" t="s">
        <v>113</v>
      </c>
      <c r="D17" s="82" t="s">
        <v>95</v>
      </c>
      <c r="E17" s="82">
        <v>486</v>
      </c>
      <c r="F17" s="82">
        <v>21</v>
      </c>
      <c r="G17" s="82">
        <f t="shared" si="0"/>
        <v>10206</v>
      </c>
      <c r="H17" s="105" t="s">
        <v>114</v>
      </c>
    </row>
    <row r="18" ht="16.5" spans="1:8">
      <c r="A18" s="100"/>
      <c r="B18" s="103"/>
      <c r="C18" s="113" t="s">
        <v>115</v>
      </c>
      <c r="D18" s="82" t="s">
        <v>95</v>
      </c>
      <c r="E18" s="82">
        <v>486</v>
      </c>
      <c r="F18" s="82">
        <v>3.5</v>
      </c>
      <c r="G18" s="82">
        <f t="shared" si="0"/>
        <v>1701</v>
      </c>
      <c r="H18" s="105" t="s">
        <v>116</v>
      </c>
    </row>
    <row r="19" ht="28.5" spans="1:8">
      <c r="A19" s="100">
        <v>4</v>
      </c>
      <c r="B19" s="103" t="s">
        <v>117</v>
      </c>
      <c r="C19" s="106" t="s">
        <v>118</v>
      </c>
      <c r="D19" s="93" t="s">
        <v>119</v>
      </c>
      <c r="E19" s="104">
        <v>1200</v>
      </c>
      <c r="F19" s="100">
        <f>0.9*1.08</f>
        <v>0.972</v>
      </c>
      <c r="G19" s="82">
        <f t="shared" si="0"/>
        <v>1166.4</v>
      </c>
      <c r="H19" s="105" t="s">
        <v>116</v>
      </c>
    </row>
    <row r="20" spans="1:8">
      <c r="A20" s="107">
        <v>5</v>
      </c>
      <c r="B20" s="108" t="s">
        <v>120</v>
      </c>
      <c r="C20" s="106" t="s">
        <v>121</v>
      </c>
      <c r="D20" s="93" t="s">
        <v>104</v>
      </c>
      <c r="E20" s="104">
        <v>26</v>
      </c>
      <c r="F20" s="100">
        <v>120</v>
      </c>
      <c r="G20" s="82">
        <f t="shared" si="0"/>
        <v>3120</v>
      </c>
      <c r="H20" s="104"/>
    </row>
    <row r="21" ht="16.5" spans="1:8">
      <c r="A21" s="114"/>
      <c r="B21" s="115"/>
      <c r="C21" s="116"/>
      <c r="D21" s="116" t="s">
        <v>122</v>
      </c>
      <c r="E21" s="117">
        <v>0.33</v>
      </c>
      <c r="F21" s="118">
        <f>E21*$G$20</f>
        <v>1029.6</v>
      </c>
      <c r="G21" s="119"/>
      <c r="H21" s="94" t="s">
        <v>123</v>
      </c>
    </row>
    <row r="22" ht="16.5" spans="1:8">
      <c r="A22" s="114"/>
      <c r="B22" s="115"/>
      <c r="C22" s="116"/>
      <c r="D22" s="116"/>
      <c r="E22" s="117">
        <v>0.18</v>
      </c>
      <c r="F22" s="118">
        <f t="shared" ref="F22:F33" si="1">E22*$G$20</f>
        <v>561.6</v>
      </c>
      <c r="G22" s="119"/>
      <c r="H22" s="94" t="s">
        <v>124</v>
      </c>
    </row>
    <row r="23" ht="24" spans="1:8">
      <c r="A23" s="114"/>
      <c r="B23" s="115"/>
      <c r="C23" s="116"/>
      <c r="D23" s="116"/>
      <c r="E23" s="117">
        <v>0.08</v>
      </c>
      <c r="F23" s="118">
        <f t="shared" si="1"/>
        <v>249.6</v>
      </c>
      <c r="G23" s="119"/>
      <c r="H23" s="94" t="s">
        <v>125</v>
      </c>
    </row>
    <row r="24" ht="16.5" spans="1:8">
      <c r="A24" s="114"/>
      <c r="B24" s="115"/>
      <c r="C24" s="116"/>
      <c r="D24" s="116"/>
      <c r="E24" s="117">
        <v>0.08</v>
      </c>
      <c r="F24" s="118">
        <f t="shared" si="1"/>
        <v>249.6</v>
      </c>
      <c r="G24" s="119"/>
      <c r="H24" s="95" t="s">
        <v>126</v>
      </c>
    </row>
    <row r="25" ht="16.5" spans="1:8">
      <c r="A25" s="114"/>
      <c r="B25" s="115"/>
      <c r="C25" s="116"/>
      <c r="D25" s="116"/>
      <c r="E25" s="117">
        <v>0.04</v>
      </c>
      <c r="F25" s="118">
        <f t="shared" si="1"/>
        <v>124.8</v>
      </c>
      <c r="G25" s="119"/>
      <c r="H25" s="94" t="s">
        <v>127</v>
      </c>
    </row>
    <row r="26" ht="16.5" spans="1:8">
      <c r="A26" s="114"/>
      <c r="B26" s="115"/>
      <c r="C26" s="116"/>
      <c r="D26" s="116"/>
      <c r="E26" s="117">
        <v>0.04</v>
      </c>
      <c r="F26" s="118">
        <f t="shared" si="1"/>
        <v>124.8</v>
      </c>
      <c r="G26" s="119"/>
      <c r="H26" s="96" t="s">
        <v>128</v>
      </c>
    </row>
    <row r="27" ht="16.5" spans="1:8">
      <c r="A27" s="114"/>
      <c r="B27" s="115"/>
      <c r="C27" s="116"/>
      <c r="D27" s="116"/>
      <c r="E27" s="117">
        <v>0.06</v>
      </c>
      <c r="F27" s="118">
        <f t="shared" si="1"/>
        <v>187.2</v>
      </c>
      <c r="G27" s="119"/>
      <c r="H27" s="96" t="s">
        <v>129</v>
      </c>
    </row>
    <row r="28" ht="16.5" spans="1:8">
      <c r="A28" s="114"/>
      <c r="B28" s="115"/>
      <c r="C28" s="116"/>
      <c r="D28" s="116"/>
      <c r="E28" s="117">
        <v>0.06</v>
      </c>
      <c r="F28" s="118">
        <f t="shared" si="1"/>
        <v>187.2</v>
      </c>
      <c r="G28" s="119"/>
      <c r="H28" s="97" t="s">
        <v>130</v>
      </c>
    </row>
    <row r="29" ht="16.5" spans="1:8">
      <c r="A29" s="114"/>
      <c r="B29" s="115"/>
      <c r="C29" s="116"/>
      <c r="D29" s="116"/>
      <c r="E29" s="117">
        <v>0.03</v>
      </c>
      <c r="F29" s="118">
        <f t="shared" si="1"/>
        <v>93.6</v>
      </c>
      <c r="G29" s="119"/>
      <c r="H29" s="97" t="s">
        <v>131</v>
      </c>
    </row>
    <row r="30" ht="16.5" spans="1:8">
      <c r="A30" s="114"/>
      <c r="B30" s="115"/>
      <c r="C30" s="116"/>
      <c r="D30" s="116"/>
      <c r="E30" s="117">
        <v>0.03</v>
      </c>
      <c r="F30" s="118">
        <f t="shared" si="1"/>
        <v>93.6</v>
      </c>
      <c r="G30" s="119"/>
      <c r="H30" s="96" t="s">
        <v>132</v>
      </c>
    </row>
    <row r="31" ht="16.5" spans="1:8">
      <c r="A31" s="114"/>
      <c r="B31" s="115"/>
      <c r="C31" s="116"/>
      <c r="D31" s="116"/>
      <c r="E31" s="117">
        <v>0.02</v>
      </c>
      <c r="F31" s="118">
        <f t="shared" si="1"/>
        <v>62.4</v>
      </c>
      <c r="G31" s="119"/>
      <c r="H31" s="96" t="s">
        <v>133</v>
      </c>
    </row>
    <row r="32" ht="16.5" spans="1:8">
      <c r="A32" s="114"/>
      <c r="B32" s="115"/>
      <c r="C32" s="116"/>
      <c r="D32" s="116"/>
      <c r="E32" s="117">
        <v>0.02</v>
      </c>
      <c r="F32" s="118">
        <f t="shared" si="1"/>
        <v>62.4</v>
      </c>
      <c r="G32" s="119"/>
      <c r="H32" s="97" t="s">
        <v>134</v>
      </c>
    </row>
    <row r="33" ht="24" spans="1:8">
      <c r="A33" s="110"/>
      <c r="B33" s="111"/>
      <c r="C33" s="116"/>
      <c r="D33" s="116"/>
      <c r="E33" s="117">
        <v>0.03</v>
      </c>
      <c r="F33" s="118">
        <f t="shared" si="1"/>
        <v>93.6</v>
      </c>
      <c r="G33" s="119"/>
      <c r="H33" s="96" t="s">
        <v>135</v>
      </c>
    </row>
    <row r="34" spans="1:8">
      <c r="A34" s="100" t="s">
        <v>71</v>
      </c>
      <c r="B34" s="104" t="s">
        <v>136</v>
      </c>
      <c r="C34" s="104"/>
      <c r="D34" s="93"/>
      <c r="E34" s="104"/>
      <c r="F34" s="104"/>
      <c r="G34" s="120">
        <f>SUM(G3:G33)</f>
        <v>1028873.4</v>
      </c>
      <c r="H34" s="104"/>
    </row>
    <row r="35" spans="1:8">
      <c r="A35" s="100" t="s">
        <v>76</v>
      </c>
      <c r="B35" s="104" t="s">
        <v>137</v>
      </c>
      <c r="C35" s="104"/>
      <c r="D35" s="93"/>
      <c r="E35" s="104"/>
      <c r="F35" s="104"/>
      <c r="G35" s="120">
        <f>G34/1.03</f>
        <v>998906.21</v>
      </c>
      <c r="H35" s="104"/>
    </row>
    <row r="36" spans="1:8">
      <c r="A36" s="100" t="s">
        <v>78</v>
      </c>
      <c r="B36" s="104" t="s">
        <v>138</v>
      </c>
      <c r="C36" s="121">
        <v>0.01</v>
      </c>
      <c r="D36" s="93"/>
      <c r="E36" s="104"/>
      <c r="F36" s="104"/>
      <c r="G36" s="120">
        <f>G35*1.01</f>
        <v>1008895.27</v>
      </c>
      <c r="H36" s="104"/>
    </row>
    <row r="37" spans="1:8">
      <c r="A37" s="100" t="s">
        <v>139</v>
      </c>
      <c r="B37" s="104" t="s">
        <v>140</v>
      </c>
      <c r="C37" s="104"/>
      <c r="D37" s="93"/>
      <c r="E37" s="104"/>
      <c r="F37" s="104"/>
      <c r="G37" s="100">
        <v>1008800</v>
      </c>
      <c r="H37" s="104"/>
    </row>
    <row r="38" spans="2:6">
      <c r="B38" t="s">
        <v>141</v>
      </c>
      <c r="F38" t="s">
        <v>142</v>
      </c>
    </row>
  </sheetData>
  <mergeCells count="16">
    <mergeCell ref="A1:H1"/>
    <mergeCell ref="B3:C3"/>
    <mergeCell ref="B4:C4"/>
    <mergeCell ref="B5:C5"/>
    <mergeCell ref="B6:C6"/>
    <mergeCell ref="A7:A14"/>
    <mergeCell ref="A15:A16"/>
    <mergeCell ref="A17:A18"/>
    <mergeCell ref="A20:A33"/>
    <mergeCell ref="B7:B14"/>
    <mergeCell ref="B15:B16"/>
    <mergeCell ref="B17:B18"/>
    <mergeCell ref="B20:B33"/>
    <mergeCell ref="C15:C16"/>
    <mergeCell ref="D15:D16"/>
    <mergeCell ref="D21:D3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opLeftCell="A25" workbookViewId="0">
      <selection activeCell="H36" sqref="H36"/>
    </sheetView>
  </sheetViews>
  <sheetFormatPr defaultColWidth="9" defaultRowHeight="14.25"/>
  <cols>
    <col min="1" max="1" width="4.125" style="57" customWidth="1"/>
    <col min="2" max="2" width="9.125" style="57" customWidth="1"/>
    <col min="3" max="3" width="21.375" style="57" customWidth="1"/>
    <col min="4" max="4" width="5.875" style="57" customWidth="1"/>
    <col min="5" max="5" width="8.875" style="57" customWidth="1"/>
    <col min="6" max="6" width="9.125" style="57" customWidth="1"/>
    <col min="7" max="7" width="10.875" style="57" customWidth="1"/>
    <col min="8" max="8" width="20.25" style="57" customWidth="1"/>
    <col min="9" max="15" width="9" style="57"/>
    <col min="16" max="16" width="16.125" style="57" customWidth="1"/>
    <col min="17" max="16384" width="9" style="57"/>
  </cols>
  <sheetData>
    <row r="1" ht="27" customHeight="1" spans="1:8">
      <c r="A1" s="58" t="s">
        <v>143</v>
      </c>
      <c r="B1" s="58"/>
      <c r="C1" s="58"/>
      <c r="D1" s="58"/>
      <c r="E1" s="58"/>
      <c r="F1" s="58"/>
      <c r="G1" s="58"/>
      <c r="H1" s="58"/>
    </row>
    <row r="2" ht="33" customHeight="1" spans="1:8">
      <c r="A2" s="82" t="s">
        <v>1</v>
      </c>
      <c r="B2" s="82" t="s">
        <v>48</v>
      </c>
      <c r="C2" s="82" t="s">
        <v>83</v>
      </c>
      <c r="D2" s="82" t="s">
        <v>84</v>
      </c>
      <c r="E2" s="82" t="s">
        <v>85</v>
      </c>
      <c r="F2" s="82" t="s">
        <v>86</v>
      </c>
      <c r="G2" s="82" t="s">
        <v>87</v>
      </c>
      <c r="H2" s="83" t="s">
        <v>6</v>
      </c>
    </row>
    <row r="3" ht="35" customHeight="1" spans="1:8">
      <c r="A3" s="84">
        <v>1</v>
      </c>
      <c r="B3" s="84" t="s">
        <v>144</v>
      </c>
      <c r="C3" s="85" t="s">
        <v>145</v>
      </c>
      <c r="D3" s="82" t="s">
        <v>146</v>
      </c>
      <c r="E3" s="82">
        <v>1.5</v>
      </c>
      <c r="F3" s="82">
        <v>2200</v>
      </c>
      <c r="G3" s="82">
        <f t="shared" ref="G3:G9" si="0">F3*E3</f>
        <v>3300</v>
      </c>
      <c r="H3" s="86" t="s">
        <v>116</v>
      </c>
    </row>
    <row r="4" ht="35" customHeight="1" spans="1:8">
      <c r="A4" s="87"/>
      <c r="B4" s="87"/>
      <c r="C4" s="85" t="s">
        <v>147</v>
      </c>
      <c r="D4" s="82" t="s">
        <v>148</v>
      </c>
      <c r="E4" s="82">
        <f>计算明细!E9</f>
        <v>4040.99</v>
      </c>
      <c r="F4" s="82">
        <v>31.11</v>
      </c>
      <c r="G4" s="88">
        <f t="shared" si="0"/>
        <v>125715.2</v>
      </c>
      <c r="H4" s="83"/>
    </row>
    <row r="5" ht="35" customHeight="1" spans="1:8">
      <c r="A5" s="87"/>
      <c r="B5" s="87"/>
      <c r="C5" s="85" t="s">
        <v>149</v>
      </c>
      <c r="D5" s="82" t="s">
        <v>148</v>
      </c>
      <c r="E5" s="82">
        <f>E4-320</f>
        <v>3720.99</v>
      </c>
      <c r="F5" s="82">
        <v>8.8</v>
      </c>
      <c r="G5" s="88">
        <f t="shared" si="0"/>
        <v>32744.71</v>
      </c>
      <c r="H5" s="83" t="s">
        <v>150</v>
      </c>
    </row>
    <row r="6" ht="35" customHeight="1" spans="1:8">
      <c r="A6" s="87"/>
      <c r="B6" s="87"/>
      <c r="C6" s="85" t="s">
        <v>151</v>
      </c>
      <c r="D6" s="82" t="s">
        <v>148</v>
      </c>
      <c r="E6" s="82">
        <v>346.45</v>
      </c>
      <c r="F6" s="82">
        <v>31.11</v>
      </c>
      <c r="G6" s="88">
        <f t="shared" si="0"/>
        <v>10778.06</v>
      </c>
      <c r="H6" s="89" t="s">
        <v>152</v>
      </c>
    </row>
    <row r="7" ht="35" customHeight="1" spans="1:8">
      <c r="A7" s="87"/>
      <c r="B7" s="87"/>
      <c r="C7" s="85" t="s">
        <v>153</v>
      </c>
      <c r="D7" s="82" t="s">
        <v>148</v>
      </c>
      <c r="E7" s="82">
        <f>E6</f>
        <v>346.45</v>
      </c>
      <c r="F7" s="82">
        <v>8.8</v>
      </c>
      <c r="G7" s="88">
        <f t="shared" si="0"/>
        <v>3048.76</v>
      </c>
      <c r="H7" s="90"/>
    </row>
    <row r="8" ht="27" customHeight="1" spans="1:17">
      <c r="A8" s="84">
        <v>2</v>
      </c>
      <c r="B8" s="84" t="s">
        <v>154</v>
      </c>
      <c r="C8" s="85" t="s">
        <v>155</v>
      </c>
      <c r="D8" s="82" t="s">
        <v>104</v>
      </c>
      <c r="E8" s="82">
        <f>(9+7+9+7+6+8+8+7+8+10+9+12+12+13+10+7)*10/8</f>
        <v>177.5</v>
      </c>
      <c r="F8" s="82">
        <v>120</v>
      </c>
      <c r="G8" s="88">
        <f t="shared" si="0"/>
        <v>21300</v>
      </c>
      <c r="H8" s="83"/>
      <c r="J8" s="80"/>
      <c r="K8" s="80"/>
      <c r="L8" s="80"/>
      <c r="M8" s="80"/>
      <c r="N8" s="80"/>
      <c r="O8" s="80"/>
      <c r="P8" s="80"/>
      <c r="Q8" s="80"/>
    </row>
    <row r="9" ht="27" customHeight="1" spans="1:17">
      <c r="A9" s="87"/>
      <c r="B9" s="87"/>
      <c r="C9" s="85" t="s">
        <v>156</v>
      </c>
      <c r="D9" s="82" t="s">
        <v>157</v>
      </c>
      <c r="E9" s="82">
        <v>54</v>
      </c>
      <c r="F9" s="82">
        <v>330</v>
      </c>
      <c r="G9" s="88">
        <f t="shared" si="0"/>
        <v>17820</v>
      </c>
      <c r="H9" s="83"/>
      <c r="J9" s="80"/>
      <c r="K9" s="80"/>
      <c r="L9" s="80"/>
      <c r="M9" s="80"/>
      <c r="N9" s="80"/>
      <c r="O9" s="80"/>
      <c r="P9" s="80"/>
      <c r="Q9" s="80"/>
    </row>
    <row r="10" ht="27" customHeight="1" spans="1:17">
      <c r="A10" s="87"/>
      <c r="B10" s="87"/>
      <c r="C10" s="85" t="s">
        <v>136</v>
      </c>
      <c r="D10" s="82"/>
      <c r="E10" s="82"/>
      <c r="F10" s="82"/>
      <c r="G10" s="82">
        <f>SUM(G8:G9)</f>
        <v>39120</v>
      </c>
      <c r="H10" s="83"/>
      <c r="J10" s="80"/>
      <c r="K10" s="80"/>
      <c r="L10" s="80"/>
      <c r="M10" s="80"/>
      <c r="N10" s="80"/>
      <c r="O10" s="80"/>
      <c r="P10" s="80"/>
      <c r="Q10" s="80"/>
    </row>
    <row r="11" ht="28" customHeight="1" spans="1:17">
      <c r="A11" s="87"/>
      <c r="B11" s="87"/>
      <c r="C11" s="82"/>
      <c r="D11" s="84" t="s">
        <v>122</v>
      </c>
      <c r="E11" s="91">
        <v>0.25</v>
      </c>
      <c r="F11" s="92">
        <f>E11*$G$10</f>
        <v>9780</v>
      </c>
      <c r="G11" s="93"/>
      <c r="H11" s="94" t="s">
        <v>123</v>
      </c>
      <c r="J11" s="80"/>
      <c r="K11" s="80"/>
      <c r="L11" s="80"/>
      <c r="M11" s="80"/>
      <c r="N11" s="80"/>
      <c r="O11" s="80"/>
      <c r="P11" s="80"/>
      <c r="Q11" s="80"/>
    </row>
    <row r="12" ht="28" customHeight="1" spans="1:17">
      <c r="A12" s="87"/>
      <c r="B12" s="87"/>
      <c r="C12" s="82"/>
      <c r="D12" s="87"/>
      <c r="E12" s="91">
        <v>0.18</v>
      </c>
      <c r="F12" s="92">
        <f t="shared" ref="F12:F22" si="1">E12*$G$10</f>
        <v>7041.6</v>
      </c>
      <c r="G12" s="93"/>
      <c r="H12" s="94" t="s">
        <v>158</v>
      </c>
      <c r="J12" s="80"/>
      <c r="K12" s="80"/>
      <c r="L12" s="80"/>
      <c r="M12" s="80"/>
      <c r="N12" s="80"/>
      <c r="O12" s="80"/>
      <c r="P12" s="80"/>
      <c r="Q12" s="80"/>
    </row>
    <row r="13" ht="28" customHeight="1" spans="1:17">
      <c r="A13" s="87"/>
      <c r="B13" s="87"/>
      <c r="C13" s="82"/>
      <c r="D13" s="87"/>
      <c r="E13" s="91">
        <v>0.12</v>
      </c>
      <c r="F13" s="92">
        <f t="shared" si="1"/>
        <v>4694.4</v>
      </c>
      <c r="G13" s="93"/>
      <c r="H13" s="94" t="s">
        <v>125</v>
      </c>
      <c r="J13" s="80"/>
      <c r="K13" s="80"/>
      <c r="L13" s="80"/>
      <c r="M13" s="80"/>
      <c r="N13" s="80"/>
      <c r="O13" s="80"/>
      <c r="P13" s="80"/>
      <c r="Q13" s="80"/>
    </row>
    <row r="14" ht="28" customHeight="1" spans="1:17">
      <c r="A14" s="87"/>
      <c r="B14" s="87"/>
      <c r="C14" s="82"/>
      <c r="D14" s="87"/>
      <c r="E14" s="91">
        <v>0.12</v>
      </c>
      <c r="F14" s="92">
        <f t="shared" si="1"/>
        <v>4694.4</v>
      </c>
      <c r="G14" s="93"/>
      <c r="H14" s="95" t="s">
        <v>126</v>
      </c>
      <c r="J14" s="80"/>
      <c r="K14" s="80"/>
      <c r="L14" s="80"/>
      <c r="M14" s="80"/>
      <c r="N14" s="80"/>
      <c r="O14" s="80"/>
      <c r="P14" s="80"/>
      <c r="Q14" s="80"/>
    </row>
    <row r="15" ht="28" customHeight="1" spans="1:17">
      <c r="A15" s="87"/>
      <c r="B15" s="87"/>
      <c r="C15" s="82"/>
      <c r="D15" s="87"/>
      <c r="E15" s="91">
        <v>0.05</v>
      </c>
      <c r="F15" s="92">
        <f t="shared" si="1"/>
        <v>1956</v>
      </c>
      <c r="G15" s="93"/>
      <c r="H15" s="94" t="s">
        <v>127</v>
      </c>
      <c r="J15" s="80"/>
      <c r="K15" s="80"/>
      <c r="L15" s="80"/>
      <c r="M15" s="80"/>
      <c r="N15" s="80"/>
      <c r="O15" s="80"/>
      <c r="P15" s="80"/>
      <c r="Q15" s="80"/>
    </row>
    <row r="16" ht="28" customHeight="1" spans="1:17">
      <c r="A16" s="87"/>
      <c r="B16" s="87"/>
      <c r="C16" s="82"/>
      <c r="D16" s="87"/>
      <c r="E16" s="91">
        <v>0.04</v>
      </c>
      <c r="F16" s="92">
        <f t="shared" si="1"/>
        <v>1564.8</v>
      </c>
      <c r="G16" s="93"/>
      <c r="H16" s="96" t="s">
        <v>128</v>
      </c>
      <c r="J16" s="80"/>
      <c r="K16" s="80"/>
      <c r="L16" s="80"/>
      <c r="M16" s="80"/>
      <c r="N16" s="80"/>
      <c r="O16" s="80"/>
      <c r="P16" s="80"/>
      <c r="Q16" s="80"/>
    </row>
    <row r="17" ht="28" customHeight="1" spans="1:17">
      <c r="A17" s="87"/>
      <c r="B17" s="87"/>
      <c r="C17" s="82"/>
      <c r="D17" s="87"/>
      <c r="E17" s="91">
        <v>0.07</v>
      </c>
      <c r="F17" s="92">
        <f t="shared" si="1"/>
        <v>2738.4</v>
      </c>
      <c r="G17" s="93"/>
      <c r="H17" s="96" t="s">
        <v>129</v>
      </c>
      <c r="J17" s="80"/>
      <c r="K17" s="80"/>
      <c r="L17" s="80"/>
      <c r="M17" s="80"/>
      <c r="N17" s="80"/>
      <c r="O17" s="80"/>
      <c r="P17" s="80"/>
      <c r="Q17" s="80"/>
    </row>
    <row r="18" ht="28" customHeight="1" spans="1:17">
      <c r="A18" s="87"/>
      <c r="B18" s="87"/>
      <c r="C18" s="82"/>
      <c r="D18" s="87"/>
      <c r="E18" s="91">
        <v>0.07</v>
      </c>
      <c r="F18" s="92">
        <f t="shared" si="1"/>
        <v>2738.4</v>
      </c>
      <c r="G18" s="93"/>
      <c r="H18" s="97" t="s">
        <v>130</v>
      </c>
      <c r="J18" s="80"/>
      <c r="K18" s="80"/>
      <c r="L18" s="80"/>
      <c r="M18" s="80"/>
      <c r="N18" s="80"/>
      <c r="O18" s="80"/>
      <c r="P18" s="80"/>
      <c r="Q18" s="80"/>
    </row>
    <row r="19" ht="28" customHeight="1" spans="1:8">
      <c r="A19" s="87"/>
      <c r="B19" s="87"/>
      <c r="C19" s="82"/>
      <c r="D19" s="87"/>
      <c r="E19" s="91">
        <v>0.03</v>
      </c>
      <c r="F19" s="92">
        <f t="shared" si="1"/>
        <v>1173.6</v>
      </c>
      <c r="G19" s="93"/>
      <c r="H19" s="96" t="s">
        <v>132</v>
      </c>
    </row>
    <row r="20" ht="28" customHeight="1" spans="1:8">
      <c r="A20" s="87"/>
      <c r="B20" s="87"/>
      <c r="C20" s="82"/>
      <c r="D20" s="87"/>
      <c r="E20" s="91">
        <v>0.02</v>
      </c>
      <c r="F20" s="92">
        <f t="shared" si="1"/>
        <v>782.4</v>
      </c>
      <c r="G20" s="93"/>
      <c r="H20" s="96" t="s">
        <v>133</v>
      </c>
    </row>
    <row r="21" ht="28" customHeight="1" spans="1:8">
      <c r="A21" s="87"/>
      <c r="B21" s="87"/>
      <c r="C21" s="82"/>
      <c r="D21" s="87"/>
      <c r="E21" s="91">
        <v>0.02</v>
      </c>
      <c r="F21" s="92">
        <f t="shared" si="1"/>
        <v>782.4</v>
      </c>
      <c r="G21" s="93"/>
      <c r="H21" s="97" t="s">
        <v>134</v>
      </c>
    </row>
    <row r="22" ht="28" customHeight="1" spans="1:8">
      <c r="A22" s="98"/>
      <c r="B22" s="98"/>
      <c r="C22" s="82"/>
      <c r="D22" s="98"/>
      <c r="E22" s="91">
        <v>0.03</v>
      </c>
      <c r="F22" s="92">
        <f t="shared" si="1"/>
        <v>1173.6</v>
      </c>
      <c r="G22" s="93"/>
      <c r="H22" s="96" t="s">
        <v>135</v>
      </c>
    </row>
    <row r="23" ht="28.5" spans="1:8">
      <c r="A23" s="82">
        <v>3</v>
      </c>
      <c r="B23" s="82" t="s">
        <v>159</v>
      </c>
      <c r="C23" s="82" t="s">
        <v>160</v>
      </c>
      <c r="D23" s="82" t="s">
        <v>89</v>
      </c>
      <c r="E23" s="82">
        <v>1</v>
      </c>
      <c r="F23" s="82">
        <v>2000</v>
      </c>
      <c r="G23" s="82">
        <f t="shared" ref="G23:G29" si="2">F23*E23</f>
        <v>2000</v>
      </c>
      <c r="H23" s="83" t="s">
        <v>161</v>
      </c>
    </row>
    <row r="24" ht="28.5" spans="1:8">
      <c r="A24" s="82">
        <v>4</v>
      </c>
      <c r="B24" s="82" t="s">
        <v>162</v>
      </c>
      <c r="C24" s="82" t="s">
        <v>163</v>
      </c>
      <c r="D24" s="82" t="s">
        <v>148</v>
      </c>
      <c r="E24" s="88">
        <f>2.6*3.6+1.4*2.5+1.8*1.9+1*3.9+1*4.1+1.2*2.1+1.1*2.7+1.7*2.6+2.7*1.15+1*4.8+0.8*2.7+0.7*3+0.7*3+0.9*3.9+0.9*4.4+0.8*2.8+0.7*2.9+0.9*2.6+1*5.3+0.9*2.7</f>
        <v>70.27</v>
      </c>
      <c r="F24" s="82">
        <f>(175/0.2-20)*0.15</f>
        <v>128.25</v>
      </c>
      <c r="G24" s="88">
        <f t="shared" si="2"/>
        <v>9012.13</v>
      </c>
      <c r="H24" s="83" t="s">
        <v>164</v>
      </c>
    </row>
    <row r="25" ht="78.75" spans="1:8">
      <c r="A25" s="82">
        <v>5</v>
      </c>
      <c r="B25" s="82" t="s">
        <v>165</v>
      </c>
      <c r="C25" s="82" t="s">
        <v>166</v>
      </c>
      <c r="D25" s="82" t="s">
        <v>89</v>
      </c>
      <c r="E25" s="82">
        <v>1</v>
      </c>
      <c r="F25" s="82">
        <v>2500</v>
      </c>
      <c r="G25" s="82">
        <f t="shared" si="2"/>
        <v>2500</v>
      </c>
      <c r="H25" s="83" t="s">
        <v>167</v>
      </c>
    </row>
    <row r="26" ht="24" customHeight="1" spans="1:8">
      <c r="A26" s="84">
        <v>6</v>
      </c>
      <c r="B26" s="84" t="s">
        <v>168</v>
      </c>
      <c r="C26" s="82" t="s">
        <v>113</v>
      </c>
      <c r="D26" s="82" t="s">
        <v>95</v>
      </c>
      <c r="E26" s="82">
        <v>220</v>
      </c>
      <c r="F26" s="82">
        <v>21</v>
      </c>
      <c r="G26" s="82">
        <f t="shared" si="2"/>
        <v>4620</v>
      </c>
      <c r="H26" s="83" t="s">
        <v>169</v>
      </c>
    </row>
    <row r="27" ht="24" customHeight="1" spans="1:8">
      <c r="A27" s="98"/>
      <c r="B27" s="98"/>
      <c r="C27" s="82" t="s">
        <v>115</v>
      </c>
      <c r="D27" s="82" t="s">
        <v>95</v>
      </c>
      <c r="E27" s="82">
        <v>220</v>
      </c>
      <c r="F27" s="82">
        <v>3.5</v>
      </c>
      <c r="G27" s="82">
        <f t="shared" si="2"/>
        <v>770</v>
      </c>
      <c r="H27" s="83" t="s">
        <v>169</v>
      </c>
    </row>
    <row r="28" ht="53" customHeight="1" spans="1:8">
      <c r="A28" s="84">
        <v>7</v>
      </c>
      <c r="B28" s="84" t="s">
        <v>170</v>
      </c>
      <c r="C28" s="82" t="s">
        <v>171</v>
      </c>
      <c r="D28" s="82" t="s">
        <v>89</v>
      </c>
      <c r="E28" s="82">
        <v>1</v>
      </c>
      <c r="F28" s="82">
        <f>'07单子计算明细'!L15</f>
        <v>227613.58</v>
      </c>
      <c r="G28" s="82">
        <f t="shared" si="2"/>
        <v>227613.58</v>
      </c>
      <c r="H28" s="83" t="s">
        <v>172</v>
      </c>
    </row>
    <row r="29" ht="36" customHeight="1" spans="1:8">
      <c r="A29" s="84">
        <v>8</v>
      </c>
      <c r="B29" s="84" t="s">
        <v>173</v>
      </c>
      <c r="C29" s="82" t="s">
        <v>174</v>
      </c>
      <c r="D29" s="82" t="s">
        <v>89</v>
      </c>
      <c r="E29" s="82">
        <v>1</v>
      </c>
      <c r="F29" s="82">
        <v>2500</v>
      </c>
      <c r="G29" s="82">
        <f t="shared" si="2"/>
        <v>2500</v>
      </c>
      <c r="H29" s="83"/>
    </row>
    <row r="30" ht="40" customHeight="1" spans="1:8">
      <c r="A30" s="87"/>
      <c r="B30" s="87"/>
      <c r="C30" s="82" t="s">
        <v>175</v>
      </c>
      <c r="D30" s="82"/>
      <c r="E30" s="82"/>
      <c r="F30" s="82">
        <v>800</v>
      </c>
      <c r="G30" s="82"/>
      <c r="H30" s="83" t="s">
        <v>176</v>
      </c>
    </row>
    <row r="31" ht="49" customHeight="1" spans="1:8">
      <c r="A31" s="87"/>
      <c r="B31" s="87"/>
      <c r="C31" s="82" t="s">
        <v>177</v>
      </c>
      <c r="D31" s="82"/>
      <c r="E31" s="82"/>
      <c r="F31" s="82">
        <v>1300</v>
      </c>
      <c r="G31" s="82"/>
      <c r="H31" s="83" t="s">
        <v>178</v>
      </c>
    </row>
    <row r="32" ht="49" customHeight="1" spans="1:8">
      <c r="A32" s="87"/>
      <c r="B32" s="87"/>
      <c r="C32" s="82" t="s">
        <v>179</v>
      </c>
      <c r="D32" s="82"/>
      <c r="E32" s="82"/>
      <c r="F32" s="82">
        <v>400</v>
      </c>
      <c r="G32" s="82"/>
      <c r="H32" s="83" t="s">
        <v>180</v>
      </c>
    </row>
    <row r="33" ht="36" customHeight="1" spans="1:8">
      <c r="A33" s="82">
        <v>9</v>
      </c>
      <c r="B33" s="82" t="s">
        <v>181</v>
      </c>
      <c r="C33" s="82" t="s">
        <v>182</v>
      </c>
      <c r="D33" s="82" t="s">
        <v>89</v>
      </c>
      <c r="E33" s="82">
        <v>1</v>
      </c>
      <c r="F33" s="82">
        <f>'09单子明细'!L10</f>
        <v>3076.89</v>
      </c>
      <c r="G33" s="82">
        <f t="shared" ref="G33:G41" si="3">F33*E33</f>
        <v>3076.89</v>
      </c>
      <c r="H33" s="83" t="s">
        <v>183</v>
      </c>
    </row>
    <row r="34" ht="21" customHeight="1" spans="1:8">
      <c r="A34" s="84">
        <v>10</v>
      </c>
      <c r="B34" s="84" t="s">
        <v>184</v>
      </c>
      <c r="C34" s="82" t="s">
        <v>185</v>
      </c>
      <c r="D34" s="82" t="s">
        <v>186</v>
      </c>
      <c r="E34" s="82">
        <v>3.2</v>
      </c>
      <c r="F34" s="82">
        <v>1800</v>
      </c>
      <c r="G34" s="82">
        <f t="shared" si="3"/>
        <v>5760</v>
      </c>
      <c r="H34" s="83" t="s">
        <v>116</v>
      </c>
    </row>
    <row r="35" ht="21" customHeight="1" spans="1:8">
      <c r="A35" s="87"/>
      <c r="B35" s="87"/>
      <c r="C35" s="82" t="s">
        <v>187</v>
      </c>
      <c r="D35" s="82" t="s">
        <v>186</v>
      </c>
      <c r="E35" s="82">
        <v>4</v>
      </c>
      <c r="F35" s="82">
        <v>2000</v>
      </c>
      <c r="G35" s="82">
        <f t="shared" si="3"/>
        <v>8000</v>
      </c>
      <c r="H35" s="83" t="s">
        <v>116</v>
      </c>
    </row>
    <row r="36" ht="42" customHeight="1" spans="1:8">
      <c r="A36" s="87"/>
      <c r="B36" s="87"/>
      <c r="C36" s="82" t="s">
        <v>188</v>
      </c>
      <c r="D36" s="82" t="s">
        <v>186</v>
      </c>
      <c r="E36" s="82">
        <v>0.5</v>
      </c>
      <c r="F36" s="88">
        <f>2000/1.09*1.03</f>
        <v>1889.91</v>
      </c>
      <c r="G36" s="82">
        <f t="shared" si="3"/>
        <v>944.955</v>
      </c>
      <c r="H36" s="83" t="s">
        <v>189</v>
      </c>
    </row>
    <row r="37" ht="42" customHeight="1" spans="1:8">
      <c r="A37" s="87"/>
      <c r="B37" s="87"/>
      <c r="C37" s="82" t="s">
        <v>190</v>
      </c>
      <c r="D37" s="82" t="s">
        <v>191</v>
      </c>
      <c r="E37" s="82">
        <f>171.4+165.9</f>
        <v>337.3</v>
      </c>
      <c r="F37" s="88">
        <f>27/1.09*1.03</f>
        <v>25.51</v>
      </c>
      <c r="G37" s="82">
        <f t="shared" si="3"/>
        <v>8604.523</v>
      </c>
      <c r="H37" s="83" t="s">
        <v>192</v>
      </c>
    </row>
    <row r="38" ht="21" customHeight="1" spans="1:8">
      <c r="A38" s="87"/>
      <c r="B38" s="87"/>
      <c r="C38" s="82" t="s">
        <v>193</v>
      </c>
      <c r="D38" s="82" t="s">
        <v>191</v>
      </c>
      <c r="E38" s="82">
        <f>61.92*0.2</f>
        <v>12.384</v>
      </c>
      <c r="F38" s="82">
        <v>611.41</v>
      </c>
      <c r="G38" s="88">
        <f t="shared" si="3"/>
        <v>7571.7</v>
      </c>
      <c r="H38" s="83"/>
    </row>
    <row r="39" ht="21" customHeight="1" spans="1:8">
      <c r="A39" s="87"/>
      <c r="B39" s="87"/>
      <c r="C39" s="82" t="s">
        <v>194</v>
      </c>
      <c r="D39" s="82" t="s">
        <v>195</v>
      </c>
      <c r="E39" s="82">
        <v>0.53617</v>
      </c>
      <c r="F39" s="82">
        <f>3939*1.03+500</f>
        <v>4557.17</v>
      </c>
      <c r="G39" s="88">
        <f t="shared" si="3"/>
        <v>2443.42</v>
      </c>
      <c r="H39" s="83"/>
    </row>
    <row r="40" ht="21" customHeight="1" spans="1:8">
      <c r="A40" s="87"/>
      <c r="B40" s="87"/>
      <c r="C40" s="82" t="s">
        <v>196</v>
      </c>
      <c r="D40" s="82" t="s">
        <v>101</v>
      </c>
      <c r="E40" s="82">
        <v>33.8</v>
      </c>
      <c r="F40" s="82">
        <v>25</v>
      </c>
      <c r="G40" s="88">
        <f t="shared" si="3"/>
        <v>845</v>
      </c>
      <c r="H40" s="83"/>
    </row>
    <row r="41" ht="21" customHeight="1" spans="1:8">
      <c r="A41" s="98"/>
      <c r="B41" s="98"/>
      <c r="C41" s="82" t="s">
        <v>197</v>
      </c>
      <c r="D41" s="82" t="s">
        <v>95</v>
      </c>
      <c r="E41" s="82">
        <v>4</v>
      </c>
      <c r="F41" s="82">
        <v>590.49</v>
      </c>
      <c r="G41" s="88">
        <f t="shared" si="3"/>
        <v>2361.96</v>
      </c>
      <c r="H41" s="83" t="s">
        <v>198</v>
      </c>
    </row>
    <row r="42" ht="28" customHeight="1" spans="1:8">
      <c r="A42" s="82">
        <v>11</v>
      </c>
      <c r="B42" s="82" t="s">
        <v>199</v>
      </c>
      <c r="C42" s="82"/>
      <c r="D42" s="82"/>
      <c r="E42" s="82"/>
      <c r="F42" s="82"/>
      <c r="G42" s="82">
        <f>SUM(G3:G41)</f>
        <v>542450.888</v>
      </c>
      <c r="H42" s="82"/>
    </row>
    <row r="43" ht="25" customHeight="1" spans="1:8">
      <c r="A43" s="82">
        <v>12</v>
      </c>
      <c r="B43" s="82" t="s">
        <v>200</v>
      </c>
      <c r="C43" s="82"/>
      <c r="D43" s="82"/>
      <c r="E43" s="82"/>
      <c r="F43" s="82"/>
      <c r="G43" s="82">
        <v>542000</v>
      </c>
      <c r="H43" s="82"/>
    </row>
    <row r="44" spans="1:8">
      <c r="A44" s="99"/>
      <c r="B44" s="99"/>
      <c r="C44" s="99"/>
      <c r="D44" s="99"/>
      <c r="E44" s="99"/>
      <c r="F44" s="99"/>
      <c r="G44" s="99"/>
      <c r="H44" s="99"/>
    </row>
    <row r="45" spans="2:5">
      <c r="B45" s="57" t="s">
        <v>141</v>
      </c>
      <c r="E45" s="57" t="s">
        <v>142</v>
      </c>
    </row>
    <row r="46" spans="2:5">
      <c r="B46" s="57" t="s">
        <v>201</v>
      </c>
      <c r="E46" s="57" t="s">
        <v>201</v>
      </c>
    </row>
  </sheetData>
  <mergeCells count="13">
    <mergeCell ref="A1:H1"/>
    <mergeCell ref="A3:A7"/>
    <mergeCell ref="A8:A22"/>
    <mergeCell ref="A26:A27"/>
    <mergeCell ref="A29:A32"/>
    <mergeCell ref="A34:A41"/>
    <mergeCell ref="B3:B7"/>
    <mergeCell ref="B8:B22"/>
    <mergeCell ref="B26:B27"/>
    <mergeCell ref="B29:B32"/>
    <mergeCell ref="B34:B41"/>
    <mergeCell ref="D11:D22"/>
    <mergeCell ref="H6:H7"/>
  </mergeCells>
  <pageMargins left="0.357638888888889" right="0.357638888888889" top="0.236111111111111" bottom="0.196527777777778" header="0.236111111111111" footer="0.2361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13" workbookViewId="0">
      <selection activeCell="B42" sqref="B42:B44"/>
    </sheetView>
  </sheetViews>
  <sheetFormatPr defaultColWidth="9" defaultRowHeight="14.25"/>
  <cols>
    <col min="1" max="1" width="4.125" style="57" customWidth="1"/>
    <col min="2" max="2" width="7.375" style="57" customWidth="1"/>
    <col min="3" max="3" width="21.375" style="57" customWidth="1"/>
    <col min="4" max="4" width="5.875" style="57" customWidth="1"/>
    <col min="5" max="5" width="8.875" style="57" customWidth="1"/>
    <col min="6" max="6" width="9.125" style="57" customWidth="1"/>
    <col min="7" max="7" width="10.875" style="57" customWidth="1"/>
    <col min="8" max="8" width="21.5" style="57" customWidth="1"/>
    <col min="9" max="10" width="9" style="57"/>
    <col min="11" max="11" width="9.375" style="57"/>
    <col min="12" max="15" width="9" style="57"/>
    <col min="16" max="16" width="16.125" style="57" customWidth="1"/>
    <col min="17" max="16384" width="9" style="57"/>
  </cols>
  <sheetData>
    <row r="1" s="57" customFormat="1" ht="33" customHeight="1" spans="1:8">
      <c r="A1" s="58" t="s">
        <v>202</v>
      </c>
      <c r="B1" s="58"/>
      <c r="C1" s="58"/>
      <c r="D1" s="58"/>
      <c r="E1" s="58"/>
      <c r="F1" s="58"/>
      <c r="G1" s="58"/>
      <c r="H1" s="58"/>
    </row>
    <row r="2" s="57" customFormat="1" ht="20" customHeight="1" spans="1:8">
      <c r="A2" s="59" t="s">
        <v>1</v>
      </c>
      <c r="B2" s="59" t="s">
        <v>48</v>
      </c>
      <c r="C2" s="59" t="s">
        <v>83</v>
      </c>
      <c r="D2" s="59" t="s">
        <v>84</v>
      </c>
      <c r="E2" s="59" t="s">
        <v>85</v>
      </c>
      <c r="F2" s="59" t="s">
        <v>86</v>
      </c>
      <c r="G2" s="59" t="s">
        <v>87</v>
      </c>
      <c r="H2" s="60" t="s">
        <v>6</v>
      </c>
    </row>
    <row r="3" s="57" customFormat="1" spans="1:17">
      <c r="A3" s="59">
        <v>1</v>
      </c>
      <c r="B3" s="59" t="s">
        <v>203</v>
      </c>
      <c r="C3" s="66" t="s">
        <v>155</v>
      </c>
      <c r="D3" s="59" t="s">
        <v>104</v>
      </c>
      <c r="E3" s="59">
        <f>[1]Sheet1!G33</f>
        <v>297.26</v>
      </c>
      <c r="F3" s="59">
        <v>120</v>
      </c>
      <c r="G3" s="64">
        <f>F3*E3</f>
        <v>35671.2</v>
      </c>
      <c r="H3" s="60"/>
      <c r="J3" s="80"/>
      <c r="K3" s="80"/>
      <c r="L3" s="80"/>
      <c r="M3" s="80"/>
      <c r="N3" s="80"/>
      <c r="O3" s="80"/>
      <c r="P3" s="80"/>
      <c r="Q3" s="80"/>
    </row>
    <row r="4" s="57" customFormat="1" spans="1:17">
      <c r="A4" s="59"/>
      <c r="B4" s="59"/>
      <c r="C4" s="66" t="s">
        <v>156</v>
      </c>
      <c r="D4" s="59" t="s">
        <v>157</v>
      </c>
      <c r="E4" s="59">
        <f>[1]Sheet1!C43</f>
        <v>38</v>
      </c>
      <c r="F4" s="59">
        <v>330</v>
      </c>
      <c r="G4" s="64">
        <f>F4*E4</f>
        <v>12540</v>
      </c>
      <c r="H4" s="60"/>
      <c r="J4" s="80"/>
      <c r="K4" s="80"/>
      <c r="L4" s="80"/>
      <c r="M4" s="80"/>
      <c r="N4" s="80"/>
      <c r="O4" s="80"/>
      <c r="P4" s="80"/>
      <c r="Q4" s="80"/>
    </row>
    <row r="5" s="57" customFormat="1" spans="1:17">
      <c r="A5" s="59"/>
      <c r="B5" s="59"/>
      <c r="C5" s="66" t="s">
        <v>136</v>
      </c>
      <c r="D5" s="59"/>
      <c r="E5" s="59"/>
      <c r="F5" s="59">
        <f>SUM(G3:G4)</f>
        <v>48211.2</v>
      </c>
      <c r="G5" s="67"/>
      <c r="H5" s="60"/>
      <c r="J5" s="80"/>
      <c r="K5" s="80"/>
      <c r="L5" s="80"/>
      <c r="M5" s="80"/>
      <c r="N5" s="80"/>
      <c r="O5" s="80"/>
      <c r="P5" s="80"/>
      <c r="Q5" s="80"/>
    </row>
    <row r="6" s="57" customFormat="1" spans="1:17">
      <c r="A6" s="59"/>
      <c r="B6" s="59"/>
      <c r="C6" s="59"/>
      <c r="D6" s="61" t="s">
        <v>122</v>
      </c>
      <c r="E6" s="68">
        <v>0.25</v>
      </c>
      <c r="F6" s="69">
        <f>E6*$F$5</f>
        <v>12052.8</v>
      </c>
      <c r="G6" s="60"/>
      <c r="H6" s="70" t="s">
        <v>123</v>
      </c>
      <c r="J6" s="80"/>
      <c r="K6" s="80"/>
      <c r="L6" s="80"/>
      <c r="M6" s="80"/>
      <c r="N6" s="80"/>
      <c r="O6" s="80"/>
      <c r="P6" s="80"/>
      <c r="Q6" s="80"/>
    </row>
    <row r="7" s="57" customFormat="1" spans="1:17">
      <c r="A7" s="59"/>
      <c r="B7" s="59"/>
      <c r="C7" s="59"/>
      <c r="D7" s="62"/>
      <c r="E7" s="68">
        <v>0.18</v>
      </c>
      <c r="F7" s="69">
        <f>E7*$F$5</f>
        <v>8678.016</v>
      </c>
      <c r="G7" s="60"/>
      <c r="H7" s="70" t="s">
        <v>158</v>
      </c>
      <c r="J7" s="80"/>
      <c r="K7" s="80"/>
      <c r="L7" s="80"/>
      <c r="M7" s="80"/>
      <c r="N7" s="80"/>
      <c r="O7" s="80"/>
      <c r="P7" s="80"/>
      <c r="Q7" s="80"/>
    </row>
    <row r="8" s="57" customFormat="1" ht="21" spans="1:17">
      <c r="A8" s="59"/>
      <c r="B8" s="59"/>
      <c r="C8" s="59"/>
      <c r="D8" s="62"/>
      <c r="E8" s="68">
        <v>0.12</v>
      </c>
      <c r="F8" s="69">
        <f>E8*$F$5</f>
        <v>5785.344</v>
      </c>
      <c r="G8" s="60"/>
      <c r="H8" s="70" t="s">
        <v>125</v>
      </c>
      <c r="J8" s="80"/>
      <c r="K8" s="80"/>
      <c r="L8" s="80"/>
      <c r="M8" s="80"/>
      <c r="N8" s="80"/>
      <c r="O8" s="80"/>
      <c r="P8" s="80"/>
      <c r="Q8" s="80"/>
    </row>
    <row r="9" s="57" customFormat="1" spans="1:17">
      <c r="A9" s="59"/>
      <c r="B9" s="59"/>
      <c r="C9" s="59"/>
      <c r="D9" s="62"/>
      <c r="E9" s="68">
        <v>0.12</v>
      </c>
      <c r="F9" s="69">
        <f>E9*$F$5</f>
        <v>5785.344</v>
      </c>
      <c r="G9" s="60"/>
      <c r="H9" s="71" t="s">
        <v>126</v>
      </c>
      <c r="J9" s="80"/>
      <c r="K9" s="80"/>
      <c r="L9" s="80"/>
      <c r="M9" s="80"/>
      <c r="N9" s="80"/>
      <c r="O9" s="80"/>
      <c r="P9" s="80"/>
      <c r="Q9" s="80"/>
    </row>
    <row r="10" s="57" customFormat="1" spans="1:17">
      <c r="A10" s="59"/>
      <c r="B10" s="59"/>
      <c r="C10" s="59"/>
      <c r="D10" s="62"/>
      <c r="E10" s="68">
        <v>0.05</v>
      </c>
      <c r="F10" s="69">
        <f>E10*$F$5</f>
        <v>2410.56</v>
      </c>
      <c r="G10" s="60"/>
      <c r="H10" s="70" t="s">
        <v>127</v>
      </c>
      <c r="J10" s="80"/>
      <c r="K10" s="80"/>
      <c r="L10" s="80"/>
      <c r="M10" s="80"/>
      <c r="N10" s="80"/>
      <c r="O10" s="80"/>
      <c r="P10" s="80"/>
      <c r="Q10" s="80"/>
    </row>
    <row r="11" s="57" customFormat="1" spans="1:17">
      <c r="A11" s="59"/>
      <c r="B11" s="59"/>
      <c r="C11" s="59"/>
      <c r="D11" s="62"/>
      <c r="E11" s="68">
        <v>0.04</v>
      </c>
      <c r="F11" s="69">
        <f>E11*$F$5</f>
        <v>1928.448</v>
      </c>
      <c r="G11" s="60"/>
      <c r="H11" s="72" t="s">
        <v>128</v>
      </c>
      <c r="J11" s="80"/>
      <c r="K11" s="80"/>
      <c r="L11" s="80"/>
      <c r="M11" s="80"/>
      <c r="N11" s="80"/>
      <c r="O11" s="80"/>
      <c r="P11" s="80"/>
      <c r="Q11" s="80"/>
    </row>
    <row r="12" s="57" customFormat="1" spans="1:17">
      <c r="A12" s="59"/>
      <c r="B12" s="59"/>
      <c r="C12" s="59"/>
      <c r="D12" s="62"/>
      <c r="E12" s="68">
        <v>0.07</v>
      </c>
      <c r="F12" s="69">
        <f>E12*$F$5</f>
        <v>3374.784</v>
      </c>
      <c r="G12" s="60"/>
      <c r="H12" s="72" t="s">
        <v>129</v>
      </c>
      <c r="J12" s="80"/>
      <c r="K12" s="80"/>
      <c r="L12" s="80"/>
      <c r="M12" s="80"/>
      <c r="N12" s="80"/>
      <c r="O12" s="80"/>
      <c r="P12" s="80"/>
      <c r="Q12" s="80"/>
    </row>
    <row r="13" s="57" customFormat="1" spans="1:17">
      <c r="A13" s="59"/>
      <c r="B13" s="59"/>
      <c r="C13" s="59"/>
      <c r="D13" s="62"/>
      <c r="E13" s="68">
        <v>0.07</v>
      </c>
      <c r="F13" s="69">
        <f>E13*$F$5</f>
        <v>3374.784</v>
      </c>
      <c r="G13" s="60"/>
      <c r="H13" s="73" t="s">
        <v>130</v>
      </c>
      <c r="J13" s="80"/>
      <c r="K13" s="80"/>
      <c r="L13" s="80"/>
      <c r="M13" s="80"/>
      <c r="N13" s="80"/>
      <c r="O13" s="80"/>
      <c r="P13" s="80"/>
      <c r="Q13" s="80"/>
    </row>
    <row r="14" s="57" customFormat="1" spans="1:8">
      <c r="A14" s="59"/>
      <c r="B14" s="59"/>
      <c r="C14" s="59"/>
      <c r="D14" s="62"/>
      <c r="E14" s="68">
        <v>0.03</v>
      </c>
      <c r="F14" s="69">
        <f>E14*$F$5</f>
        <v>1446.336</v>
      </c>
      <c r="G14" s="60"/>
      <c r="H14" s="72" t="s">
        <v>132</v>
      </c>
    </row>
    <row r="15" s="57" customFormat="1" spans="1:8">
      <c r="A15" s="59"/>
      <c r="B15" s="59"/>
      <c r="C15" s="59"/>
      <c r="D15" s="62"/>
      <c r="E15" s="68">
        <v>0.02</v>
      </c>
      <c r="F15" s="69">
        <f>E15*$F$5</f>
        <v>964.224</v>
      </c>
      <c r="G15" s="60"/>
      <c r="H15" s="72" t="s">
        <v>133</v>
      </c>
    </row>
    <row r="16" s="57" customFormat="1" spans="1:8">
      <c r="A16" s="59"/>
      <c r="B16" s="59"/>
      <c r="C16" s="59"/>
      <c r="D16" s="62"/>
      <c r="E16" s="68">
        <v>0.02</v>
      </c>
      <c r="F16" s="69">
        <f>E16*$F$5</f>
        <v>964.224</v>
      </c>
      <c r="G16" s="60"/>
      <c r="H16" s="73" t="s">
        <v>134</v>
      </c>
    </row>
    <row r="17" s="57" customFormat="1" spans="1:8">
      <c r="A17" s="59"/>
      <c r="B17" s="59"/>
      <c r="C17" s="59"/>
      <c r="D17" s="74"/>
      <c r="E17" s="68">
        <v>0.03</v>
      </c>
      <c r="F17" s="69">
        <f>E17*$F$5</f>
        <v>1446.336</v>
      </c>
      <c r="G17" s="60"/>
      <c r="H17" s="72" t="s">
        <v>135</v>
      </c>
    </row>
    <row r="18" s="57" customFormat="1" spans="1:8">
      <c r="A18" s="59"/>
      <c r="B18" s="59"/>
      <c r="C18" s="59" t="s">
        <v>204</v>
      </c>
      <c r="D18" s="59" t="s">
        <v>104</v>
      </c>
      <c r="E18" s="59">
        <f>2+1+0.5+4</f>
        <v>7.5</v>
      </c>
      <c r="F18" s="59">
        <v>120</v>
      </c>
      <c r="G18" s="64">
        <f t="shared" ref="G18:G44" si="0">F18*E18</f>
        <v>900</v>
      </c>
      <c r="H18" s="72"/>
    </row>
    <row r="19" s="57" customFormat="1" spans="1:8">
      <c r="A19" s="59">
        <v>2</v>
      </c>
      <c r="B19" s="59" t="s">
        <v>205</v>
      </c>
      <c r="C19" s="59" t="s">
        <v>206</v>
      </c>
      <c r="D19" s="59" t="s">
        <v>207</v>
      </c>
      <c r="E19" s="59">
        <v>98</v>
      </c>
      <c r="F19" s="59">
        <v>34.5</v>
      </c>
      <c r="G19" s="59">
        <f t="shared" si="0"/>
        <v>3381</v>
      </c>
      <c r="H19" s="75" t="s">
        <v>116</v>
      </c>
    </row>
    <row r="20" s="57" customFormat="1" spans="1:8">
      <c r="A20" s="59"/>
      <c r="B20" s="59"/>
      <c r="C20" s="59" t="s">
        <v>208</v>
      </c>
      <c r="D20" s="59" t="s">
        <v>101</v>
      </c>
      <c r="E20" s="59">
        <v>18.5</v>
      </c>
      <c r="F20" s="59">
        <v>30.95</v>
      </c>
      <c r="G20" s="59">
        <f t="shared" si="0"/>
        <v>572.575</v>
      </c>
      <c r="H20" s="76"/>
    </row>
    <row r="21" s="57" customFormat="1" spans="1:8">
      <c r="A21" s="59"/>
      <c r="B21" s="59"/>
      <c r="C21" s="59" t="s">
        <v>209</v>
      </c>
      <c r="D21" s="59" t="s">
        <v>148</v>
      </c>
      <c r="E21" s="59">
        <f>(0.55+0.55+0.6)*0.9</f>
        <v>1.53</v>
      </c>
      <c r="F21" s="59">
        <v>120</v>
      </c>
      <c r="G21" s="59">
        <f t="shared" si="0"/>
        <v>183.6</v>
      </c>
      <c r="H21" s="76"/>
    </row>
    <row r="22" s="57" customFormat="1" spans="1:8">
      <c r="A22" s="59"/>
      <c r="B22" s="59"/>
      <c r="C22" s="59" t="s">
        <v>210</v>
      </c>
      <c r="D22" s="59" t="s">
        <v>148</v>
      </c>
      <c r="E22" s="59">
        <f>(0.55+0.55+0.6)*0.9</f>
        <v>1.53</v>
      </c>
      <c r="F22" s="59">
        <v>22</v>
      </c>
      <c r="G22" s="59">
        <f t="shared" si="0"/>
        <v>33.66</v>
      </c>
      <c r="H22" s="77"/>
    </row>
    <row r="23" s="57" customFormat="1" spans="1:8">
      <c r="A23" s="59"/>
      <c r="B23" s="59"/>
      <c r="C23" s="59" t="s">
        <v>211</v>
      </c>
      <c r="D23" s="59" t="s">
        <v>95</v>
      </c>
      <c r="E23" s="59">
        <v>1</v>
      </c>
      <c r="F23" s="59">
        <v>70</v>
      </c>
      <c r="G23" s="59">
        <f t="shared" si="0"/>
        <v>70</v>
      </c>
      <c r="H23" s="77"/>
    </row>
    <row r="24" s="57" customFormat="1" spans="1:8">
      <c r="A24" s="59"/>
      <c r="B24" s="59"/>
      <c r="C24" s="59" t="s">
        <v>212</v>
      </c>
      <c r="D24" s="59" t="s">
        <v>101</v>
      </c>
      <c r="E24" s="59">
        <v>4</v>
      </c>
      <c r="F24" s="59">
        <v>30</v>
      </c>
      <c r="G24" s="59">
        <f t="shared" si="0"/>
        <v>120</v>
      </c>
      <c r="H24" s="77" t="s">
        <v>213</v>
      </c>
    </row>
    <row r="25" s="57" customFormat="1" spans="1:8">
      <c r="A25" s="59"/>
      <c r="B25" s="59"/>
      <c r="C25" s="59" t="s">
        <v>214</v>
      </c>
      <c r="D25" s="59" t="s">
        <v>104</v>
      </c>
      <c r="E25" s="59">
        <v>4</v>
      </c>
      <c r="F25" s="59">
        <v>120</v>
      </c>
      <c r="G25" s="59">
        <f t="shared" si="0"/>
        <v>480</v>
      </c>
      <c r="H25" s="77"/>
    </row>
    <row r="26" s="57" customFormat="1" spans="1:8">
      <c r="A26" s="59"/>
      <c r="B26" s="59"/>
      <c r="C26" s="59" t="s">
        <v>215</v>
      </c>
      <c r="D26" s="59" t="s">
        <v>95</v>
      </c>
      <c r="E26" s="59">
        <v>5</v>
      </c>
      <c r="F26" s="59">
        <v>590.49</v>
      </c>
      <c r="G26" s="59">
        <f t="shared" si="0"/>
        <v>2952.45</v>
      </c>
      <c r="H26" s="77"/>
    </row>
    <row r="27" s="57" customFormat="1" spans="1:8">
      <c r="A27" s="61">
        <v>3</v>
      </c>
      <c r="B27" s="61" t="s">
        <v>216</v>
      </c>
      <c r="C27" s="59" t="s">
        <v>113</v>
      </c>
      <c r="D27" s="59" t="s">
        <v>95</v>
      </c>
      <c r="E27" s="59">
        <v>150</v>
      </c>
      <c r="F27" s="59">
        <v>21</v>
      </c>
      <c r="G27" s="59">
        <f t="shared" si="0"/>
        <v>3150</v>
      </c>
      <c r="H27" s="60" t="s">
        <v>169</v>
      </c>
    </row>
    <row r="28" s="57" customFormat="1" spans="1:8">
      <c r="A28" s="74"/>
      <c r="B28" s="74"/>
      <c r="C28" s="59" t="s">
        <v>115</v>
      </c>
      <c r="D28" s="59" t="s">
        <v>95</v>
      </c>
      <c r="E28" s="59">
        <v>150</v>
      </c>
      <c r="F28" s="59">
        <v>3.5</v>
      </c>
      <c r="G28" s="59">
        <f t="shared" si="0"/>
        <v>525</v>
      </c>
      <c r="H28" s="60" t="s">
        <v>169</v>
      </c>
    </row>
    <row r="29" s="57" customFormat="1" ht="27" spans="1:8">
      <c r="A29" s="61">
        <v>4</v>
      </c>
      <c r="B29" s="61" t="s">
        <v>217</v>
      </c>
      <c r="C29" s="59" t="s">
        <v>218</v>
      </c>
      <c r="D29" s="59" t="s">
        <v>104</v>
      </c>
      <c r="E29" s="59">
        <v>4</v>
      </c>
      <c r="F29" s="59">
        <v>120</v>
      </c>
      <c r="G29" s="64">
        <f t="shared" si="0"/>
        <v>480</v>
      </c>
      <c r="H29" s="60"/>
    </row>
    <row r="30" s="57" customFormat="1" spans="1:8">
      <c r="A30" s="62"/>
      <c r="B30" s="62"/>
      <c r="C30" s="59" t="s">
        <v>219</v>
      </c>
      <c r="D30" s="59" t="s">
        <v>89</v>
      </c>
      <c r="E30" s="59">
        <f>1273.2+406</f>
        <v>1679.2</v>
      </c>
      <c r="F30" s="59">
        <v>1.08</v>
      </c>
      <c r="G30" s="64">
        <f t="shared" si="0"/>
        <v>1813.54</v>
      </c>
      <c r="H30" s="60"/>
    </row>
    <row r="31" s="57" customFormat="1" spans="1:8">
      <c r="A31" s="61">
        <v>8</v>
      </c>
      <c r="B31" s="61" t="s">
        <v>220</v>
      </c>
      <c r="C31" s="59" t="s">
        <v>221</v>
      </c>
      <c r="D31" s="59" t="s">
        <v>148</v>
      </c>
      <c r="E31" s="59">
        <v>122.64</v>
      </c>
      <c r="F31" s="59">
        <v>150</v>
      </c>
      <c r="G31" s="59">
        <f t="shared" si="0"/>
        <v>18396</v>
      </c>
      <c r="H31" s="60"/>
    </row>
    <row r="32" s="57" customFormat="1" spans="1:8">
      <c r="A32" s="62"/>
      <c r="B32" s="62"/>
      <c r="C32" s="59" t="s">
        <v>222</v>
      </c>
      <c r="D32" s="59" t="s">
        <v>191</v>
      </c>
      <c r="E32" s="59">
        <f>122.64*0.3</f>
        <v>36.792</v>
      </c>
      <c r="F32" s="64">
        <f>136.032/1.09*1.03</f>
        <v>128.54</v>
      </c>
      <c r="G32" s="64">
        <f t="shared" si="0"/>
        <v>4729.24</v>
      </c>
      <c r="H32" s="60" t="s">
        <v>223</v>
      </c>
    </row>
    <row r="33" s="57" customFormat="1" ht="27" spans="1:8">
      <c r="A33" s="62"/>
      <c r="B33" s="62"/>
      <c r="C33" s="59" t="s">
        <v>224</v>
      </c>
      <c r="D33" s="59" t="s">
        <v>191</v>
      </c>
      <c r="E33" s="59">
        <f>122.64*0.2</f>
        <v>24.528</v>
      </c>
      <c r="F33" s="64">
        <f>634.816/1.09*1.03</f>
        <v>599.87</v>
      </c>
      <c r="G33" s="64">
        <f t="shared" si="0"/>
        <v>14713.61</v>
      </c>
      <c r="H33" s="60" t="s">
        <v>223</v>
      </c>
    </row>
    <row r="34" s="57" customFormat="1" ht="27" spans="1:8">
      <c r="A34" s="62"/>
      <c r="B34" s="62"/>
      <c r="C34" s="59" t="s">
        <v>225</v>
      </c>
      <c r="D34" s="59" t="s">
        <v>148</v>
      </c>
      <c r="E34" s="59">
        <v>415.14</v>
      </c>
      <c r="F34" s="78">
        <v>115</v>
      </c>
      <c r="G34" s="64">
        <f t="shared" si="0"/>
        <v>47741.1</v>
      </c>
      <c r="H34" s="60" t="s">
        <v>116</v>
      </c>
    </row>
    <row r="35" s="57" customFormat="1" ht="27" spans="1:8">
      <c r="A35" s="62"/>
      <c r="B35" s="62"/>
      <c r="C35" s="59" t="s">
        <v>226</v>
      </c>
      <c r="D35" s="59" t="s">
        <v>191</v>
      </c>
      <c r="E35" s="59">
        <f>88.5*0.2</f>
        <v>17.7</v>
      </c>
      <c r="F35" s="64">
        <f>136.032/1.09*1.03</f>
        <v>128.54</v>
      </c>
      <c r="G35" s="64">
        <f t="shared" si="0"/>
        <v>2275.16</v>
      </c>
      <c r="H35" s="60" t="s">
        <v>223</v>
      </c>
    </row>
    <row r="36" s="57" customFormat="1" spans="1:8">
      <c r="A36" s="62"/>
      <c r="B36" s="62"/>
      <c r="C36" s="59" t="s">
        <v>227</v>
      </c>
      <c r="D36" s="59" t="s">
        <v>191</v>
      </c>
      <c r="E36" s="59">
        <f>88.55*0.2</f>
        <v>17.71</v>
      </c>
      <c r="F36" s="64">
        <f>634.816/1.09*1.03</f>
        <v>599.87</v>
      </c>
      <c r="G36" s="64">
        <f t="shared" si="0"/>
        <v>10623.7</v>
      </c>
      <c r="H36" s="60" t="s">
        <v>223</v>
      </c>
    </row>
    <row r="37" s="57" customFormat="1" spans="1:8">
      <c r="A37" s="62"/>
      <c r="B37" s="62"/>
      <c r="C37" s="59" t="s">
        <v>228</v>
      </c>
      <c r="D37" s="59" t="s">
        <v>101</v>
      </c>
      <c r="E37" s="59">
        <v>31.5</v>
      </c>
      <c r="F37" s="79">
        <v>35</v>
      </c>
      <c r="G37" s="59">
        <f t="shared" si="0"/>
        <v>1102.5</v>
      </c>
      <c r="H37" s="60" t="s">
        <v>229</v>
      </c>
    </row>
    <row r="38" s="57" customFormat="1" spans="1:8">
      <c r="A38" s="62"/>
      <c r="B38" s="62"/>
      <c r="C38" s="59" t="s">
        <v>230</v>
      </c>
      <c r="D38" s="59" t="s">
        <v>104</v>
      </c>
      <c r="E38" s="59">
        <v>1</v>
      </c>
      <c r="F38" s="59">
        <v>200</v>
      </c>
      <c r="G38" s="59">
        <f t="shared" si="0"/>
        <v>200</v>
      </c>
      <c r="H38" s="60"/>
    </row>
    <row r="39" s="57" customFormat="1" spans="1:8">
      <c r="A39" s="74"/>
      <c r="B39" s="74"/>
      <c r="C39" s="59" t="s">
        <v>231</v>
      </c>
      <c r="D39" s="59" t="s">
        <v>104</v>
      </c>
      <c r="E39" s="59">
        <v>2</v>
      </c>
      <c r="F39" s="59">
        <v>120</v>
      </c>
      <c r="G39" s="59">
        <f t="shared" si="0"/>
        <v>240</v>
      </c>
      <c r="H39" s="60"/>
    </row>
    <row r="40" s="57" customFormat="1" spans="1:8">
      <c r="A40" s="61">
        <v>9</v>
      </c>
      <c r="B40" s="61" t="s">
        <v>232</v>
      </c>
      <c r="C40" s="59" t="s">
        <v>233</v>
      </c>
      <c r="D40" s="59" t="s">
        <v>148</v>
      </c>
      <c r="E40" s="59">
        <v>83.338</v>
      </c>
      <c r="F40" s="59">
        <v>216</v>
      </c>
      <c r="G40" s="59">
        <f t="shared" si="0"/>
        <v>18001.008</v>
      </c>
      <c r="H40" s="60" t="s">
        <v>116</v>
      </c>
    </row>
    <row r="41" s="57" customFormat="1" ht="20" customHeight="1" spans="1:8">
      <c r="A41" s="62"/>
      <c r="B41" s="62"/>
      <c r="C41" s="59" t="s">
        <v>234</v>
      </c>
      <c r="D41" s="59" t="s">
        <v>101</v>
      </c>
      <c r="E41" s="59">
        <v>32.69</v>
      </c>
      <c r="F41" s="59">
        <v>185</v>
      </c>
      <c r="G41" s="59">
        <f t="shared" si="0"/>
        <v>6047.65</v>
      </c>
      <c r="H41" s="60" t="s">
        <v>116</v>
      </c>
    </row>
    <row r="42" s="57" customFormat="1" spans="1:8">
      <c r="A42" s="61">
        <v>10</v>
      </c>
      <c r="B42" s="61" t="s">
        <v>235</v>
      </c>
      <c r="C42" s="59" t="s">
        <v>236</v>
      </c>
      <c r="D42" s="59" t="s">
        <v>237</v>
      </c>
      <c r="E42" s="59">
        <v>1</v>
      </c>
      <c r="F42" s="59">
        <v>65000</v>
      </c>
      <c r="G42" s="59">
        <f t="shared" si="0"/>
        <v>65000</v>
      </c>
      <c r="H42" s="60" t="s">
        <v>116</v>
      </c>
    </row>
    <row r="43" s="57" customFormat="1" spans="1:8">
      <c r="A43" s="62"/>
      <c r="B43" s="62"/>
      <c r="C43" s="59" t="s">
        <v>238</v>
      </c>
      <c r="D43" s="59" t="s">
        <v>89</v>
      </c>
      <c r="E43" s="59">
        <v>1</v>
      </c>
      <c r="F43" s="59">
        <v>7000</v>
      </c>
      <c r="G43" s="59">
        <f t="shared" si="0"/>
        <v>7000</v>
      </c>
      <c r="H43" s="60" t="s">
        <v>116</v>
      </c>
    </row>
    <row r="44" s="57" customFormat="1" spans="1:12">
      <c r="A44" s="62"/>
      <c r="B44" s="62"/>
      <c r="C44" s="59" t="s">
        <v>239</v>
      </c>
      <c r="D44" s="59" t="s">
        <v>240</v>
      </c>
      <c r="E44" s="59">
        <v>2</v>
      </c>
      <c r="F44" s="64">
        <v>500</v>
      </c>
      <c r="G44" s="59">
        <f t="shared" si="0"/>
        <v>1000</v>
      </c>
      <c r="H44" s="60" t="s">
        <v>116</v>
      </c>
      <c r="L44" s="81"/>
    </row>
    <row r="45" s="57" customFormat="1" spans="1:8">
      <c r="A45" s="59">
        <v>11</v>
      </c>
      <c r="B45" s="59" t="s">
        <v>199</v>
      </c>
      <c r="C45" s="59"/>
      <c r="D45" s="59"/>
      <c r="E45" s="59"/>
      <c r="F45" s="59"/>
      <c r="G45" s="59">
        <f>SUM(G3:G44)</f>
        <v>259942.993</v>
      </c>
      <c r="H45" s="59"/>
    </row>
    <row r="46" s="57" customFormat="1" spans="1:8">
      <c r="A46" s="59">
        <v>12</v>
      </c>
      <c r="B46" s="59" t="s">
        <v>200</v>
      </c>
      <c r="C46" s="59"/>
      <c r="D46" s="59"/>
      <c r="E46" s="59"/>
      <c r="F46" s="59"/>
      <c r="G46" s="59">
        <v>259000</v>
      </c>
      <c r="H46" s="59"/>
    </row>
    <row r="47" s="57" customFormat="1" spans="1:8">
      <c r="A47" s="65"/>
      <c r="B47" s="65"/>
      <c r="C47" s="65"/>
      <c r="D47" s="65"/>
      <c r="E47" s="65"/>
      <c r="F47" s="65"/>
      <c r="G47" s="65"/>
      <c r="H47" s="65"/>
    </row>
    <row r="48" s="57" customFormat="1" spans="2:5">
      <c r="B48" s="57" t="s">
        <v>141</v>
      </c>
      <c r="E48" s="57" t="s">
        <v>142</v>
      </c>
    </row>
    <row r="49" s="57" customFormat="1" spans="2:5">
      <c r="B49" s="57" t="s">
        <v>201</v>
      </c>
      <c r="E49" s="57" t="s">
        <v>201</v>
      </c>
    </row>
  </sheetData>
  <mergeCells count="17">
    <mergeCell ref="A1:H1"/>
    <mergeCell ref="A3:A18"/>
    <mergeCell ref="A19:A26"/>
    <mergeCell ref="A27:A28"/>
    <mergeCell ref="A29:A30"/>
    <mergeCell ref="A31:A39"/>
    <mergeCell ref="A40:A41"/>
    <mergeCell ref="A42:A44"/>
    <mergeCell ref="B3:B18"/>
    <mergeCell ref="B19:B26"/>
    <mergeCell ref="B27:B28"/>
    <mergeCell ref="B29:B30"/>
    <mergeCell ref="B31:B39"/>
    <mergeCell ref="B40:B41"/>
    <mergeCell ref="B42:B44"/>
    <mergeCell ref="D6:D17"/>
    <mergeCell ref="H19:H2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6" workbookViewId="0">
      <selection activeCell="J6" sqref="J6"/>
    </sheetView>
  </sheetViews>
  <sheetFormatPr defaultColWidth="9" defaultRowHeight="14.25" outlineLevelCol="7"/>
  <cols>
    <col min="1" max="1" width="4.125" style="57" customWidth="1"/>
    <col min="2" max="2" width="7.375" style="57" customWidth="1"/>
    <col min="3" max="3" width="21.375" style="57" customWidth="1"/>
    <col min="4" max="4" width="5.875" style="57" customWidth="1"/>
    <col min="5" max="5" width="8.875" style="57" customWidth="1"/>
    <col min="6" max="6" width="9.125" style="57" customWidth="1"/>
    <col min="7" max="7" width="10.875" style="57" customWidth="1"/>
    <col min="8" max="8" width="21.5" style="57" customWidth="1"/>
    <col min="9" max="10" width="9" style="57"/>
    <col min="11" max="11" width="9.375" style="57"/>
    <col min="12" max="15" width="9" style="57"/>
    <col min="16" max="16" width="16.125" style="57" customWidth="1"/>
    <col min="17" max="16384" width="9" style="57"/>
  </cols>
  <sheetData>
    <row r="1" s="57" customFormat="1" ht="61" customHeight="1" spans="1:8">
      <c r="A1" s="58" t="s">
        <v>241</v>
      </c>
      <c r="B1" s="58"/>
      <c r="C1" s="58"/>
      <c r="D1" s="58"/>
      <c r="E1" s="58"/>
      <c r="F1" s="58"/>
      <c r="G1" s="58"/>
      <c r="H1" s="58"/>
    </row>
    <row r="2" s="57" customFormat="1" ht="33" customHeight="1" spans="1:8">
      <c r="A2" s="59" t="s">
        <v>1</v>
      </c>
      <c r="B2" s="59" t="s">
        <v>48</v>
      </c>
      <c r="C2" s="59" t="s">
        <v>83</v>
      </c>
      <c r="D2" s="59" t="s">
        <v>84</v>
      </c>
      <c r="E2" s="59" t="s">
        <v>85</v>
      </c>
      <c r="F2" s="59" t="s">
        <v>86</v>
      </c>
      <c r="G2" s="59" t="s">
        <v>87</v>
      </c>
      <c r="H2" s="60" t="s">
        <v>6</v>
      </c>
    </row>
    <row r="3" s="57" customFormat="1" ht="33" customHeight="1" spans="1:8">
      <c r="A3" s="61">
        <v>1</v>
      </c>
      <c r="B3" s="61" t="s">
        <v>242</v>
      </c>
      <c r="C3" s="59" t="s">
        <v>243</v>
      </c>
      <c r="D3" s="59" t="s">
        <v>191</v>
      </c>
      <c r="E3" s="59">
        <v>178.3</v>
      </c>
      <c r="F3" s="59">
        <v>27</v>
      </c>
      <c r="G3" s="59">
        <f t="shared" ref="G3:G12" si="0">F3*E3</f>
        <v>4814.1</v>
      </c>
      <c r="H3" s="60" t="s">
        <v>244</v>
      </c>
    </row>
    <row r="4" s="57" customFormat="1" ht="33" customHeight="1" spans="1:8">
      <c r="A4" s="62"/>
      <c r="B4" s="62"/>
      <c r="C4" s="59" t="s">
        <v>227</v>
      </c>
      <c r="D4" s="59" t="s">
        <v>148</v>
      </c>
      <c r="E4" s="59">
        <v>167.43</v>
      </c>
      <c r="F4" s="59">
        <f>(175/0.2-10)*0.2</f>
        <v>173</v>
      </c>
      <c r="G4" s="59">
        <f t="shared" si="0"/>
        <v>28965.39</v>
      </c>
      <c r="H4" s="60" t="s">
        <v>245</v>
      </c>
    </row>
    <row r="5" s="57" customFormat="1" ht="33" customHeight="1" spans="1:8">
      <c r="A5" s="62"/>
      <c r="B5" s="62"/>
      <c r="C5" s="59" t="s">
        <v>246</v>
      </c>
      <c r="D5" s="59" t="s">
        <v>148</v>
      </c>
      <c r="E5" s="59">
        <v>785.92</v>
      </c>
      <c r="F5" s="63">
        <v>130</v>
      </c>
      <c r="G5" s="59">
        <f t="shared" si="0"/>
        <v>102169.6</v>
      </c>
      <c r="H5" s="60" t="s">
        <v>247</v>
      </c>
    </row>
    <row r="6" s="57" customFormat="1" ht="33" customHeight="1" spans="1:8">
      <c r="A6" s="62"/>
      <c r="B6" s="62"/>
      <c r="C6" s="59" t="s">
        <v>248</v>
      </c>
      <c r="D6" s="59" t="s">
        <v>148</v>
      </c>
      <c r="E6" s="59">
        <f>0.3*0.6*199</f>
        <v>35.82</v>
      </c>
      <c r="F6" s="64">
        <f>158.542/1.09*1.032</f>
        <v>150.11</v>
      </c>
      <c r="G6" s="64">
        <f t="shared" si="0"/>
        <v>5376.94</v>
      </c>
      <c r="H6" s="60" t="s">
        <v>249</v>
      </c>
    </row>
    <row r="7" s="57" customFormat="1" ht="33" customHeight="1" spans="1:8">
      <c r="A7" s="62"/>
      <c r="B7" s="62"/>
      <c r="C7" s="59" t="s">
        <v>250</v>
      </c>
      <c r="D7" s="59" t="s">
        <v>251</v>
      </c>
      <c r="E7" s="59">
        <v>5</v>
      </c>
      <c r="F7" s="59">
        <v>300</v>
      </c>
      <c r="G7" s="59">
        <f t="shared" si="0"/>
        <v>1500</v>
      </c>
      <c r="H7" s="60" t="s">
        <v>252</v>
      </c>
    </row>
    <row r="8" s="57" customFormat="1" ht="33" customHeight="1" spans="1:8">
      <c r="A8" s="62"/>
      <c r="B8" s="62"/>
      <c r="C8" s="59" t="s">
        <v>253</v>
      </c>
      <c r="D8" s="59" t="s">
        <v>251</v>
      </c>
      <c r="E8" s="59">
        <v>15</v>
      </c>
      <c r="F8" s="59">
        <v>950</v>
      </c>
      <c r="G8" s="59">
        <f t="shared" si="0"/>
        <v>14250</v>
      </c>
      <c r="H8" s="60" t="s">
        <v>254</v>
      </c>
    </row>
    <row r="9" s="57" customFormat="1" ht="33" customHeight="1" spans="1:8">
      <c r="A9" s="62"/>
      <c r="B9" s="62"/>
      <c r="C9" s="59" t="s">
        <v>255</v>
      </c>
      <c r="D9" s="59" t="s">
        <v>101</v>
      </c>
      <c r="E9" s="59">
        <v>116.4</v>
      </c>
      <c r="F9" s="63">
        <v>140</v>
      </c>
      <c r="G9" s="59">
        <f t="shared" si="0"/>
        <v>16296</v>
      </c>
      <c r="H9" s="60" t="s">
        <v>169</v>
      </c>
    </row>
    <row r="10" s="57" customFormat="1" ht="33" customHeight="1" spans="1:8">
      <c r="A10" s="62"/>
      <c r="B10" s="62"/>
      <c r="C10" s="59" t="s">
        <v>256</v>
      </c>
      <c r="D10" s="59" t="s">
        <v>251</v>
      </c>
      <c r="E10" s="59">
        <v>400</v>
      </c>
      <c r="F10" s="59">
        <v>0</v>
      </c>
      <c r="G10" s="59">
        <f t="shared" si="0"/>
        <v>0</v>
      </c>
      <c r="H10" s="60" t="s">
        <v>257</v>
      </c>
    </row>
    <row r="11" s="57" customFormat="1" ht="33" customHeight="1" spans="1:8">
      <c r="A11" s="62"/>
      <c r="B11" s="62"/>
      <c r="C11" s="59" t="s">
        <v>258</v>
      </c>
      <c r="D11" s="59" t="s">
        <v>148</v>
      </c>
      <c r="E11" s="59">
        <v>318.72</v>
      </c>
      <c r="F11" s="59">
        <v>40</v>
      </c>
      <c r="G11" s="59">
        <f t="shared" si="0"/>
        <v>12748.8</v>
      </c>
      <c r="H11" s="60" t="s">
        <v>259</v>
      </c>
    </row>
    <row r="12" s="57" customFormat="1" ht="33" customHeight="1" spans="1:8">
      <c r="A12" s="62"/>
      <c r="B12" s="62"/>
      <c r="C12" s="59" t="s">
        <v>260</v>
      </c>
      <c r="D12" s="59" t="s">
        <v>101</v>
      </c>
      <c r="E12" s="59">
        <v>24</v>
      </c>
      <c r="F12" s="64">
        <f>59.5/1.09*1.01</f>
        <v>55.13</v>
      </c>
      <c r="G12" s="59">
        <f t="shared" si="0"/>
        <v>1323.12</v>
      </c>
      <c r="H12" s="60" t="s">
        <v>261</v>
      </c>
    </row>
    <row r="13" s="57" customFormat="1" ht="33" customHeight="1" spans="1:8">
      <c r="A13" s="59">
        <v>2</v>
      </c>
      <c r="B13" s="59" t="s">
        <v>262</v>
      </c>
      <c r="C13" s="59" t="s">
        <v>263</v>
      </c>
      <c r="D13" s="59" t="s">
        <v>101</v>
      </c>
      <c r="E13" s="59">
        <v>200</v>
      </c>
      <c r="F13" s="59">
        <f>G13/E13</f>
        <v>15</v>
      </c>
      <c r="G13" s="59">
        <v>3000</v>
      </c>
      <c r="H13" s="60" t="s">
        <v>264</v>
      </c>
    </row>
    <row r="14" s="57" customFormat="1" ht="33" customHeight="1" spans="1:8">
      <c r="A14" s="59"/>
      <c r="B14" s="59"/>
      <c r="C14" s="59" t="s">
        <v>215</v>
      </c>
      <c r="D14" s="59" t="s">
        <v>95</v>
      </c>
      <c r="E14" s="59">
        <v>1</v>
      </c>
      <c r="F14" s="59">
        <v>590</v>
      </c>
      <c r="G14" s="59">
        <f t="shared" ref="G14:G18" si="1">E14*F14</f>
        <v>590</v>
      </c>
      <c r="H14" s="60" t="s">
        <v>265</v>
      </c>
    </row>
    <row r="15" s="57" customFormat="1" ht="33" customHeight="1" spans="1:8">
      <c r="A15" s="59">
        <v>3</v>
      </c>
      <c r="B15" s="59" t="s">
        <v>266</v>
      </c>
      <c r="C15" s="59" t="s">
        <v>267</v>
      </c>
      <c r="D15" s="59"/>
      <c r="E15" s="59"/>
      <c r="F15" s="59"/>
      <c r="G15" s="59">
        <f t="shared" si="1"/>
        <v>0</v>
      </c>
      <c r="H15" s="60" t="s">
        <v>268</v>
      </c>
    </row>
    <row r="16" s="57" customFormat="1" ht="33" customHeight="1" spans="1:8">
      <c r="A16" s="59"/>
      <c r="B16" s="59"/>
      <c r="C16" s="59" t="s">
        <v>269</v>
      </c>
      <c r="D16" s="59" t="s">
        <v>89</v>
      </c>
      <c r="E16" s="59">
        <v>1</v>
      </c>
      <c r="F16" s="59">
        <v>1000</v>
      </c>
      <c r="G16" s="59">
        <f t="shared" si="1"/>
        <v>1000</v>
      </c>
      <c r="H16" s="60" t="s">
        <v>270</v>
      </c>
    </row>
    <row r="17" s="57" customFormat="1" ht="33" customHeight="1" spans="1:8">
      <c r="A17" s="59">
        <v>4</v>
      </c>
      <c r="B17" s="59" t="s">
        <v>271</v>
      </c>
      <c r="C17" s="59" t="s">
        <v>272</v>
      </c>
      <c r="D17" s="59"/>
      <c r="E17" s="59"/>
      <c r="F17" s="59"/>
      <c r="G17" s="59">
        <f t="shared" si="1"/>
        <v>0</v>
      </c>
      <c r="H17" s="60"/>
    </row>
    <row r="18" s="57" customFormat="1" ht="33" customHeight="1" spans="1:8">
      <c r="A18" s="59"/>
      <c r="B18" s="59"/>
      <c r="C18" s="59" t="s">
        <v>273</v>
      </c>
      <c r="D18" s="59" t="s">
        <v>89</v>
      </c>
      <c r="E18" s="59">
        <v>1</v>
      </c>
      <c r="F18" s="59">
        <v>5000</v>
      </c>
      <c r="G18" s="59">
        <f t="shared" si="1"/>
        <v>5000</v>
      </c>
      <c r="H18" s="60" t="s">
        <v>270</v>
      </c>
    </row>
    <row r="19" s="57" customFormat="1" ht="33" customHeight="1" spans="1:8">
      <c r="A19" s="59">
        <v>5</v>
      </c>
      <c r="B19" s="59" t="s">
        <v>199</v>
      </c>
      <c r="C19" s="59"/>
      <c r="D19" s="59"/>
      <c r="E19" s="59"/>
      <c r="F19" s="59"/>
      <c r="G19" s="59">
        <f>SUM(G3:G18)</f>
        <v>197033.95</v>
      </c>
      <c r="H19" s="59"/>
    </row>
    <row r="20" s="57" customFormat="1" ht="33" customHeight="1" spans="1:8">
      <c r="A20" s="59">
        <v>6</v>
      </c>
      <c r="B20" s="59" t="s">
        <v>200</v>
      </c>
      <c r="C20" s="59"/>
      <c r="D20" s="59"/>
      <c r="E20" s="59"/>
      <c r="F20" s="59"/>
      <c r="G20" s="59">
        <v>197000</v>
      </c>
      <c r="H20" s="59"/>
    </row>
    <row r="21" s="57" customFormat="1" spans="1:8">
      <c r="A21" s="65"/>
      <c r="B21" s="65"/>
      <c r="C21" s="65"/>
      <c r="D21" s="65"/>
      <c r="E21" s="65"/>
      <c r="F21" s="65"/>
      <c r="G21" s="65"/>
      <c r="H21" s="65"/>
    </row>
    <row r="22" s="57" customFormat="1" spans="2:5">
      <c r="B22" s="57" t="s">
        <v>141</v>
      </c>
      <c r="E22" s="57" t="s">
        <v>142</v>
      </c>
    </row>
    <row r="23" s="57" customFormat="1" spans="2:5">
      <c r="B23" s="57" t="s">
        <v>201</v>
      </c>
      <c r="E23" s="57" t="s">
        <v>201</v>
      </c>
    </row>
  </sheetData>
  <mergeCells count="9">
    <mergeCell ref="A1:H1"/>
    <mergeCell ref="A3:A12"/>
    <mergeCell ref="A13:A14"/>
    <mergeCell ref="A15:A16"/>
    <mergeCell ref="A17:A18"/>
    <mergeCell ref="B3:B12"/>
    <mergeCell ref="B13:B14"/>
    <mergeCell ref="B15:B16"/>
    <mergeCell ref="B17:B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N9" sqref="N9"/>
    </sheetView>
  </sheetViews>
  <sheetFormatPr defaultColWidth="9" defaultRowHeight="14.25"/>
  <cols>
    <col min="1" max="1" width="3.875" style="2" customWidth="1"/>
    <col min="2" max="2" width="8.875" style="2" customWidth="1"/>
    <col min="3" max="3" width="24.375" style="2" customWidth="1"/>
    <col min="4" max="4" width="3.875" style="2" customWidth="1"/>
    <col min="5" max="5" width="7.5" style="2" customWidth="1"/>
    <col min="6" max="6" width="7.375" style="3" customWidth="1"/>
    <col min="7" max="8" width="7.625" style="3" customWidth="1"/>
    <col min="9" max="9" width="9.5" style="3" customWidth="1"/>
    <col min="10" max="10" width="8.75" style="3" customWidth="1"/>
    <col min="11" max="11" width="9.75" style="3"/>
    <col min="12" max="12" width="11.375" style="2"/>
    <col min="13" max="13" width="11.375" style="2" customWidth="1"/>
    <col min="14" max="14" width="12.75" style="2"/>
    <col min="15" max="15" width="12.5416666666667" style="2"/>
    <col min="16" max="16" width="9" style="2"/>
    <col min="17" max="17" width="12.9333333333333" style="2" customWidth="1"/>
    <col min="18" max="18" width="12.5416666666667" style="2"/>
    <col min="19" max="19" width="9" style="2"/>
    <col min="20" max="20" width="12.5416666666667" style="2"/>
    <col min="21" max="16384" width="9" style="2"/>
  </cols>
  <sheetData>
    <row r="1" s="2" customFormat="1" ht="24" customHeight="1" spans="1:13">
      <c r="A1" s="4" t="s">
        <v>274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2.95" customHeight="1" spans="1:13">
      <c r="A2" s="5" t="s">
        <v>1</v>
      </c>
      <c r="B2" s="6" t="s">
        <v>275</v>
      </c>
      <c r="C2" s="6" t="s">
        <v>276</v>
      </c>
      <c r="D2" s="6" t="s">
        <v>84</v>
      </c>
      <c r="E2" s="7" t="s">
        <v>277</v>
      </c>
      <c r="F2" s="8" t="s">
        <v>278</v>
      </c>
      <c r="G2" s="9"/>
      <c r="H2" s="9"/>
      <c r="I2" s="9"/>
      <c r="J2" s="25"/>
      <c r="K2" s="13" t="s">
        <v>279</v>
      </c>
      <c r="L2" s="13" t="s">
        <v>280</v>
      </c>
      <c r="M2" s="13" t="s">
        <v>6</v>
      </c>
    </row>
    <row r="3" s="2" customFormat="1" ht="53" customHeight="1" spans="1:13">
      <c r="A3" s="10"/>
      <c r="B3" s="11"/>
      <c r="C3" s="11"/>
      <c r="D3" s="11"/>
      <c r="E3" s="12"/>
      <c r="F3" s="13" t="s">
        <v>281</v>
      </c>
      <c r="G3" s="13" t="s">
        <v>282</v>
      </c>
      <c r="H3" s="13" t="s">
        <v>283</v>
      </c>
      <c r="I3" s="26" t="s">
        <v>284</v>
      </c>
      <c r="J3" s="26" t="s">
        <v>285</v>
      </c>
      <c r="K3" s="27"/>
      <c r="L3" s="27"/>
      <c r="M3" s="27"/>
    </row>
    <row r="4" s="2" customFormat="1" ht="23" customHeight="1" spans="1:13">
      <c r="A4" s="14" t="s">
        <v>53</v>
      </c>
      <c r="B4" s="37" t="s">
        <v>286</v>
      </c>
      <c r="C4" s="37"/>
      <c r="D4" s="14"/>
      <c r="E4" s="14"/>
      <c r="F4" s="17"/>
      <c r="G4" s="20"/>
      <c r="H4" s="17"/>
      <c r="I4" s="23"/>
      <c r="J4" s="49"/>
      <c r="K4" s="35"/>
      <c r="L4" s="36"/>
      <c r="M4" s="36"/>
    </row>
    <row r="5" s="2" customFormat="1" ht="63" spans="1:13">
      <c r="A5" s="14">
        <v>1</v>
      </c>
      <c r="B5" s="38" t="s">
        <v>287</v>
      </c>
      <c r="C5" s="38" t="s">
        <v>288</v>
      </c>
      <c r="D5" s="39" t="s">
        <v>191</v>
      </c>
      <c r="E5" s="40">
        <f>(30+8)*1.2*0.1+(30+22+30)*2.1*0.1+((30+8)*1.2+(30+22+30)*2.1)*0.375-3.14*0.32*0.32*202/2</f>
        <v>70.98</v>
      </c>
      <c r="F5" s="17">
        <v>60</v>
      </c>
      <c r="G5" s="20">
        <v>400</v>
      </c>
      <c r="H5" s="41">
        <v>50</v>
      </c>
      <c r="I5" s="50">
        <f>(F5+G5+H5)*0.12</f>
        <v>61.2</v>
      </c>
      <c r="J5" s="50">
        <f>SUM(F5:I5)*0.03</f>
        <v>17.14</v>
      </c>
      <c r="K5" s="32">
        <f>F5+G5+H5+I5+J5</f>
        <v>588.34</v>
      </c>
      <c r="L5" s="51">
        <f t="shared" ref="L5:L14" si="0">K5*E5</f>
        <v>41760.37</v>
      </c>
      <c r="M5" s="36" t="s">
        <v>289</v>
      </c>
    </row>
    <row r="6" s="2" customFormat="1" ht="48" customHeight="1" spans="1:15">
      <c r="A6" s="14">
        <v>2</v>
      </c>
      <c r="B6" s="14" t="s">
        <v>290</v>
      </c>
      <c r="C6" s="15" t="s">
        <v>291</v>
      </c>
      <c r="D6" s="16" t="s">
        <v>101</v>
      </c>
      <c r="E6" s="42">
        <v>202</v>
      </c>
      <c r="F6" s="43">
        <v>55</v>
      </c>
      <c r="G6" s="43">
        <v>155</v>
      </c>
      <c r="H6" s="43">
        <v>35</v>
      </c>
      <c r="I6" s="52">
        <f>((F6+G6+H6)*0.06)*0.7103839320882</f>
        <v>10.44</v>
      </c>
      <c r="J6" s="32">
        <f>(F6+G6+H6+I6)*0.03</f>
        <v>7.66</v>
      </c>
      <c r="K6" s="32">
        <f>SUM(F6:J6)</f>
        <v>263.1</v>
      </c>
      <c r="L6" s="51">
        <f t="shared" si="0"/>
        <v>53146.2</v>
      </c>
      <c r="M6" s="31" t="s">
        <v>292</v>
      </c>
      <c r="N6" s="3"/>
      <c r="O6" s="53"/>
    </row>
    <row r="7" s="2" customFormat="1" ht="39" customHeight="1" spans="1:18">
      <c r="A7" s="14">
        <v>3</v>
      </c>
      <c r="B7" s="44" t="s">
        <v>293</v>
      </c>
      <c r="C7" s="37" t="s">
        <v>294</v>
      </c>
      <c r="D7" s="23" t="s">
        <v>295</v>
      </c>
      <c r="E7" s="23">
        <v>3</v>
      </c>
      <c r="F7" s="23"/>
      <c r="G7" s="23"/>
      <c r="H7" s="17"/>
      <c r="I7" s="23"/>
      <c r="J7" s="49"/>
      <c r="K7" s="32">
        <v>2050</v>
      </c>
      <c r="L7" s="32">
        <f t="shared" si="0"/>
        <v>6150</v>
      </c>
      <c r="M7" s="31" t="s">
        <v>292</v>
      </c>
      <c r="R7" s="56"/>
    </row>
    <row r="8" s="2" customFormat="1" spans="1:18">
      <c r="A8" s="14">
        <v>4</v>
      </c>
      <c r="B8" s="44" t="s">
        <v>296</v>
      </c>
      <c r="C8" s="44" t="s">
        <v>297</v>
      </c>
      <c r="D8" s="23" t="s">
        <v>95</v>
      </c>
      <c r="E8" s="23">
        <v>2</v>
      </c>
      <c r="F8" s="23">
        <v>100</v>
      </c>
      <c r="G8" s="23">
        <v>370</v>
      </c>
      <c r="H8" s="17">
        <v>50</v>
      </c>
      <c r="I8" s="23">
        <v>53</v>
      </c>
      <c r="J8" s="49">
        <v>17.49</v>
      </c>
      <c r="K8" s="32">
        <f>SUM(F8:J8)</f>
        <v>590.49</v>
      </c>
      <c r="L8" s="32">
        <f t="shared" si="0"/>
        <v>1180.98</v>
      </c>
      <c r="M8" s="31" t="s">
        <v>292</v>
      </c>
      <c r="R8" s="56"/>
    </row>
    <row r="9" s="2" customFormat="1" ht="61" customHeight="1" spans="1:18">
      <c r="A9" s="14">
        <v>5</v>
      </c>
      <c r="B9" s="37" t="s">
        <v>298</v>
      </c>
      <c r="C9" s="15" t="s">
        <v>299</v>
      </c>
      <c r="D9" s="16" t="s">
        <v>295</v>
      </c>
      <c r="E9" s="17">
        <v>1</v>
      </c>
      <c r="F9" s="21">
        <v>1000</v>
      </c>
      <c r="G9" s="22">
        <v>35000</v>
      </c>
      <c r="H9" s="17">
        <v>11500</v>
      </c>
      <c r="I9" s="28">
        <v>9000</v>
      </c>
      <c r="J9" s="32">
        <v>1695</v>
      </c>
      <c r="K9" s="54">
        <f>F9+G9+H9+I9+J9</f>
        <v>58195</v>
      </c>
      <c r="L9" s="32">
        <f t="shared" si="0"/>
        <v>58195</v>
      </c>
      <c r="M9" s="31" t="s">
        <v>292</v>
      </c>
      <c r="R9" s="56"/>
    </row>
    <row r="10" s="2" customFormat="1" ht="18" customHeight="1" spans="1:18">
      <c r="A10" s="45">
        <v>6</v>
      </c>
      <c r="B10" s="46" t="s">
        <v>300</v>
      </c>
      <c r="C10" s="37" t="s">
        <v>301</v>
      </c>
      <c r="D10" s="23" t="s">
        <v>148</v>
      </c>
      <c r="E10" s="23">
        <f>52*2.1+(15+8)*1.2</f>
        <v>136.8</v>
      </c>
      <c r="F10" s="23"/>
      <c r="G10" s="23"/>
      <c r="H10" s="17"/>
      <c r="I10" s="23"/>
      <c r="J10" s="49"/>
      <c r="K10" s="32">
        <v>150</v>
      </c>
      <c r="L10" s="32">
        <f t="shared" si="0"/>
        <v>20520</v>
      </c>
      <c r="M10" s="31"/>
      <c r="R10" s="56"/>
    </row>
    <row r="11" s="2" customFormat="1" ht="18" customHeight="1" spans="1:18">
      <c r="A11" s="47"/>
      <c r="B11" s="48"/>
      <c r="C11" s="37" t="s">
        <v>302</v>
      </c>
      <c r="D11" s="23" t="s">
        <v>101</v>
      </c>
      <c r="E11" s="23">
        <v>140</v>
      </c>
      <c r="F11" s="23"/>
      <c r="G11" s="23"/>
      <c r="H11" s="17"/>
      <c r="I11" s="23"/>
      <c r="J11" s="49"/>
      <c r="K11" s="32">
        <f>20*1.03</f>
        <v>20.6</v>
      </c>
      <c r="L11" s="32">
        <f t="shared" si="0"/>
        <v>2884</v>
      </c>
      <c r="M11" s="31"/>
      <c r="R11" s="56"/>
    </row>
    <row r="12" s="2" customFormat="1" ht="33.75" spans="1:18">
      <c r="A12" s="14">
        <v>7</v>
      </c>
      <c r="B12" s="16" t="s">
        <v>303</v>
      </c>
      <c r="C12" s="16" t="s">
        <v>304</v>
      </c>
      <c r="D12" s="16" t="s">
        <v>191</v>
      </c>
      <c r="E12" s="40">
        <f>(30+52)*2.1*3.05+(8+30)*1.2*3.05</f>
        <v>664.29</v>
      </c>
      <c r="F12" s="21"/>
      <c r="G12" s="22"/>
      <c r="H12" s="17"/>
      <c r="I12" s="28"/>
      <c r="J12" s="32"/>
      <c r="K12" s="54">
        <v>26.9</v>
      </c>
      <c r="L12" s="54">
        <f t="shared" si="0"/>
        <v>17869.4</v>
      </c>
      <c r="M12" s="55" t="s">
        <v>305</v>
      </c>
      <c r="R12" s="56"/>
    </row>
    <row r="13" s="2" customFormat="1" ht="29" customHeight="1" spans="1:18">
      <c r="A13" s="14">
        <v>8</v>
      </c>
      <c r="B13" s="44" t="s">
        <v>306</v>
      </c>
      <c r="C13" s="37"/>
      <c r="D13" s="39" t="s">
        <v>191</v>
      </c>
      <c r="E13" s="40">
        <f>(30+52)*2.1*2.625+(8+30)*1.2*2.625+15*1.2*0.2+30*2.1*0.2</f>
        <v>587.93</v>
      </c>
      <c r="G13" s="22"/>
      <c r="H13" s="17"/>
      <c r="I13" s="28"/>
      <c r="J13" s="32"/>
      <c r="K13" s="32">
        <v>8.5</v>
      </c>
      <c r="L13" s="32">
        <f t="shared" si="0"/>
        <v>4997.41</v>
      </c>
      <c r="M13" s="55" t="s">
        <v>307</v>
      </c>
      <c r="R13" s="56"/>
    </row>
    <row r="14" s="2" customFormat="1" ht="27" customHeight="1" spans="1:18">
      <c r="A14" s="14">
        <v>9</v>
      </c>
      <c r="B14" s="44" t="s">
        <v>308</v>
      </c>
      <c r="C14" s="37" t="s">
        <v>309</v>
      </c>
      <c r="D14" s="23" t="s">
        <v>191</v>
      </c>
      <c r="E14" s="40">
        <f>((15+8)*1.2+(30+22)*2.1)*0.25</f>
        <v>34.2</v>
      </c>
      <c r="F14" s="17">
        <v>60</v>
      </c>
      <c r="G14" s="20">
        <v>420</v>
      </c>
      <c r="H14" s="41">
        <v>50</v>
      </c>
      <c r="I14" s="50">
        <f>(F14+G14+H14)*0.12</f>
        <v>63.6</v>
      </c>
      <c r="J14" s="50">
        <f>SUM(F14:I14)*0.03</f>
        <v>17.81</v>
      </c>
      <c r="K14" s="32">
        <f>F14+G14+H14+I14+J14</f>
        <v>611.41</v>
      </c>
      <c r="L14" s="32">
        <f t="shared" si="0"/>
        <v>20910.22</v>
      </c>
      <c r="M14" s="36" t="s">
        <v>289</v>
      </c>
      <c r="R14" s="56"/>
    </row>
    <row r="15" s="2" customFormat="1" ht="24" customHeight="1" spans="1:18">
      <c r="A15" s="23" t="s">
        <v>51</v>
      </c>
      <c r="B15" s="23"/>
      <c r="C15" s="23"/>
      <c r="D15" s="23"/>
      <c r="E15" s="23"/>
      <c r="F15" s="23"/>
      <c r="G15" s="23"/>
      <c r="H15" s="17"/>
      <c r="I15" s="23"/>
      <c r="J15" s="49"/>
      <c r="K15" s="35"/>
      <c r="L15" s="54">
        <f>SUM(L5:L14)</f>
        <v>227613.58</v>
      </c>
      <c r="M15" s="36"/>
      <c r="R15" s="56"/>
    </row>
    <row r="16" s="2" customFormat="1" spans="6:18">
      <c r="F16" s="3"/>
      <c r="G16" s="3"/>
      <c r="H16" s="3"/>
      <c r="I16" s="3"/>
      <c r="J16" s="3"/>
      <c r="K16" s="3"/>
      <c r="R16" s="56"/>
    </row>
    <row r="17" s="2" customFormat="1" spans="6:18">
      <c r="F17" s="3"/>
      <c r="G17" s="3"/>
      <c r="H17" s="3"/>
      <c r="I17" s="3"/>
      <c r="J17" s="3"/>
      <c r="K17" s="3"/>
      <c r="R17" s="56"/>
    </row>
    <row r="18" s="2" customFormat="1" spans="6:18">
      <c r="F18" s="3"/>
      <c r="G18" s="3"/>
      <c r="H18" s="3"/>
      <c r="I18" s="3"/>
      <c r="J18" s="3"/>
      <c r="K18" s="3"/>
      <c r="R18" s="56"/>
    </row>
    <row r="19" s="2" customFormat="1" spans="6:11">
      <c r="F19" s="3"/>
      <c r="G19" s="3"/>
      <c r="H19" s="3"/>
      <c r="I19" s="3"/>
      <c r="J19" s="3"/>
      <c r="K19" s="3"/>
    </row>
    <row r="20" s="2" customFormat="1" spans="6:11">
      <c r="F20" s="3"/>
      <c r="G20" s="3"/>
      <c r="H20" s="3"/>
      <c r="I20" s="3"/>
      <c r="J20" s="3"/>
      <c r="K20" s="3"/>
    </row>
    <row r="21" s="2" customFormat="1" spans="6:11">
      <c r="F21" s="3"/>
      <c r="G21" s="3"/>
      <c r="H21" s="3"/>
      <c r="I21" s="3"/>
      <c r="J21" s="3"/>
      <c r="K21" s="3"/>
    </row>
    <row r="22" s="2" customFormat="1" spans="5:11">
      <c r="E22" s="24"/>
      <c r="F22" s="3"/>
      <c r="G22" s="3"/>
      <c r="H22" s="3"/>
      <c r="I22" s="3"/>
      <c r="J22" s="3"/>
      <c r="K22" s="3"/>
    </row>
    <row r="23" s="2" customFormat="1" spans="5:11">
      <c r="E23" s="24"/>
      <c r="F23" s="3"/>
      <c r="G23" s="3"/>
      <c r="H23" s="3"/>
      <c r="I23" s="3"/>
      <c r="J23" s="3"/>
      <c r="K23" s="3"/>
    </row>
    <row r="24" s="2" customFormat="1" spans="5:11">
      <c r="E24" s="24"/>
      <c r="F24" s="3"/>
      <c r="G24" s="3"/>
      <c r="H24" s="3"/>
      <c r="I24" s="3"/>
      <c r="J24" s="3"/>
      <c r="K24" s="3"/>
    </row>
  </sheetData>
  <mergeCells count="14">
    <mergeCell ref="A1:M1"/>
    <mergeCell ref="F2:J2"/>
    <mergeCell ref="B4:C4"/>
    <mergeCell ref="A15:G15"/>
    <mergeCell ref="A2:A3"/>
    <mergeCell ref="A10:A11"/>
    <mergeCell ref="B2:B3"/>
    <mergeCell ref="B10:B11"/>
    <mergeCell ref="C2:C3"/>
    <mergeCell ref="D2:D3"/>
    <mergeCell ref="E2:E3"/>
    <mergeCell ref="K2:K3"/>
    <mergeCell ref="L2:L3"/>
    <mergeCell ref="M2:M3"/>
  </mergeCells>
  <pageMargins left="0.751388888888889" right="0.751388888888889" top="0.60625" bottom="0.409027777777778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11" sqref="L11"/>
    </sheetView>
  </sheetViews>
  <sheetFormatPr defaultColWidth="9" defaultRowHeight="14.25"/>
  <cols>
    <col min="1" max="1" width="3.875" style="2" customWidth="1"/>
    <col min="2" max="2" width="8.875" style="2" customWidth="1"/>
    <col min="3" max="3" width="20.625" style="2" customWidth="1"/>
    <col min="4" max="4" width="3.875" style="2" customWidth="1"/>
    <col min="5" max="6" width="7.5" style="2" customWidth="1"/>
    <col min="7" max="7" width="7.625" style="2" customWidth="1"/>
    <col min="8" max="8" width="10.125" style="2" customWidth="1"/>
    <col min="9" max="9" width="11.125" style="2" customWidth="1"/>
    <col min="10" max="10" width="10.375" style="2" customWidth="1"/>
    <col min="11" max="11" width="9" style="3"/>
    <col min="12" max="16384" width="9" style="2"/>
  </cols>
  <sheetData>
    <row r="1" s="2" customFormat="1" ht="33.95" customHeight="1" spans="1:13">
      <c r="A1" s="4" t="s">
        <v>310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1" customHeight="1" spans="1:13">
      <c r="A2" s="5" t="s">
        <v>1</v>
      </c>
      <c r="B2" s="6" t="s">
        <v>275</v>
      </c>
      <c r="C2" s="6" t="s">
        <v>276</v>
      </c>
      <c r="D2" s="6" t="s">
        <v>84</v>
      </c>
      <c r="E2" s="7" t="s">
        <v>277</v>
      </c>
      <c r="F2" s="8" t="s">
        <v>278</v>
      </c>
      <c r="G2" s="9"/>
      <c r="H2" s="9"/>
      <c r="I2" s="9"/>
      <c r="J2" s="25"/>
      <c r="K2" s="13" t="s">
        <v>279</v>
      </c>
      <c r="L2" s="13" t="s">
        <v>280</v>
      </c>
      <c r="M2" s="13" t="s">
        <v>6</v>
      </c>
    </row>
    <row r="3" s="2" customFormat="1" ht="48" customHeight="1" spans="1:13">
      <c r="A3" s="10"/>
      <c r="B3" s="11"/>
      <c r="C3" s="11"/>
      <c r="D3" s="11"/>
      <c r="E3" s="12"/>
      <c r="F3" s="13" t="s">
        <v>281</v>
      </c>
      <c r="G3" s="13" t="s">
        <v>282</v>
      </c>
      <c r="H3" s="13" t="s">
        <v>283</v>
      </c>
      <c r="I3" s="26" t="s">
        <v>284</v>
      </c>
      <c r="J3" s="26" t="s">
        <v>285</v>
      </c>
      <c r="K3" s="27"/>
      <c r="L3" s="27"/>
      <c r="M3" s="27"/>
    </row>
    <row r="4" s="2" customFormat="1" ht="33" customHeight="1" spans="1:13">
      <c r="A4" s="14">
        <v>1</v>
      </c>
      <c r="B4" s="14" t="s">
        <v>311</v>
      </c>
      <c r="C4" s="15" t="s">
        <v>312</v>
      </c>
      <c r="D4" s="16" t="s">
        <v>101</v>
      </c>
      <c r="E4" s="17">
        <f>1.4+3+4.1+5</f>
        <v>13.5</v>
      </c>
      <c r="F4" s="18"/>
      <c r="G4" s="18"/>
      <c r="H4" s="17"/>
      <c r="I4" s="28"/>
      <c r="J4" s="29"/>
      <c r="K4" s="30">
        <v>25</v>
      </c>
      <c r="L4" s="30">
        <f t="shared" ref="L4:L9" si="0">K4*E4</f>
        <v>337.5</v>
      </c>
      <c r="M4" s="31" t="s">
        <v>313</v>
      </c>
    </row>
    <row r="5" s="2" customFormat="1" ht="33.75" spans="1:13">
      <c r="A5" s="14">
        <v>2</v>
      </c>
      <c r="B5" s="14" t="s">
        <v>311</v>
      </c>
      <c r="C5" s="15" t="s">
        <v>314</v>
      </c>
      <c r="D5" s="16" t="s">
        <v>101</v>
      </c>
      <c r="E5" s="17">
        <f>4.4+5.8+5+9</f>
        <v>24.2</v>
      </c>
      <c r="F5" s="18"/>
      <c r="G5" s="18"/>
      <c r="H5" s="17"/>
      <c r="I5" s="28"/>
      <c r="J5" s="29"/>
      <c r="K5" s="30">
        <v>30</v>
      </c>
      <c r="L5" s="30">
        <f t="shared" si="0"/>
        <v>726</v>
      </c>
      <c r="M5" s="31" t="s">
        <v>313</v>
      </c>
    </row>
    <row r="6" s="2" customFormat="1" ht="33.75" spans="1:13">
      <c r="A6" s="14">
        <v>3</v>
      </c>
      <c r="B6" s="14" t="s">
        <v>311</v>
      </c>
      <c r="C6" s="15" t="s">
        <v>315</v>
      </c>
      <c r="D6" s="16" t="s">
        <v>101</v>
      </c>
      <c r="E6" s="17">
        <v>4</v>
      </c>
      <c r="F6" s="19"/>
      <c r="G6" s="19"/>
      <c r="H6" s="17"/>
      <c r="I6" s="28"/>
      <c r="J6" s="29"/>
      <c r="K6" s="30">
        <v>14.54</v>
      </c>
      <c r="L6" s="30">
        <f t="shared" si="0"/>
        <v>58.16</v>
      </c>
      <c r="M6" s="31" t="s">
        <v>292</v>
      </c>
    </row>
    <row r="7" s="2" customFormat="1" ht="33.75" spans="1:13">
      <c r="A7" s="14">
        <v>4</v>
      </c>
      <c r="B7" s="14" t="s">
        <v>311</v>
      </c>
      <c r="C7" s="15" t="s">
        <v>316</v>
      </c>
      <c r="D7" s="16" t="s">
        <v>101</v>
      </c>
      <c r="E7" s="17">
        <f>6.5+6.5</f>
        <v>13</v>
      </c>
      <c r="F7" s="19"/>
      <c r="G7" s="19"/>
      <c r="H7" s="17"/>
      <c r="I7" s="28"/>
      <c r="J7" s="29"/>
      <c r="K7" s="30">
        <f>36.65+20</f>
        <v>56.65</v>
      </c>
      <c r="L7" s="30">
        <f t="shared" si="0"/>
        <v>736.45</v>
      </c>
      <c r="M7" s="31" t="s">
        <v>292</v>
      </c>
    </row>
    <row r="8" s="2" customFormat="1" ht="33.75" spans="1:13">
      <c r="A8" s="14">
        <v>5</v>
      </c>
      <c r="B8" s="20" t="s">
        <v>303</v>
      </c>
      <c r="C8" s="16" t="s">
        <v>304</v>
      </c>
      <c r="D8" s="16" t="s">
        <v>191</v>
      </c>
      <c r="E8" s="17">
        <f>(13.5+24.2+4+13)*0.7*0.6</f>
        <v>22.97</v>
      </c>
      <c r="F8" s="21">
        <v>3</v>
      </c>
      <c r="G8" s="22"/>
      <c r="H8" s="17">
        <v>20</v>
      </c>
      <c r="I8" s="28">
        <v>2.76</v>
      </c>
      <c r="J8" s="32">
        <v>0.77</v>
      </c>
      <c r="K8" s="30">
        <f>F8+G8+H8+I8+J8</f>
        <v>26.53</v>
      </c>
      <c r="L8" s="30">
        <f t="shared" si="0"/>
        <v>609.39</v>
      </c>
      <c r="M8" s="31"/>
    </row>
    <row r="9" s="2" customFormat="1" ht="40" customHeight="1" spans="1:13">
      <c r="A9" s="14">
        <v>6</v>
      </c>
      <c r="B9" s="20" t="s">
        <v>317</v>
      </c>
      <c r="C9" s="16" t="s">
        <v>318</v>
      </c>
      <c r="D9" s="16" t="s">
        <v>191</v>
      </c>
      <c r="E9" s="17">
        <f>(13.5+24.2+4+13)*0.7*0.6</f>
        <v>22.97</v>
      </c>
      <c r="F9" s="21">
        <v>3</v>
      </c>
      <c r="G9" s="22"/>
      <c r="H9" s="17">
        <v>20</v>
      </c>
      <c r="I9" s="28">
        <v>2.76</v>
      </c>
      <c r="J9" s="32">
        <v>0.77</v>
      </c>
      <c r="K9" s="30">
        <f>F9+G9+H9+I9+J9</f>
        <v>26.53</v>
      </c>
      <c r="L9" s="30">
        <f t="shared" si="0"/>
        <v>609.39</v>
      </c>
      <c r="M9" s="31"/>
    </row>
    <row r="10" s="2" customFormat="1" ht="19" customHeight="1" spans="1:13">
      <c r="A10" s="23" t="s">
        <v>51</v>
      </c>
      <c r="B10" s="23"/>
      <c r="C10" s="23"/>
      <c r="D10" s="23"/>
      <c r="E10" s="23"/>
      <c r="F10" s="23"/>
      <c r="G10" s="23"/>
      <c r="H10" s="17"/>
      <c r="I10" s="33"/>
      <c r="J10" s="34"/>
      <c r="K10" s="35"/>
      <c r="L10" s="30">
        <f>SUM(L4:L9)</f>
        <v>3076.89</v>
      </c>
      <c r="M10" s="36"/>
    </row>
    <row r="11" s="2" customFormat="1" spans="11:11">
      <c r="K11" s="3"/>
    </row>
    <row r="12" s="2" customFormat="1" spans="11:11">
      <c r="K12" s="3"/>
    </row>
    <row r="13" s="2" customFormat="1" spans="11:11">
      <c r="K13" s="3"/>
    </row>
    <row r="14" s="2" customFormat="1" spans="11:11">
      <c r="K14" s="3"/>
    </row>
    <row r="15" s="2" customFormat="1" spans="11:11">
      <c r="K15" s="3"/>
    </row>
    <row r="16" s="2" customFormat="1" spans="11:11">
      <c r="K16" s="3"/>
    </row>
    <row r="17" s="2" customFormat="1" spans="5:11">
      <c r="E17" s="24"/>
      <c r="K17" s="3"/>
    </row>
    <row r="18" s="2" customFormat="1" spans="5:11">
      <c r="E18" s="24"/>
      <c r="K18" s="3"/>
    </row>
    <row r="19" s="2" customFormat="1" spans="5:11">
      <c r="E19" s="24"/>
      <c r="K19" s="3"/>
    </row>
  </sheetData>
  <mergeCells count="11">
    <mergeCell ref="A1:M1"/>
    <mergeCell ref="F2:J2"/>
    <mergeCell ref="A10:G10"/>
    <mergeCell ref="A2:A3"/>
    <mergeCell ref="B2:B3"/>
    <mergeCell ref="C2:C3"/>
    <mergeCell ref="D2:D3"/>
    <mergeCell ref="E2:E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K22" sqref="K22:K23"/>
    </sheetView>
  </sheetViews>
  <sheetFormatPr defaultColWidth="9" defaultRowHeight="14.25" outlineLevelCol="5"/>
  <cols>
    <col min="1" max="1" width="6.25" customWidth="1"/>
    <col min="2" max="2" width="16.375" customWidth="1"/>
    <col min="3" max="3" width="14.75" customWidth="1"/>
    <col min="7" max="7" width="7.5" customWidth="1"/>
    <col min="9" max="10" width="9.375"/>
    <col min="11" max="11" width="21.25" customWidth="1"/>
  </cols>
  <sheetData>
    <row r="1" ht="39" customHeight="1" spans="1:6">
      <c r="A1" s="1" t="s">
        <v>319</v>
      </c>
      <c r="B1" s="1"/>
      <c r="C1" s="1"/>
      <c r="D1" s="1"/>
      <c r="E1" s="1"/>
      <c r="F1" s="1"/>
    </row>
    <row r="2" spans="1:6">
      <c r="A2" t="s">
        <v>1</v>
      </c>
      <c r="B2" t="s">
        <v>48</v>
      </c>
      <c r="C2" t="s">
        <v>320</v>
      </c>
      <c r="D2" t="s">
        <v>321</v>
      </c>
      <c r="E2" t="s">
        <v>199</v>
      </c>
      <c r="F2" t="s">
        <v>6</v>
      </c>
    </row>
    <row r="3" spans="1:5">
      <c r="A3">
        <v>1</v>
      </c>
      <c r="B3" t="s">
        <v>322</v>
      </c>
      <c r="C3">
        <v>48</v>
      </c>
      <c r="D3">
        <f>(8.3+8.3+8.5+8.1)/4</f>
        <v>8.3</v>
      </c>
      <c r="E3">
        <f t="shared" ref="E3:E8" si="0">C3*D3</f>
        <v>398.4</v>
      </c>
    </row>
    <row r="4" spans="1:5">
      <c r="A4">
        <v>2</v>
      </c>
      <c r="B4" t="s">
        <v>323</v>
      </c>
      <c r="C4">
        <f>(64+64.5+63.1+64.4)/4</f>
        <v>64</v>
      </c>
      <c r="D4">
        <f>(47.2+48+47+46.6)/4</f>
        <v>47.2</v>
      </c>
      <c r="E4">
        <f t="shared" si="0"/>
        <v>3020.8</v>
      </c>
    </row>
    <row r="5" spans="1:5">
      <c r="A5">
        <v>3</v>
      </c>
      <c r="B5" t="s">
        <v>324</v>
      </c>
      <c r="C5">
        <v>25.6</v>
      </c>
      <c r="D5">
        <v>3.8</v>
      </c>
      <c r="E5">
        <f t="shared" si="0"/>
        <v>97.28</v>
      </c>
    </row>
    <row r="6" spans="1:5">
      <c r="A6">
        <v>4</v>
      </c>
      <c r="B6" t="s">
        <v>325</v>
      </c>
      <c r="C6">
        <f>(13.1+13+13.2+13.1)/4</f>
        <v>13.1</v>
      </c>
      <c r="D6">
        <v>22.1</v>
      </c>
      <c r="E6">
        <f t="shared" si="0"/>
        <v>289.51</v>
      </c>
    </row>
    <row r="7" spans="1:5">
      <c r="A7">
        <v>5</v>
      </c>
      <c r="B7" t="s">
        <v>326</v>
      </c>
      <c r="C7">
        <f>(10+17.5)/2</f>
        <v>13.75</v>
      </c>
      <c r="D7">
        <v>11</v>
      </c>
      <c r="E7">
        <f t="shared" si="0"/>
        <v>151.25</v>
      </c>
    </row>
    <row r="8" spans="1:5">
      <c r="A8">
        <v>6</v>
      </c>
      <c r="B8" t="s">
        <v>327</v>
      </c>
      <c r="C8">
        <f>(8+4.5)/2</f>
        <v>6.25</v>
      </c>
      <c r="D8">
        <v>13.4</v>
      </c>
      <c r="E8">
        <f t="shared" si="0"/>
        <v>83.75</v>
      </c>
    </row>
    <row r="9" spans="2:5">
      <c r="B9" t="s">
        <v>199</v>
      </c>
      <c r="E9">
        <f>SUM(E3:E8)</f>
        <v>4040.99</v>
      </c>
    </row>
    <row r="10" spans="2:2">
      <c r="B10" t="s">
        <v>328</v>
      </c>
    </row>
    <row r="11" spans="2:5">
      <c r="B11" t="s">
        <v>329</v>
      </c>
      <c r="C11">
        <v>11.3</v>
      </c>
      <c r="D11">
        <v>21</v>
      </c>
      <c r="E11">
        <f>C11*D11/2</f>
        <v>118.65</v>
      </c>
    </row>
    <row r="12" spans="2:5">
      <c r="B12" t="s">
        <v>330</v>
      </c>
      <c r="C12">
        <f>(7.8+19)/2</f>
        <v>13.4</v>
      </c>
      <c r="D12">
        <v>17</v>
      </c>
      <c r="E12">
        <f>C12*D12</f>
        <v>227.8</v>
      </c>
    </row>
    <row r="13" spans="5:5">
      <c r="E13">
        <f>SUM(E11:E12)</f>
        <v>346.45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2资料存档目录</vt:lpstr>
      <vt:lpstr>3、结算汇总表</vt:lpstr>
      <vt:lpstr>4、各月结算汇总</vt:lpstr>
      <vt:lpstr>5 、2023年9月结算明细表</vt:lpstr>
      <vt:lpstr>6、2023年11月结算明细表</vt:lpstr>
      <vt:lpstr>2024年3月</vt:lpstr>
      <vt:lpstr>07单子计算明细</vt:lpstr>
      <vt:lpstr>09单子明细</vt:lpstr>
      <vt:lpstr>计算明细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岳鹏</cp:lastModifiedBy>
  <dcterms:created xsi:type="dcterms:W3CDTF">2013-11-22T07:50:00Z</dcterms:created>
  <cp:lastPrinted>2019-10-18T09:13:00Z</cp:lastPrinted>
  <dcterms:modified xsi:type="dcterms:W3CDTF">2024-08-19T01:06:04Z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4EA3C307227743AA807097C2548033F0</vt:lpwstr>
  </property>
</Properties>
</file>