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1925"/>
  </bookViews>
  <sheets>
    <sheet name="2资料存档目录" sheetId="1" r:id="rId1"/>
    <sheet name="3、结算汇总表" sheetId="3" r:id="rId2"/>
    <sheet name="4、各月结算明细" sheetId="7" r:id="rId3"/>
    <sheet name="4 、2023年度9月份结算明细表" sheetId="5" r:id="rId4"/>
    <sheet name="2023年11月" sheetId="8" r:id="rId5"/>
    <sheet name="2023年12月" sheetId="9" r:id="rId6"/>
    <sheet name="2024年3月" sheetId="10" r:id="rId7"/>
    <sheet name="2024年5月" sheetId="11" r:id="rId8"/>
    <sheet name="2024年6月" sheetId="12" r:id="rId9"/>
    <sheet name="派发单001" sheetId="6" state="hidden" r:id="rId10"/>
  </sheets>
  <externalReferences>
    <externalReference r:id="rId11"/>
    <externalReference r:id="rId12"/>
  </externalReferences>
  <definedNames>
    <definedName name="结果计算">EVALUATE(派发单001!$C$3:$C$24)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<sst xmlns="http://schemas.openxmlformats.org/spreadsheetml/2006/main" count="653" uniqueCount="323">
  <si>
    <t>栾川山水文苑2023年度零星工程合同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</si>
  <si>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</si>
  <si>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</si>
  <si>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</si>
  <si>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</si>
  <si>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</si>
  <si>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</si>
  <si>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栾川山水文苑2023年度零星工程合同结算审批表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</si>
  <si>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</si>
  <si>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</si>
  <si>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</si>
  <si>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</si>
  <si>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</si>
  <si>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</si>
  <si>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</si>
  <si>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</si>
  <si>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</si>
  <si>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</si>
  <si>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1份5页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</si>
  <si>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</si>
  <si>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</si>
  <si>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</si>
  <si>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</si>
  <si>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</si>
  <si>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</si>
  <si>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</si>
  <si>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</si>
  <si>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</si>
  <si>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水电费结清证明</t>
  </si>
  <si>
    <t>第10页</t>
  </si>
  <si>
    <t>结算工作交接单</t>
  </si>
  <si>
    <t>1份2页</t>
  </si>
  <si>
    <t>第11-12页</t>
  </si>
  <si>
    <t>验收单</t>
  </si>
  <si>
    <t>第13页</t>
  </si>
  <si>
    <t>工程往来账目明细</t>
  </si>
  <si>
    <t>第14页</t>
  </si>
  <si>
    <t>派发单027-029</t>
  </si>
  <si>
    <t>1份31页</t>
  </si>
  <si>
    <t>第15-45页</t>
  </si>
  <si>
    <t>栾川山水文苑2023年度9月零星工程合同结算审批表</t>
  </si>
  <si>
    <t>一册</t>
  </si>
  <si>
    <t>栾川山水文苑2023年度11月零星工程合同结算审批表</t>
  </si>
  <si>
    <t>栾川山水文苑2023年度12月零星工程合同结算审批表</t>
  </si>
  <si>
    <t>栾川山水文苑2024年度3月零星工程合同结算审批表</t>
  </si>
  <si>
    <t>栾川山水文苑2024年度5月零星工程合同结算审批表</t>
  </si>
  <si>
    <t>栾川山水文苑2024年度6月零星工程合同结算审批表</t>
  </si>
  <si>
    <t>造价师：</t>
  </si>
  <si>
    <t>日期：</t>
  </si>
  <si>
    <t>栾川山水文苑2023年度零星工程合同结算汇总表</t>
  </si>
  <si>
    <t xml:space="preserve">合同编号：LCS1-JA-085                           合同金额：752965元 </t>
  </si>
  <si>
    <t>合同名称：栾川山水文苑2023年度零星工程合同</t>
  </si>
  <si>
    <t>甲    方：栾川县浩德颐康文旅有限公司</t>
  </si>
  <si>
    <t>乙    方：海南建虹防水装饰工程有限公司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</si>
  <si>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</si>
  <si>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</si>
  <si>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</si>
  <si>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</si>
  <si>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</si>
  <si>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</si>
  <si>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</si>
  <si>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</si>
  <si>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</si>
  <si>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</si>
  <si>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</si>
  <si>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</si>
  <si>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</si>
  <si>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</si>
  <si>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</si>
  <si>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</si>
  <si>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</si>
  <si>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</si>
  <si>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</si>
  <si>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</si>
  <si>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</si>
  <si>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</si>
  <si>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</si>
  <si>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</si>
  <si>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</si>
  <si>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</si>
  <si>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</si>
  <si>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</si>
  <si>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</si>
  <si>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</si>
  <si>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</si>
  <si>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</si>
  <si>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</si>
  <si>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</si>
  <si>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栾川山水文苑2023年度零星工程合同结算明细结算汇总表</t>
  </si>
  <si>
    <t>主要内容</t>
  </si>
  <si>
    <t>单位</t>
  </si>
  <si>
    <t>工程量</t>
  </si>
  <si>
    <t>单价</t>
  </si>
  <si>
    <t>合同总价</t>
  </si>
  <si>
    <t>2023年9月份月结</t>
  </si>
  <si>
    <t>项</t>
  </si>
  <si>
    <t>2023年11月份月结</t>
  </si>
  <si>
    <t>2023年12月份月结</t>
  </si>
  <si>
    <t>2024年3月份月结</t>
  </si>
  <si>
    <t>2024年5月份月结</t>
  </si>
  <si>
    <t>2024年6月份月结</t>
  </si>
  <si>
    <t>2024年7月份月结</t>
  </si>
  <si>
    <t>派发单及确认单027</t>
  </si>
  <si>
    <t>水泵更换</t>
  </si>
  <si>
    <t>家装节活动购买物料</t>
  </si>
  <si>
    <t>二楼水管疏通</t>
  </si>
  <si>
    <t>二楼餐厅更换玻璃</t>
  </si>
  <si>
    <t>派发单及确认单028</t>
  </si>
  <si>
    <t>普工</t>
  </si>
  <si>
    <t>个</t>
  </si>
  <si>
    <t>河南诚鹏建设有限公司承担2280元</t>
  </si>
  <si>
    <t>河南瑞卿实业有限公司承担2280元</t>
  </si>
  <si>
    <t>垃圾清理</t>
  </si>
  <si>
    <t>车</t>
  </si>
  <si>
    <t>河南诚鹏建设有限公司承担</t>
  </si>
  <si>
    <t>分摊详见下表</t>
  </si>
  <si>
    <t>小计</t>
  </si>
  <si>
    <t>分摊系数</t>
  </si>
  <si>
    <t>河南诚鹏建设工程有限公司</t>
  </si>
  <si>
    <t>郑州宜信装饰工程有限公司</t>
  </si>
  <si>
    <t>山东奇威特太阳能销售股份有限公司</t>
  </si>
  <si>
    <t>淄博消防安全工程公司</t>
  </si>
  <si>
    <t>河南省埃思特建设工程有限公司</t>
  </si>
  <si>
    <t>河南邦丰装饰工程有限公司</t>
  </si>
  <si>
    <t>郑州七彩装饰工程有限公司</t>
  </si>
  <si>
    <t>洛阳阳光铝业有限公司</t>
  </si>
  <si>
    <t>河南首创建设集团有限公司</t>
  </si>
  <si>
    <t>西继迅达电梯有限公司</t>
  </si>
  <si>
    <t>广州宝露智能科技有限公司</t>
  </si>
  <si>
    <t>步阳集团有限公司</t>
  </si>
  <si>
    <t>洛阳兴民门业有限公司嵩县分公司</t>
  </si>
  <si>
    <t>派发单及确认单029</t>
  </si>
  <si>
    <t>120厚墙体拆除</t>
  </si>
  <si>
    <t>m2</t>
  </si>
  <si>
    <t>100厚混凝土拆除</t>
  </si>
  <si>
    <t>内墙抹灰</t>
  </si>
  <si>
    <t>浇筑1000混凝土垫层</t>
  </si>
  <si>
    <t>202户内垃圾清理</t>
  </si>
  <si>
    <t>普</t>
  </si>
  <si>
    <t>一层入户门修改</t>
  </si>
  <si>
    <t>技</t>
  </si>
  <si>
    <t>八</t>
  </si>
  <si>
    <t>合计</t>
  </si>
  <si>
    <t>九</t>
  </si>
  <si>
    <t>最终结算价</t>
  </si>
  <si>
    <t>甲方</t>
  </si>
  <si>
    <t>乙方</t>
  </si>
  <si>
    <t>栾川山水文苑2023年度9月零星工程合同结算明细表</t>
  </si>
  <si>
    <t>派发单及确认单001</t>
  </si>
  <si>
    <t>s7地块22#楼东西南侧支护费用</t>
  </si>
  <si>
    <t>详见附件 派发单001</t>
  </si>
  <si>
    <t>派发单及确认单002</t>
  </si>
  <si>
    <t>拆除围挡</t>
  </si>
  <si>
    <t>m</t>
  </si>
  <si>
    <t>围挡安装2.5m高</t>
  </si>
  <si>
    <t>参照合同价按高度折算</t>
  </si>
  <si>
    <t>围挡安装2.4m高</t>
  </si>
  <si>
    <t>围挡安装2.5m-3.6m高</t>
  </si>
  <si>
    <t>参照合同价3m高价格计算</t>
  </si>
  <si>
    <t>技工</t>
  </si>
  <si>
    <t>工</t>
  </si>
  <si>
    <t>参照合同价</t>
  </si>
  <si>
    <t>派发单及确认单003</t>
  </si>
  <si>
    <t>垃圾池砌筑，240砖</t>
  </si>
  <si>
    <t>200厚c25混个凝土池子垫层</t>
  </si>
  <si>
    <t>安装彩钢瓦围护 0.9m高</t>
  </si>
  <si>
    <t>垃圾池内外墙粉刷</t>
  </si>
  <si>
    <t>派发单及确认单004</t>
  </si>
  <si>
    <t>燃气管网改造，人工开挖土方</t>
  </si>
  <si>
    <t>派发单及确认单005</t>
  </si>
  <si>
    <t>墙面发霉清理（普工）</t>
  </si>
  <si>
    <t>扣款单位：LCS1-JA-016 栾川山水文苑s1地块及售楼部总承包合同</t>
  </si>
  <si>
    <t>内墙乳胶漆修补</t>
  </si>
  <si>
    <t>派发单及确认单006</t>
  </si>
  <si>
    <t>协调费</t>
  </si>
  <si>
    <t>本次结算</t>
  </si>
  <si>
    <t>日期</t>
  </si>
  <si>
    <t>栾川山水文苑2023年度11月零星工程合同结算明细表</t>
  </si>
  <si>
    <t>派发单及确认单007</t>
  </si>
  <si>
    <t>拆除围挡2.5m高（s1地块）</t>
  </si>
  <si>
    <t>拆除围挡2.5m高（s7地块）</t>
  </si>
  <si>
    <t>拆除围挡5.5m高（s1地块</t>
  </si>
  <si>
    <t>详见约谈纪录</t>
  </si>
  <si>
    <t>搭设围挡5.5m高（s7地块）利用拆除后原料搭设</t>
  </si>
  <si>
    <t>围挡基础1.5*1.2*0.8m</t>
  </si>
  <si>
    <t>预埋件</t>
  </si>
  <si>
    <t>75挖机</t>
  </si>
  <si>
    <t>台</t>
  </si>
  <si>
    <t>人工</t>
  </si>
  <si>
    <t>栾川山水文苑2023年度12月零星工程合同结算明细表</t>
  </si>
  <si>
    <t>派发单及确认单008</t>
  </si>
  <si>
    <t>凤凰造像</t>
  </si>
  <si>
    <t>详见纪录</t>
  </si>
  <si>
    <t>临时用工</t>
  </si>
  <si>
    <t>派发单及确认单009</t>
  </si>
  <si>
    <t>保温拆除清理</t>
  </si>
  <si>
    <t xml:space="preserve">16#楼东单元505、705及1305拆除墙体   120墙体 </t>
  </si>
  <si>
    <t xml:space="preserve">16#楼东单元505、705及1305拆除墙体   200墙体 </t>
  </si>
  <si>
    <t>飘窗板拆除</t>
  </si>
  <si>
    <t>粉刷拆除抹灰包扣（技工）</t>
  </si>
  <si>
    <t>粉刷拆除抹灰包扣（普工）</t>
  </si>
  <si>
    <t>c25混凝土垫层100mm厚</t>
  </si>
  <si>
    <t>派发单及确认单010</t>
  </si>
  <si>
    <t>垃圾外运车辆</t>
  </si>
  <si>
    <t>辆</t>
  </si>
  <si>
    <t>河南鼎甲装饰工程有限公司</t>
  </si>
  <si>
    <t>派发单及确认单011</t>
  </si>
  <si>
    <t>围挡拆除</t>
  </si>
  <si>
    <t>围挡搭设（原围挡）</t>
  </si>
  <si>
    <t>围挡搭设（面利用原围挡，骨架新做）</t>
  </si>
  <si>
    <t>40铲车</t>
  </si>
  <si>
    <t>普通</t>
  </si>
  <si>
    <t>派发单及确认单012</t>
  </si>
  <si>
    <t>分户墙砌体（后期改造）</t>
  </si>
  <si>
    <t>分户墙粉刷（后期改造）</t>
  </si>
  <si>
    <t>c25细石混凝土（配电室逃生通道）</t>
  </si>
  <si>
    <t>60mm厚</t>
  </si>
  <si>
    <t>栾川山水文苑2024年度3月零星工程合同结算明细表</t>
  </si>
  <si>
    <t>派发单及确认单013</t>
  </si>
  <si>
    <t>1#楼西单元101北侧小院整改</t>
  </si>
  <si>
    <t>参照200厚路面价格</t>
  </si>
  <si>
    <t>砖砌排水沟</t>
  </si>
  <si>
    <t>1:2水泥砂浆抹灰</t>
  </si>
  <si>
    <t>修改排水管及回填 普通</t>
  </si>
  <si>
    <t>300*500树脂雨水篦子</t>
  </si>
  <si>
    <t>块</t>
  </si>
  <si>
    <t>详见约谈记录</t>
  </si>
  <si>
    <t>1.4*0.6*0.35厚钢筋混切割（大锯切割）</t>
  </si>
  <si>
    <t>派发单及确认单014</t>
  </si>
  <si>
    <t>8#楼1单元102负一层分户砌筑</t>
  </si>
  <si>
    <t>250厚加砌块</t>
  </si>
  <si>
    <t>水泥砂浆抹面</t>
  </si>
  <si>
    <t>16#2单元504飘窗拆除及修复</t>
  </si>
  <si>
    <t>派发单及确认单015</t>
  </si>
  <si>
    <t>12-17#楼围挡拆除</t>
  </si>
  <si>
    <t>临时西大门拆除安装 技工</t>
  </si>
  <si>
    <t>派发单及确认单016</t>
  </si>
  <si>
    <t>1、地下车库增加取水点</t>
  </si>
  <si>
    <t>ppr25管s4管材</t>
  </si>
  <si>
    <t>锁闭阀 含外丝直接</t>
  </si>
  <si>
    <t>3#楼负一层增设钢板坡道</t>
  </si>
  <si>
    <t>监控室出入口钢踏步</t>
  </si>
  <si>
    <t>东坡道1.1m高栏杆</t>
  </si>
  <si>
    <t>参照景观合同单价计入</t>
  </si>
  <si>
    <t>西坡道1.4m高栏杆</t>
  </si>
  <si>
    <t>售楼部吊灯维修</t>
  </si>
  <si>
    <t>派发单及确认单017</t>
  </si>
  <si>
    <t>护坡上上迁坟</t>
  </si>
  <si>
    <t>棺</t>
  </si>
  <si>
    <t>封顶仪式条幅制作</t>
  </si>
  <si>
    <t>栾川山水文苑2024年度5月零星工程合同结算明细表</t>
  </si>
  <si>
    <t>派发单及确认单018</t>
  </si>
  <si>
    <t>s7地块西大门原2.5m高围挡拆除</t>
  </si>
  <si>
    <t>s7地块西大门原2.5m高围挡搭设（旧材料）</t>
  </si>
  <si>
    <t>s7地块西大门原2.5m高围挡搭设（新架体旧铁皮）</t>
  </si>
  <si>
    <t>派发单及确认单019</t>
  </si>
  <si>
    <t>1、样板楼钢踏步（长2.1m、宽2.6m、高1.4m）</t>
  </si>
  <si>
    <t>黑色线条</t>
  </si>
  <si>
    <t>卫生间pc胶膜</t>
  </si>
  <si>
    <t>派发单及确认单020</t>
  </si>
  <si>
    <t>帮助总包搬运吊篮及保温材料</t>
  </si>
  <si>
    <t>扣款单位：河南诚鹏建设工程有限公司
合同编号：lcs1-ja-016</t>
  </si>
  <si>
    <t>16#楼西单元门头墙体拆除</t>
  </si>
  <si>
    <t>挡水台拆除</t>
  </si>
  <si>
    <t>分摊</t>
  </si>
  <si>
    <t>派发单及确认单021</t>
  </si>
  <si>
    <t>12#楼门厅两个单元结构梁</t>
  </si>
  <si>
    <t>s112#16#17#18#19#20#楼母线开槽预留洞</t>
  </si>
  <si>
    <t>s7地块28#楼1-6层施工完成1-6栏板切除</t>
  </si>
  <si>
    <t>派发单及确认单022</t>
  </si>
  <si>
    <t>s1地块2#楼样板间窗户</t>
  </si>
  <si>
    <t>s7地块西北侧女贞树群补偿费</t>
  </si>
  <si>
    <t>栾川山水文苑2024年度6月零星工程合同结算明细表</t>
  </si>
  <si>
    <t>派发单及确认单023</t>
  </si>
  <si>
    <t>2.5围挡拆除</t>
  </si>
  <si>
    <t>2.5围挡新建围挡</t>
  </si>
  <si>
    <t>2.5m搭设围挡 采用新架体旧铁皮</t>
  </si>
  <si>
    <t>派发单及确认单024</t>
  </si>
  <si>
    <t>拆除门洞口</t>
  </si>
  <si>
    <t>粉刷门洞口</t>
  </si>
  <si>
    <t>洞口修正增加木砖等含材料</t>
  </si>
  <si>
    <t>两个门洞</t>
  </si>
  <si>
    <t>众鑫家属院房屋改造</t>
  </si>
  <si>
    <t>消防报警器该位置（3个单元）</t>
  </si>
  <si>
    <t>派发单及确认单025</t>
  </si>
  <si>
    <t>派发单及确认单026</t>
  </si>
  <si>
    <t>1、铺假草皮</t>
  </si>
  <si>
    <t>2、201南阳台采用2个彩钢瓦封堵四周</t>
  </si>
  <si>
    <t>3、清水样板间标识标牌安装</t>
  </si>
  <si>
    <t>清水样板间、工法样板间</t>
  </si>
  <si>
    <t>4、楼梯间水电井门框打胶及楼梯护角打胶</t>
  </si>
  <si>
    <t>5、楼梯间消防管喷银粉漆（楼梯间一层1根）</t>
  </si>
  <si>
    <t>含银粉漆</t>
  </si>
  <si>
    <t>6、楼梯间加装吸顶灯</t>
  </si>
  <si>
    <t>含灯1盏灯</t>
  </si>
  <si>
    <t>7、其他材料购买（代付）</t>
  </si>
  <si>
    <t>22#楼支付计算</t>
  </si>
  <si>
    <t>计算公式</t>
  </si>
  <si>
    <t>计算结果</t>
  </si>
  <si>
    <t>综合单价</t>
  </si>
  <si>
    <t>第一部分</t>
  </si>
  <si>
    <t>参照以前支付合同价格执行</t>
  </si>
  <si>
    <t>80后c20混凝土面层</t>
  </si>
  <si>
    <t>（16.2+15.2）/2*（4.8+5.8）/2+16.2*1</t>
  </si>
  <si>
    <t>直径6钢筋间距200/250</t>
  </si>
  <si>
    <t>99.41*1.76</t>
  </si>
  <si>
    <t>kg</t>
  </si>
  <si>
    <t>直径14钢筋间距</t>
  </si>
  <si>
    <t>（（16.2+15.2）/2*3+3*10+16.2+0.6*10）*1.21</t>
  </si>
  <si>
    <t>土钉直径18</t>
  </si>
  <si>
    <t>10*4.5+10*6+11*6</t>
  </si>
  <si>
    <t>第二部分</t>
  </si>
  <si>
    <t>（63.8+62.5）/2*（6.1+4.9+5.4+4.8）/4+63.8*1</t>
  </si>
  <si>
    <t>直径6钢筋间距250</t>
  </si>
  <si>
    <t>398.495*1.76</t>
  </si>
  <si>
    <t>直径14钢筋间距200/250</t>
  </si>
  <si>
    <t>（（63.8+62.5）/2*3+41*3+63.8+0.6*41）*1.21</t>
  </si>
  <si>
    <t>41*（4.5+6+6）</t>
  </si>
  <si>
    <t>第三部分</t>
  </si>
  <si>
    <t>（14.9+13.7）/2*（6.3+5.9）/2+14.9*1</t>
  </si>
  <si>
    <t>58.515*1.76</t>
  </si>
  <si>
    <t>（（14.9+13.7）/2*3+9*3+14.9+0.6*9）*1.21</t>
  </si>
  <si>
    <t>9*（4.5+6+6）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</si>
</sst>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#,##0.00&quot;元&quot;"/>
    <numFmt numFmtId="179" formatCode="[DBNum2][$RMB]General;[Red][DBNum2][$RMB]General"/>
  </numFmts>
  <fonts count="64">
    <font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3" borderId="2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9" applyNumberFormat="0" applyAlignment="0" applyProtection="0">
      <alignment vertical="center"/>
    </xf>
    <xf numFmtId="0" fontId="37" fillId="5" borderId="30" applyNumberFormat="0" applyAlignment="0" applyProtection="0">
      <alignment vertical="center"/>
    </xf>
    <xf numFmtId="0" fontId="38" fillId="5" borderId="29" applyNumberFormat="0" applyAlignment="0" applyProtection="0">
      <alignment vertical="center"/>
    </xf>
    <xf numFmtId="0" fontId="39" fillId="6" borderId="31" applyNumberFormat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34" applyNumberForma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35" borderId="35" applyNumberFormat="0" applyAlignment="0" applyProtection="0">
      <alignment vertical="center"/>
    </xf>
    <xf numFmtId="0" fontId="0" fillId="0" borderId="0">
      <alignment vertical="center"/>
    </xf>
    <xf numFmtId="0" fontId="47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1" fillId="35" borderId="35" applyNumberFormat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35" borderId="34" applyNumberFormat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53" fillId="45" borderId="36" applyNumberFormat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4" fillId="0" borderId="37" applyNumberFormat="0" applyFill="0" applyAlignment="0" applyProtection="0">
      <alignment vertical="center"/>
    </xf>
    <xf numFmtId="0" fontId="54" fillId="0" borderId="37" applyNumberFormat="0" applyFill="0" applyAlignment="0" applyProtection="0">
      <alignment vertical="center"/>
    </xf>
    <xf numFmtId="0" fontId="55" fillId="0" borderId="38" applyNumberFormat="0" applyFill="0" applyAlignment="0" applyProtection="0">
      <alignment vertical="center"/>
    </xf>
    <xf numFmtId="0" fontId="55" fillId="0" borderId="38" applyNumberFormat="0" applyFill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0" borderId="40" applyNumberFormat="0" applyFill="0" applyAlignment="0" applyProtection="0">
      <alignment vertical="center"/>
    </xf>
    <xf numFmtId="0" fontId="60" fillId="0" borderId="40" applyNumberFormat="0" applyFill="0" applyAlignment="0" applyProtection="0">
      <alignment vertical="center"/>
    </xf>
    <xf numFmtId="0" fontId="53" fillId="45" borderId="36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41" applyNumberFormat="0" applyFill="0" applyAlignment="0" applyProtection="0">
      <alignment vertical="center"/>
    </xf>
    <xf numFmtId="0" fontId="62" fillId="0" borderId="41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63" fillId="43" borderId="34" applyNumberFormat="0" applyAlignment="0" applyProtection="0">
      <alignment vertical="center"/>
    </xf>
    <xf numFmtId="0" fontId="63" fillId="43" borderId="34" applyNumberFormat="0" applyAlignment="0" applyProtection="0">
      <alignment vertical="center"/>
    </xf>
    <xf numFmtId="0" fontId="0" fillId="55" borderId="42" applyNumberFormat="0" applyFont="0" applyAlignment="0" applyProtection="0">
      <alignment vertical="center"/>
    </xf>
    <xf numFmtId="0" fontId="0" fillId="55" borderId="42" applyNumberFormat="0" applyFont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2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0" fontId="19" fillId="0" borderId="8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justify" vertical="top" wrapText="1"/>
    </xf>
    <xf numFmtId="176" fontId="20" fillId="0" borderId="10" xfId="0" applyNumberFormat="1" applyFont="1" applyBorder="1" applyAlignment="1">
      <alignment horizontal="justify" vertical="top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top" wrapText="1"/>
    </xf>
    <xf numFmtId="0" fontId="20" fillId="0" borderId="7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justify" vertical="top" wrapText="1"/>
    </xf>
    <xf numFmtId="178" fontId="20" fillId="0" borderId="6" xfId="0" applyNumberFormat="1" applyFont="1" applyBorder="1" applyAlignment="1">
      <alignment horizontal="justify" vertical="top" wrapText="1"/>
    </xf>
    <xf numFmtId="178" fontId="20" fillId="0" borderId="7" xfId="0" applyNumberFormat="1" applyFont="1" applyBorder="1" applyAlignment="1">
      <alignment horizontal="justify" vertical="top" wrapText="1"/>
    </xf>
    <xf numFmtId="178" fontId="20" fillId="0" borderId="8" xfId="0" applyNumberFormat="1" applyFont="1" applyBorder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19" fillId="0" borderId="10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center" vertical="center" wrapText="1"/>
    </xf>
    <xf numFmtId="179" fontId="17" fillId="0" borderId="6" xfId="0" applyNumberFormat="1" applyFont="1" applyBorder="1" applyAlignment="1">
      <alignment horizontal="left" vertical="top" wrapText="1"/>
    </xf>
    <xf numFmtId="179" fontId="17" fillId="0" borderId="7" xfId="0" applyNumberFormat="1" applyFont="1" applyBorder="1" applyAlignment="1">
      <alignment horizontal="left" vertical="top" wrapText="1"/>
    </xf>
    <xf numFmtId="179" fontId="17" fillId="0" borderId="8" xfId="0" applyNumberFormat="1" applyFont="1" applyBorder="1" applyAlignment="1">
      <alignment horizontal="left" vertical="top" wrapText="1"/>
    </xf>
    <xf numFmtId="0" fontId="19" fillId="0" borderId="12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vertical="top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9" xfId="22" applyFont="1" applyFill="1" applyBorder="1" applyAlignment="1">
      <alignment horizontal="center" vertical="center" wrapText="1"/>
    </xf>
    <xf numFmtId="0" fontId="26" fillId="0" borderId="2" xfId="22" applyFont="1" applyFill="1" applyBorder="1" applyAlignment="1">
      <alignment vertical="center" wrapText="1"/>
    </xf>
    <xf numFmtId="0" fontId="26" fillId="0" borderId="2" xfId="22" applyFont="1" applyFill="1" applyBorder="1" applyAlignment="1">
      <alignment horizontal="center" vertical="center" wrapText="1"/>
    </xf>
    <xf numFmtId="0" fontId="26" fillId="0" borderId="20" xfId="22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6" fillId="0" borderId="2" xfId="22" applyFont="1" applyFill="1" applyBorder="1" applyAlignment="1">
      <alignment vertical="center" wrapText="1"/>
    </xf>
    <xf numFmtId="0" fontId="26" fillId="0" borderId="20" xfId="22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4;&#26412;&#24037;&#20316;\&#32467;&#31639;\&#24037;&#31243;&#32467;&#31639;\s1&#22320;&#22359;&#32467;&#31639;\2023&#24180;&#38646;&#26143;&#21512;&#21516;\&#28023;&#21335;\&#28023;&#21335;&#24314;&#34425;&#38450;&#27700;&#21367;&#26448;&#24037;&#31243;&#26377;&#38480;&#20844;&#21496;\2023.12\LCS1-JA-085&#26686;&#24029;&#23665;&#27700;&#25991;&#33489;2023&#24180;&#24230;12&#26376;&#38646;&#26143;&#24037;&#31243;&#21512;&#21516;&#32467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CS1-JA-085&#26686;&#24029;&#23665;&#27700;&#25991;&#33489;2024&#24180;&#24230;5&#26376;&#38646;&#26143;&#24037;&#31243;&#21512;&#21516;&#32467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、结算汇总表"/>
      <sheetName val="4 、结算明细表"/>
      <sheetName val="Sheet1"/>
    </sheetNames>
    <sheetDataSet>
      <sheetData sheetId="0"/>
      <sheetData sheetId="1"/>
      <sheetData sheetId="2"/>
      <sheetData sheetId="3">
        <row r="5">
          <cell r="F5">
            <v>15.7125</v>
          </cell>
        </row>
        <row r="6">
          <cell r="F6">
            <v>6.12</v>
          </cell>
        </row>
        <row r="10">
          <cell r="F10">
            <v>34.99</v>
          </cell>
        </row>
        <row r="25">
          <cell r="D25">
            <v>104.74</v>
          </cell>
          <cell r="E25">
            <v>205.28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、结算汇总表"/>
      <sheetName val="4 、结算明细表"/>
      <sheetName val="Sheet1"/>
    </sheetNames>
    <sheetDataSet>
      <sheetData sheetId="0"/>
      <sheetData sheetId="1"/>
      <sheetData sheetId="2"/>
      <sheetData sheetId="3">
        <row r="29">
          <cell r="E29">
            <v>406.19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11" workbookViewId="0">
      <selection activeCell="K9" sqref="K9"/>
    </sheetView>
  </sheetViews>
  <sheetFormatPr defaultColWidth="9" defaultRowHeight="14.25"/>
  <cols>
    <col min="1" max="1" width="7.25" style="1" customWidth="1"/>
    <col min="2" max="2" width="38.375" style="3" customWidth="1"/>
    <col min="3" max="3" width="8.875" style="1" customWidth="1"/>
    <col min="4" max="4" width="9.625" style="1" customWidth="1"/>
    <col min="5" max="5" width="11" style="3" customWidth="1"/>
    <col min="6" max="6" width="10" style="119" customWidth="1"/>
    <col min="7" max="7" width="8.5" style="3" customWidth="1"/>
    <col min="8" max="10" width="9" style="3"/>
    <col min="11" max="11" width="46.125" style="3" customWidth="1"/>
    <col min="12" max="12" width="9" style="3"/>
  </cols>
  <sheetData>
    <row r="1" ht="45" customHeight="1" spans="1:9">
      <c r="A1" s="120" t="s">
        <v>0</v>
      </c>
      <c r="B1" s="120"/>
      <c r="C1" s="120"/>
      <c r="D1" s="120"/>
      <c r="E1" s="120"/>
      <c r="F1" s="120"/>
      <c r="G1" s="121"/>
      <c r="H1" s="121"/>
      <c r="I1" s="121"/>
    </row>
    <row r="2" ht="30.75" customHeight="1" spans="1:6">
      <c r="A2" s="122" t="s">
        <v>1</v>
      </c>
      <c r="B2" s="123" t="s">
        <v>2</v>
      </c>
      <c r="C2" s="123" t="s">
        <v>3</v>
      </c>
      <c r="D2" s="123" t="s">
        <v>4</v>
      </c>
      <c r="E2" s="123" t="s">
        <v>5</v>
      </c>
      <c r="F2" s="124" t="s">
        <v>6</v>
      </c>
    </row>
    <row r="3" s="115" customFormat="1" ht="27" spans="1:12">
      <c r="A3" s="125">
        <v>1</v>
      </c>
      <c r="B3" s="126" t="s">
        <v>7</v>
      </c>
      <c r="C3" s="127" t="s">
        <v>8</v>
      </c>
      <c r="D3" s="127" t="s">
        <v>9</v>
      </c>
      <c r="E3" s="126" t="s">
        <v>10</v>
      </c>
      <c r="F3" s="128"/>
      <c r="G3" s="129"/>
      <c r="H3" s="129"/>
      <c r="I3" s="129"/>
      <c r="J3" s="129"/>
      <c r="K3" s="129"/>
      <c r="L3" s="129"/>
    </row>
    <row r="4" s="115" customFormat="1" ht="28" customHeight="1" spans="1:12">
      <c r="A4" s="125">
        <v>2</v>
      </c>
      <c r="B4" s="126" t="s">
        <v>11</v>
      </c>
      <c r="C4" s="127" t="s">
        <v>8</v>
      </c>
      <c r="D4" s="127" t="s">
        <v>12</v>
      </c>
      <c r="E4" s="126" t="s">
        <v>10</v>
      </c>
      <c r="F4" s="128"/>
      <c r="G4" s="129"/>
      <c r="H4" s="129"/>
      <c r="I4" s="129"/>
      <c r="J4" s="129"/>
      <c r="K4" s="129"/>
      <c r="L4" s="129"/>
    </row>
    <row r="5" s="115" customFormat="1" ht="28" customHeight="1" spans="1:12">
      <c r="A5" s="125">
        <v>3</v>
      </c>
      <c r="B5" s="126" t="s">
        <v>13</v>
      </c>
      <c r="C5" s="127" t="s">
        <v>8</v>
      </c>
      <c r="D5" s="127" t="s">
        <v>14</v>
      </c>
      <c r="E5" s="126" t="s">
        <v>10</v>
      </c>
      <c r="F5" s="128"/>
      <c r="G5" s="129"/>
      <c r="H5" s="129"/>
      <c r="I5" s="129"/>
      <c r="J5" s="129"/>
      <c r="K5" s="129"/>
      <c r="L5" s="129"/>
    </row>
    <row r="6" s="115" customFormat="1" ht="28" customHeight="1" spans="1:12">
      <c r="A6" s="125">
        <v>4</v>
      </c>
      <c r="B6" s="126" t="s">
        <v>15</v>
      </c>
      <c r="C6" s="127" t="s">
        <v>8</v>
      </c>
      <c r="D6" s="127" t="s">
        <v>16</v>
      </c>
      <c r="E6" s="126" t="s">
        <v>10</v>
      </c>
      <c r="F6" s="128"/>
      <c r="G6" s="129"/>
      <c r="H6" s="129"/>
      <c r="I6" s="129"/>
      <c r="J6" s="129"/>
      <c r="K6" s="129"/>
      <c r="L6" s="129"/>
    </row>
    <row r="7" s="115" customFormat="1" ht="28" customHeight="1" spans="1:12">
      <c r="A7" s="125">
        <v>5</v>
      </c>
      <c r="B7" s="126" t="s">
        <v>17</v>
      </c>
      <c r="C7" s="127" t="s">
        <v>18</v>
      </c>
      <c r="D7" s="127" t="s">
        <v>19</v>
      </c>
      <c r="E7" s="126" t="s">
        <v>10</v>
      </c>
      <c r="F7" s="128"/>
      <c r="G7" s="129"/>
      <c r="H7" s="129"/>
      <c r="I7" s="129"/>
      <c r="J7" s="129"/>
      <c r="K7" s="129"/>
      <c r="L7" s="129"/>
    </row>
    <row r="8" s="115" customFormat="1" ht="28" customHeight="1" spans="1:12">
      <c r="A8" s="125">
        <v>6</v>
      </c>
      <c r="B8" s="126" t="s">
        <v>20</v>
      </c>
      <c r="C8" s="127" t="s">
        <v>8</v>
      </c>
      <c r="D8" s="127" t="s">
        <v>21</v>
      </c>
      <c r="E8" s="126" t="s">
        <v>10</v>
      </c>
      <c r="F8" s="128"/>
      <c r="G8" s="130"/>
      <c r="H8" s="129"/>
      <c r="I8" s="129"/>
      <c r="J8" s="129"/>
      <c r="K8" s="129"/>
      <c r="L8" s="129"/>
    </row>
    <row r="9" s="115" customFormat="1" ht="28" customHeight="1" spans="1:12">
      <c r="A9" s="125">
        <v>7</v>
      </c>
      <c r="B9" s="126" t="s">
        <v>22</v>
      </c>
      <c r="C9" s="127" t="s">
        <v>8</v>
      </c>
      <c r="D9" s="127" t="s">
        <v>23</v>
      </c>
      <c r="E9" s="126" t="s">
        <v>10</v>
      </c>
      <c r="F9" s="128"/>
      <c r="G9" s="130"/>
      <c r="H9" s="129"/>
      <c r="I9" s="129"/>
      <c r="J9" s="129"/>
      <c r="K9" s="129"/>
      <c r="L9" s="129"/>
    </row>
    <row r="10" s="116" customFormat="1" ht="28" customHeight="1" spans="1:12">
      <c r="A10" s="125">
        <v>8</v>
      </c>
      <c r="B10" s="126" t="s">
        <v>24</v>
      </c>
      <c r="C10" s="127" t="s">
        <v>8</v>
      </c>
      <c r="D10" s="127" t="s">
        <v>25</v>
      </c>
      <c r="E10" s="126" t="s">
        <v>10</v>
      </c>
      <c r="F10" s="128"/>
      <c r="G10" s="131"/>
      <c r="H10" s="132"/>
      <c r="I10" s="143"/>
      <c r="J10" s="143"/>
      <c r="K10" s="143"/>
      <c r="L10" s="143"/>
    </row>
    <row r="11" s="117" customFormat="1" ht="28" customHeight="1" spans="1:12">
      <c r="A11" s="125">
        <v>9</v>
      </c>
      <c r="B11" s="126" t="s">
        <v>26</v>
      </c>
      <c r="C11" s="127" t="s">
        <v>8</v>
      </c>
      <c r="D11" s="127" t="s">
        <v>27</v>
      </c>
      <c r="E11" s="126" t="s">
        <v>10</v>
      </c>
      <c r="F11" s="128"/>
      <c r="G11" s="133"/>
      <c r="H11" s="134"/>
      <c r="I11" s="144"/>
      <c r="J11" s="144"/>
      <c r="K11" s="144"/>
      <c r="L11" s="144"/>
    </row>
    <row r="12" s="117" customFormat="1" ht="28" customHeight="1" spans="1:12">
      <c r="A12" s="125">
        <v>10</v>
      </c>
      <c r="B12" s="126" t="s">
        <v>28</v>
      </c>
      <c r="C12" s="127" t="s">
        <v>8</v>
      </c>
      <c r="D12" s="127" t="s">
        <v>29</v>
      </c>
      <c r="E12" s="126" t="s">
        <v>10</v>
      </c>
      <c r="F12" s="128"/>
      <c r="G12" s="133"/>
      <c r="H12" s="134"/>
      <c r="I12" s="144"/>
      <c r="J12" s="144"/>
      <c r="K12" s="144"/>
      <c r="L12" s="144"/>
    </row>
    <row r="13" s="117" customFormat="1" ht="28" customHeight="1" spans="1:12">
      <c r="A13" s="125">
        <v>11</v>
      </c>
      <c r="B13" s="126" t="s">
        <v>30</v>
      </c>
      <c r="C13" s="127" t="s">
        <v>31</v>
      </c>
      <c r="D13" s="127" t="s">
        <v>32</v>
      </c>
      <c r="E13" s="126" t="s">
        <v>10</v>
      </c>
      <c r="F13" s="128"/>
      <c r="G13" s="133"/>
      <c r="H13" s="134"/>
      <c r="I13" s="144"/>
      <c r="J13" s="144"/>
      <c r="K13" s="144"/>
      <c r="L13" s="144"/>
    </row>
    <row r="14" s="117" customFormat="1" ht="28" customHeight="1" spans="1:12">
      <c r="A14" s="125">
        <v>12</v>
      </c>
      <c r="B14" s="126" t="s">
        <v>33</v>
      </c>
      <c r="C14" s="127" t="s">
        <v>8</v>
      </c>
      <c r="D14" s="127" t="s">
        <v>34</v>
      </c>
      <c r="E14" s="126" t="s">
        <v>10</v>
      </c>
      <c r="F14" s="128"/>
      <c r="G14" s="133"/>
      <c r="H14" s="134"/>
      <c r="I14" s="144"/>
      <c r="J14" s="144"/>
      <c r="K14" s="144"/>
      <c r="L14" s="144"/>
    </row>
    <row r="15" s="117" customFormat="1" ht="28" customHeight="1" spans="1:12">
      <c r="A15" s="125">
        <v>13</v>
      </c>
      <c r="B15" s="126" t="s">
        <v>35</v>
      </c>
      <c r="C15" s="127" t="s">
        <v>8</v>
      </c>
      <c r="D15" s="127" t="s">
        <v>36</v>
      </c>
      <c r="E15" s="126" t="s">
        <v>10</v>
      </c>
      <c r="F15" s="128"/>
      <c r="G15" s="133"/>
      <c r="H15" s="134"/>
      <c r="I15" s="144"/>
      <c r="J15" s="144"/>
      <c r="K15" s="144"/>
      <c r="L15" s="144"/>
    </row>
    <row r="16" s="118" customFormat="1" ht="28" customHeight="1" spans="1:12">
      <c r="A16" s="125">
        <v>14</v>
      </c>
      <c r="B16" s="126" t="s">
        <v>37</v>
      </c>
      <c r="C16" s="127" t="s">
        <v>38</v>
      </c>
      <c r="D16" s="127" t="s">
        <v>39</v>
      </c>
      <c r="E16" s="126" t="s">
        <v>10</v>
      </c>
      <c r="F16" s="128"/>
      <c r="G16" s="133"/>
      <c r="H16" s="134"/>
      <c r="I16" s="134"/>
      <c r="J16" s="134"/>
      <c r="K16" s="134"/>
      <c r="L16" s="134"/>
    </row>
    <row r="17" s="118" customFormat="1" ht="33" customHeight="1" spans="1:12">
      <c r="A17" s="125">
        <v>15</v>
      </c>
      <c r="B17" s="126" t="s">
        <v>40</v>
      </c>
      <c r="C17" s="127" t="s">
        <v>41</v>
      </c>
      <c r="D17" s="127"/>
      <c r="E17" s="126"/>
      <c r="F17" s="128"/>
      <c r="G17" s="133"/>
      <c r="H17" s="134"/>
      <c r="I17" s="134"/>
      <c r="J17" s="134"/>
      <c r="K17" s="134"/>
      <c r="L17" s="134"/>
    </row>
    <row r="18" s="118" customFormat="1" ht="33" customHeight="1" spans="1:12">
      <c r="A18" s="125">
        <v>16</v>
      </c>
      <c r="B18" s="126" t="s">
        <v>42</v>
      </c>
      <c r="C18" s="127" t="s">
        <v>41</v>
      </c>
      <c r="D18" s="127"/>
      <c r="E18" s="126"/>
      <c r="F18" s="128"/>
      <c r="G18" s="133"/>
      <c r="H18" s="134"/>
      <c r="I18" s="134"/>
      <c r="J18" s="134"/>
      <c r="K18" s="134"/>
      <c r="L18" s="134"/>
    </row>
    <row r="19" s="118" customFormat="1" ht="33" customHeight="1" spans="1:12">
      <c r="A19" s="125">
        <v>17</v>
      </c>
      <c r="B19" s="126" t="s">
        <v>43</v>
      </c>
      <c r="C19" s="127" t="s">
        <v>41</v>
      </c>
      <c r="D19" s="127"/>
      <c r="E19" s="126"/>
      <c r="F19" s="128"/>
      <c r="G19" s="133"/>
      <c r="H19" s="134"/>
      <c r="I19" s="134"/>
      <c r="J19" s="134"/>
      <c r="K19" s="134"/>
      <c r="L19" s="134"/>
    </row>
    <row r="20" s="118" customFormat="1" ht="33" customHeight="1" spans="1:12">
      <c r="A20" s="125">
        <v>18</v>
      </c>
      <c r="B20" s="126" t="s">
        <v>44</v>
      </c>
      <c r="C20" s="127" t="s">
        <v>41</v>
      </c>
      <c r="D20" s="127"/>
      <c r="E20" s="126"/>
      <c r="F20" s="128"/>
      <c r="G20" s="133"/>
      <c r="H20" s="134"/>
      <c r="I20" s="134"/>
      <c r="J20" s="134"/>
      <c r="K20" s="134"/>
      <c r="L20" s="134"/>
    </row>
    <row r="21" s="118" customFormat="1" ht="33" customHeight="1" spans="1:12">
      <c r="A21" s="125">
        <v>19</v>
      </c>
      <c r="B21" s="126" t="s">
        <v>45</v>
      </c>
      <c r="C21" s="127" t="s">
        <v>41</v>
      </c>
      <c r="D21" s="127"/>
      <c r="E21" s="126"/>
      <c r="F21" s="128"/>
      <c r="G21" s="133"/>
      <c r="H21" s="134"/>
      <c r="I21" s="134"/>
      <c r="J21" s="134"/>
      <c r="K21" s="134"/>
      <c r="L21" s="134"/>
    </row>
    <row r="22" s="118" customFormat="1" ht="33" customHeight="1" spans="1:12">
      <c r="A22" s="125">
        <v>20</v>
      </c>
      <c r="B22" s="126" t="s">
        <v>46</v>
      </c>
      <c r="C22" s="127" t="s">
        <v>41</v>
      </c>
      <c r="D22" s="127"/>
      <c r="E22" s="135"/>
      <c r="F22" s="136"/>
      <c r="G22" s="133"/>
      <c r="H22" s="134"/>
      <c r="I22" s="134"/>
      <c r="J22" s="134"/>
      <c r="K22" s="134"/>
      <c r="L22" s="134"/>
    </row>
    <row r="23" ht="33.95" customHeight="1" spans="1:6">
      <c r="A23" s="137" t="s">
        <v>47</v>
      </c>
      <c r="B23" s="138"/>
      <c r="C23" s="138" t="s">
        <v>48</v>
      </c>
      <c r="D23" s="138"/>
      <c r="E23" s="138"/>
      <c r="F23" s="139"/>
    </row>
    <row r="24" ht="33.95" customHeight="1" spans="1:6">
      <c r="A24" s="140"/>
      <c r="B24" s="141"/>
      <c r="C24" s="141"/>
      <c r="D24" s="141"/>
      <c r="E24" s="141"/>
      <c r="F24" s="142"/>
    </row>
    <row r="39" ht="43.5" customHeight="1"/>
  </sheetData>
  <mergeCells count="3">
    <mergeCell ref="A1:F1"/>
    <mergeCell ref="A23:B24"/>
    <mergeCell ref="C23:F24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I7" sqref="I7"/>
    </sheetView>
  </sheetViews>
  <sheetFormatPr defaultColWidth="9" defaultRowHeight="14.25" outlineLevelCol="7"/>
  <cols>
    <col min="1" max="1" width="5.375" style="2" customWidth="1"/>
    <col min="2" max="2" width="16.5" customWidth="1"/>
    <col min="3" max="3" width="20.25" style="3" customWidth="1"/>
    <col min="4" max="4" width="4.125" customWidth="1"/>
    <col min="5" max="5" width="7" customWidth="1"/>
    <col min="6" max="6" width="6.75" customWidth="1"/>
    <col min="7" max="7" width="10.25" customWidth="1"/>
    <col min="8" max="8" width="9.75" customWidth="1"/>
    <col min="10" max="10" width="12.625"/>
    <col min="13" max="13" width="20.75" customWidth="1"/>
  </cols>
  <sheetData>
    <row r="1" ht="44" customHeight="1" spans="1:8">
      <c r="A1" s="4" t="s">
        <v>296</v>
      </c>
      <c r="B1" s="4"/>
      <c r="C1" s="5"/>
      <c r="D1" s="4"/>
      <c r="E1" s="4"/>
      <c r="F1" s="4"/>
      <c r="G1" s="4"/>
      <c r="H1" s="4"/>
    </row>
    <row r="2" s="1" customFormat="1" ht="34" customHeight="1" spans="1:8">
      <c r="A2" s="6" t="s">
        <v>1</v>
      </c>
      <c r="B2" s="6" t="s">
        <v>54</v>
      </c>
      <c r="C2" s="6" t="s">
        <v>297</v>
      </c>
      <c r="D2" s="6" t="s">
        <v>90</v>
      </c>
      <c r="E2" s="6" t="s">
        <v>298</v>
      </c>
      <c r="F2" s="6" t="s">
        <v>299</v>
      </c>
      <c r="G2" s="6" t="s">
        <v>142</v>
      </c>
      <c r="H2" s="6" t="s">
        <v>6</v>
      </c>
    </row>
    <row r="3" ht="26" customHeight="1" spans="1:8">
      <c r="A3" s="7" t="s">
        <v>300</v>
      </c>
      <c r="B3" s="7"/>
      <c r="C3" s="8"/>
      <c r="D3" s="9"/>
      <c r="E3" s="9"/>
      <c r="F3" s="9"/>
      <c r="G3" s="9"/>
      <c r="H3" s="6" t="s">
        <v>301</v>
      </c>
    </row>
    <row r="4" ht="51" customHeight="1" spans="1:8">
      <c r="A4" s="7">
        <v>1</v>
      </c>
      <c r="B4" s="9" t="s">
        <v>302</v>
      </c>
      <c r="C4" s="8" t="s">
        <v>303</v>
      </c>
      <c r="D4" s="9" t="s">
        <v>133</v>
      </c>
      <c r="E4" s="9">
        <f ca="1">结果计算</f>
        <v>99.41</v>
      </c>
      <c r="F4" s="10">
        <f>73.14/1.09*1.03</f>
        <v>69.11</v>
      </c>
      <c r="G4" s="11">
        <f ca="1">F4*E4</f>
        <v>6870.23</v>
      </c>
      <c r="H4" s="9"/>
    </row>
    <row r="5" ht="44" customHeight="1" spans="1:8">
      <c r="A5" s="7">
        <v>2</v>
      </c>
      <c r="B5" s="8" t="s">
        <v>304</v>
      </c>
      <c r="C5" s="8" t="s">
        <v>305</v>
      </c>
      <c r="D5" s="9" t="s">
        <v>306</v>
      </c>
      <c r="E5" s="9">
        <f ca="1">结果计算</f>
        <v>174.9616</v>
      </c>
      <c r="F5" s="11">
        <f>6.40026/1.09*1.03</f>
        <v>6.05</v>
      </c>
      <c r="G5" s="11">
        <f ca="1" t="shared" ref="G5:G17" si="0">F5*E5</f>
        <v>1058.52</v>
      </c>
      <c r="H5" s="9"/>
    </row>
    <row r="6" ht="51" customHeight="1" spans="1:8">
      <c r="A6" s="7">
        <v>3</v>
      </c>
      <c r="B6" s="8" t="s">
        <v>307</v>
      </c>
      <c r="C6" s="8" t="s">
        <v>308</v>
      </c>
      <c r="D6" s="9" t="s">
        <v>306</v>
      </c>
      <c r="E6" s="9">
        <f ca="1">结果计算</f>
        <v>120.153</v>
      </c>
      <c r="F6" s="10">
        <f>6.30075/1.09*1.03</f>
        <v>5.95</v>
      </c>
      <c r="G6" s="11">
        <f ca="1" t="shared" si="0"/>
        <v>714.91</v>
      </c>
      <c r="H6" s="9"/>
    </row>
    <row r="7" ht="50" customHeight="1" spans="1:8">
      <c r="A7" s="7">
        <v>4</v>
      </c>
      <c r="B7" s="9" t="s">
        <v>309</v>
      </c>
      <c r="C7" s="8" t="s">
        <v>310</v>
      </c>
      <c r="D7" s="9" t="s">
        <v>153</v>
      </c>
      <c r="E7" s="9">
        <f ca="1">结果计算</f>
        <v>171</v>
      </c>
      <c r="F7" s="10">
        <f>41/1.09*1.03</f>
        <v>38.74</v>
      </c>
      <c r="G7" s="11">
        <f ca="1" t="shared" si="0"/>
        <v>6624.54</v>
      </c>
      <c r="H7" s="9"/>
    </row>
    <row r="8" ht="22" customHeight="1" spans="1:8">
      <c r="A8" s="7" t="s">
        <v>311</v>
      </c>
      <c r="B8" s="7"/>
      <c r="C8" s="8"/>
      <c r="D8" s="9"/>
      <c r="E8" s="9"/>
      <c r="F8" s="11"/>
      <c r="G8" s="11">
        <f t="shared" si="0"/>
        <v>0</v>
      </c>
      <c r="H8" s="9"/>
    </row>
    <row r="9" ht="30" customHeight="1" spans="1:8">
      <c r="A9" s="7">
        <v>1</v>
      </c>
      <c r="B9" s="9" t="s">
        <v>302</v>
      </c>
      <c r="C9" s="8" t="s">
        <v>312</v>
      </c>
      <c r="D9" s="9" t="s">
        <v>133</v>
      </c>
      <c r="E9" s="9">
        <f ca="1">结果计算</f>
        <v>398.495</v>
      </c>
      <c r="F9" s="10">
        <f>73.14/1.09*1.03</f>
        <v>69.11</v>
      </c>
      <c r="G9" s="11">
        <f ca="1" t="shared" si="0"/>
        <v>27539.99</v>
      </c>
      <c r="H9" s="9"/>
    </row>
    <row r="10" ht="30" customHeight="1" spans="1:8">
      <c r="A10" s="7">
        <v>2</v>
      </c>
      <c r="B10" s="8" t="s">
        <v>313</v>
      </c>
      <c r="C10" s="8" t="s">
        <v>314</v>
      </c>
      <c r="D10" s="9" t="s">
        <v>306</v>
      </c>
      <c r="E10" s="9">
        <f ca="1">结果计算</f>
        <v>701.3512</v>
      </c>
      <c r="F10" s="11">
        <f>6.40026/1.09*1.03</f>
        <v>6.05</v>
      </c>
      <c r="G10" s="11">
        <f ca="1" t="shared" si="0"/>
        <v>4243.17</v>
      </c>
      <c r="H10" s="9"/>
    </row>
    <row r="11" ht="53" customHeight="1" spans="1:8">
      <c r="A11" s="7">
        <v>3</v>
      </c>
      <c r="B11" s="8" t="s">
        <v>315</v>
      </c>
      <c r="C11" s="8" t="s">
        <v>316</v>
      </c>
      <c r="D11" s="9" t="s">
        <v>306</v>
      </c>
      <c r="E11" s="9">
        <f ca="1">结果计算</f>
        <v>485.0285</v>
      </c>
      <c r="F11" s="10">
        <f>6.30075/1.09*1.03</f>
        <v>5.95</v>
      </c>
      <c r="G11" s="11">
        <f ca="1" t="shared" si="0"/>
        <v>2885.92</v>
      </c>
      <c r="H11" s="9"/>
    </row>
    <row r="12" ht="30" customHeight="1" spans="1:8">
      <c r="A12" s="7">
        <v>4</v>
      </c>
      <c r="B12" s="9" t="s">
        <v>309</v>
      </c>
      <c r="C12" s="8" t="s">
        <v>317</v>
      </c>
      <c r="D12" s="9" t="s">
        <v>153</v>
      </c>
      <c r="E12" s="9">
        <f ca="1">结果计算</f>
        <v>676.5</v>
      </c>
      <c r="F12" s="10">
        <f>41/1.09*1.03</f>
        <v>38.74</v>
      </c>
      <c r="G12" s="11">
        <f ca="1" t="shared" si="0"/>
        <v>26207.61</v>
      </c>
      <c r="H12" s="9"/>
    </row>
    <row r="13" spans="1:8">
      <c r="A13" s="7" t="s">
        <v>318</v>
      </c>
      <c r="B13" s="7"/>
      <c r="C13" s="8"/>
      <c r="D13" s="9"/>
      <c r="E13" s="9"/>
      <c r="F13" s="11"/>
      <c r="G13" s="11">
        <f t="shared" si="0"/>
        <v>0</v>
      </c>
      <c r="H13" s="9"/>
    </row>
    <row r="14" ht="56" customHeight="1" spans="1:8">
      <c r="A14" s="7">
        <v>1</v>
      </c>
      <c r="B14" s="9" t="s">
        <v>302</v>
      </c>
      <c r="C14" s="8" t="s">
        <v>319</v>
      </c>
      <c r="D14" s="9" t="s">
        <v>133</v>
      </c>
      <c r="E14" s="9">
        <f ca="1">结果计算</f>
        <v>102.13</v>
      </c>
      <c r="F14" s="10">
        <f>73.14/1.09*1.03</f>
        <v>69.11</v>
      </c>
      <c r="G14" s="11">
        <f ca="1" t="shared" si="0"/>
        <v>7058.2</v>
      </c>
      <c r="H14" s="9"/>
    </row>
    <row r="15" ht="31" customHeight="1" spans="1:8">
      <c r="A15" s="7">
        <v>2</v>
      </c>
      <c r="B15" s="8" t="s">
        <v>313</v>
      </c>
      <c r="C15" s="8" t="s">
        <v>320</v>
      </c>
      <c r="D15" s="9" t="s">
        <v>306</v>
      </c>
      <c r="E15" s="9">
        <f ca="1">结果计算</f>
        <v>102.9864</v>
      </c>
      <c r="F15" s="11">
        <f>6.40026/1.09*1.03</f>
        <v>6.05</v>
      </c>
      <c r="G15" s="11">
        <f ca="1" t="shared" si="0"/>
        <v>623.07</v>
      </c>
      <c r="H15" s="9"/>
    </row>
    <row r="16" ht="54" customHeight="1" spans="1:8">
      <c r="A16" s="7">
        <v>3</v>
      </c>
      <c r="B16" s="8" t="s">
        <v>315</v>
      </c>
      <c r="C16" s="8" t="s">
        <v>321</v>
      </c>
      <c r="D16" s="9" t="s">
        <v>306</v>
      </c>
      <c r="E16" s="9">
        <f ca="1">结果计算</f>
        <v>109.142</v>
      </c>
      <c r="F16" s="10">
        <f>6.30075/1.09*1.03</f>
        <v>5.95</v>
      </c>
      <c r="G16" s="11">
        <f ca="1" t="shared" si="0"/>
        <v>649.39</v>
      </c>
      <c r="H16" s="9"/>
    </row>
    <row r="17" ht="25" customHeight="1" spans="1:8">
      <c r="A17" s="7">
        <v>4</v>
      </c>
      <c r="B17" s="9" t="s">
        <v>309</v>
      </c>
      <c r="C17" s="8" t="s">
        <v>322</v>
      </c>
      <c r="D17" s="9" t="s">
        <v>153</v>
      </c>
      <c r="E17" s="9">
        <f ca="1">结果计算</f>
        <v>148.5</v>
      </c>
      <c r="F17" s="10">
        <f>41/1.09*1.03</f>
        <v>38.74</v>
      </c>
      <c r="G17" s="11">
        <f ca="1" t="shared" si="0"/>
        <v>5752.89</v>
      </c>
      <c r="H17" s="9"/>
    </row>
    <row r="18" spans="1:8">
      <c r="A18" s="7"/>
      <c r="B18" s="9"/>
      <c r="C18" s="8"/>
      <c r="D18" s="9"/>
      <c r="E18" s="9"/>
      <c r="F18" s="9"/>
      <c r="G18" s="11">
        <f ca="1">SUM(G4:G17)</f>
        <v>90228.44</v>
      </c>
      <c r="H18" s="9"/>
    </row>
    <row r="19" spans="1:8">
      <c r="A19" s="7"/>
      <c r="B19" s="9"/>
      <c r="C19" s="8"/>
      <c r="D19" s="9"/>
      <c r="E19" s="9"/>
      <c r="F19" s="9"/>
      <c r="G19" s="9"/>
      <c r="H19" s="9"/>
    </row>
  </sheetData>
  <mergeCells count="4">
    <mergeCell ref="A1:H1"/>
    <mergeCell ref="A3:B3"/>
    <mergeCell ref="A8:B8"/>
    <mergeCell ref="A13:B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5" workbookViewId="0">
      <selection activeCell="E24" sqref="E24:H24"/>
    </sheetView>
  </sheetViews>
  <sheetFormatPr defaultColWidth="9" defaultRowHeight="14.25" outlineLevelCol="7"/>
  <cols>
    <col min="1" max="1" width="10.875" customWidth="1"/>
    <col min="2" max="2" width="8.5" customWidth="1"/>
    <col min="3" max="3" width="3.25" customWidth="1"/>
    <col min="4" max="4" width="8" customWidth="1"/>
    <col min="5" max="5" width="13" customWidth="1"/>
    <col min="6" max="6" width="12" customWidth="1"/>
    <col min="7" max="7" width="11.625" customWidth="1"/>
    <col min="8" max="8" width="12.875" customWidth="1"/>
  </cols>
  <sheetData>
    <row r="1" ht="37.5" customHeight="1" spans="1:8">
      <c r="A1" s="78" t="s">
        <v>49</v>
      </c>
      <c r="B1" s="78"/>
      <c r="C1" s="78"/>
      <c r="D1" s="78"/>
      <c r="E1" s="78"/>
      <c r="F1" s="78"/>
      <c r="G1" s="78"/>
      <c r="H1" s="78"/>
    </row>
    <row r="2" ht="31.9" customHeight="1" spans="1:8">
      <c r="A2" s="79" t="s">
        <v>50</v>
      </c>
      <c r="B2" s="79"/>
      <c r="C2" s="79"/>
      <c r="D2" s="79"/>
      <c r="E2" s="79"/>
      <c r="F2" s="79"/>
      <c r="G2" s="79"/>
      <c r="H2" s="79"/>
    </row>
    <row r="3" ht="23.25" customHeight="1" spans="1:8">
      <c r="A3" s="79" t="s">
        <v>51</v>
      </c>
      <c r="B3" s="79"/>
      <c r="C3" s="79"/>
      <c r="D3" s="79"/>
      <c r="E3" s="79"/>
      <c r="F3" s="79"/>
      <c r="G3" s="79"/>
      <c r="H3" s="79"/>
    </row>
    <row r="4" ht="25.5" customHeight="1" spans="1:8">
      <c r="A4" s="79" t="s">
        <v>52</v>
      </c>
      <c r="B4" s="79"/>
      <c r="C4" s="79"/>
      <c r="D4" s="79"/>
      <c r="E4" s="79"/>
      <c r="F4" s="79"/>
      <c r="G4" s="79"/>
      <c r="H4" s="79"/>
    </row>
    <row r="5" ht="30" customHeight="1" spans="1:8">
      <c r="A5" s="80" t="s">
        <v>53</v>
      </c>
      <c r="B5" s="80"/>
      <c r="C5" s="80"/>
      <c r="D5" s="80"/>
      <c r="E5" s="80"/>
      <c r="F5" s="80"/>
      <c r="G5" s="80"/>
      <c r="H5" s="80"/>
    </row>
    <row r="6" ht="20.25" customHeight="1" spans="1:8">
      <c r="A6" s="81" t="s">
        <v>1</v>
      </c>
      <c r="B6" s="82" t="s">
        <v>54</v>
      </c>
      <c r="C6" s="83"/>
      <c r="D6" s="84"/>
      <c r="E6" s="84" t="s">
        <v>55</v>
      </c>
      <c r="F6" s="84" t="s">
        <v>56</v>
      </c>
      <c r="G6" s="84" t="s">
        <v>57</v>
      </c>
      <c r="H6" s="84" t="s">
        <v>58</v>
      </c>
    </row>
    <row r="7" ht="20.25" customHeight="1" spans="1:8">
      <c r="A7" s="85" t="s">
        <v>59</v>
      </c>
      <c r="B7" s="86" t="s">
        <v>60</v>
      </c>
      <c r="C7" s="87"/>
      <c r="D7" s="88"/>
      <c r="E7" s="89">
        <f>E8+E9+E10+E11</f>
        <v>0</v>
      </c>
      <c r="F7" s="89">
        <v>0</v>
      </c>
      <c r="G7" s="89">
        <f>G8+G9+G10+G11</f>
        <v>0</v>
      </c>
      <c r="H7" s="90">
        <f>H8+H10+H11+H12</f>
        <v>576800</v>
      </c>
    </row>
    <row r="8" ht="20.25" customHeight="1" spans="1:8">
      <c r="A8" s="91">
        <v>1.1</v>
      </c>
      <c r="B8" s="92" t="s">
        <v>61</v>
      </c>
      <c r="C8" s="93"/>
      <c r="D8" s="94"/>
      <c r="E8" s="89">
        <v>0</v>
      </c>
      <c r="F8" s="89">
        <v>0</v>
      </c>
      <c r="G8" s="89">
        <v>0</v>
      </c>
      <c r="H8" s="90">
        <f>'4、各月结算明细'!G40</f>
        <v>576858.78</v>
      </c>
    </row>
    <row r="9" ht="20.25" customHeight="1" spans="1:8">
      <c r="A9" s="91">
        <v>1.2</v>
      </c>
      <c r="B9" s="92" t="s">
        <v>62</v>
      </c>
      <c r="C9" s="93"/>
      <c r="D9" s="94"/>
      <c r="E9" s="89">
        <v>0</v>
      </c>
      <c r="F9" s="89">
        <v>0</v>
      </c>
      <c r="G9" s="89">
        <v>0</v>
      </c>
      <c r="H9" s="89"/>
    </row>
    <row r="10" ht="20.25" customHeight="1" spans="1:8">
      <c r="A10" s="91">
        <v>1.3</v>
      </c>
      <c r="B10" s="92" t="s">
        <v>63</v>
      </c>
      <c r="C10" s="93"/>
      <c r="D10" s="94"/>
      <c r="E10" s="89">
        <v>0</v>
      </c>
      <c r="F10" s="89">
        <v>0</v>
      </c>
      <c r="G10" s="89">
        <v>0</v>
      </c>
      <c r="H10" s="89"/>
    </row>
    <row r="11" ht="20.25" customHeight="1" spans="1:8">
      <c r="A11" s="91">
        <v>1.4</v>
      </c>
      <c r="B11" s="92" t="s">
        <v>64</v>
      </c>
      <c r="C11" s="93"/>
      <c r="D11" s="94"/>
      <c r="E11" s="89">
        <v>0</v>
      </c>
      <c r="F11" s="89">
        <v>0</v>
      </c>
      <c r="G11" s="89">
        <v>0</v>
      </c>
      <c r="H11" s="90"/>
    </row>
    <row r="12" ht="20.25" customHeight="1" spans="1:8">
      <c r="A12" s="91">
        <v>1.5</v>
      </c>
      <c r="B12" s="92" t="s">
        <v>65</v>
      </c>
      <c r="C12" s="93"/>
      <c r="D12" s="94"/>
      <c r="E12" s="95"/>
      <c r="F12" s="96"/>
      <c r="G12" s="89"/>
      <c r="H12" s="90">
        <f>'4、各月结算明细'!G41-'4、各月结算明细'!G40</f>
        <v>-58.78</v>
      </c>
    </row>
    <row r="13" ht="20.25" customHeight="1" spans="1:8">
      <c r="A13" s="85" t="s">
        <v>66</v>
      </c>
      <c r="B13" s="86" t="s">
        <v>67</v>
      </c>
      <c r="C13" s="87"/>
      <c r="D13" s="88"/>
      <c r="E13" s="92">
        <v>0</v>
      </c>
      <c r="F13" s="94"/>
      <c r="G13" s="89">
        <v>0</v>
      </c>
      <c r="H13" s="89">
        <v>0</v>
      </c>
    </row>
    <row r="14" ht="20.25" customHeight="1" spans="1:8">
      <c r="A14" s="91">
        <v>2.1</v>
      </c>
      <c r="B14" s="92" t="s">
        <v>68</v>
      </c>
      <c r="C14" s="93"/>
      <c r="D14" s="94"/>
      <c r="E14" s="92">
        <v>0</v>
      </c>
      <c r="F14" s="94"/>
      <c r="G14" s="89">
        <v>0</v>
      </c>
      <c r="H14" s="89">
        <v>0</v>
      </c>
    </row>
    <row r="15" ht="20.25" customHeight="1" spans="1:8">
      <c r="A15" s="91">
        <v>2.2</v>
      </c>
      <c r="B15" s="92" t="s">
        <v>68</v>
      </c>
      <c r="C15" s="93"/>
      <c r="D15" s="94"/>
      <c r="E15" s="92">
        <v>0</v>
      </c>
      <c r="F15" s="94"/>
      <c r="G15" s="89">
        <v>0</v>
      </c>
      <c r="H15" s="89">
        <v>0</v>
      </c>
    </row>
    <row r="16" ht="20.25" customHeight="1" spans="1:8">
      <c r="A16" s="97" t="s">
        <v>69</v>
      </c>
      <c r="B16" s="98" t="s">
        <v>70</v>
      </c>
      <c r="C16" s="99"/>
      <c r="D16" s="89" t="s">
        <v>71</v>
      </c>
      <c r="E16" s="100">
        <f>H7</f>
        <v>576800</v>
      </c>
      <c r="F16" s="101"/>
      <c r="G16" s="101"/>
      <c r="H16" s="102"/>
    </row>
    <row r="17" ht="20.25" customHeight="1" spans="1:8">
      <c r="A17" s="85"/>
      <c r="B17" s="103"/>
      <c r="C17" s="104"/>
      <c r="D17" s="105" t="s">
        <v>72</v>
      </c>
      <c r="E17" s="106">
        <f>E16</f>
        <v>576800</v>
      </c>
      <c r="F17" s="107"/>
      <c r="G17" s="107"/>
      <c r="H17" s="108"/>
    </row>
    <row r="18" ht="20.25" customHeight="1" spans="1:8">
      <c r="A18" s="85" t="s">
        <v>73</v>
      </c>
      <c r="B18" s="86" t="s">
        <v>74</v>
      </c>
      <c r="C18" s="87"/>
      <c r="D18" s="88"/>
      <c r="E18" s="92">
        <v>0</v>
      </c>
      <c r="F18" s="93"/>
      <c r="G18" s="93"/>
      <c r="H18" s="94"/>
    </row>
    <row r="19" ht="20.25" customHeight="1" spans="1:8">
      <c r="A19" s="91">
        <v>4.1</v>
      </c>
      <c r="B19" s="92" t="s">
        <v>75</v>
      </c>
      <c r="C19" s="93"/>
      <c r="D19" s="94"/>
      <c r="E19" s="92">
        <v>0</v>
      </c>
      <c r="F19" s="93"/>
      <c r="G19" s="93"/>
      <c r="H19" s="94"/>
    </row>
    <row r="20" ht="20.25" customHeight="1" spans="1:8">
      <c r="A20" s="91">
        <v>4.2</v>
      </c>
      <c r="B20" s="92" t="s">
        <v>76</v>
      </c>
      <c r="C20" s="93"/>
      <c r="D20" s="94"/>
      <c r="E20" s="92">
        <v>0</v>
      </c>
      <c r="F20" s="93"/>
      <c r="G20" s="93"/>
      <c r="H20" s="94"/>
    </row>
    <row r="21" ht="20.25" customHeight="1" spans="1:8">
      <c r="A21" s="85" t="s">
        <v>77</v>
      </c>
      <c r="B21" s="86" t="s">
        <v>78</v>
      </c>
      <c r="C21" s="87"/>
      <c r="D21" s="88"/>
      <c r="E21" s="92">
        <v>0</v>
      </c>
      <c r="F21" s="93"/>
      <c r="G21" s="93"/>
      <c r="H21" s="94"/>
    </row>
    <row r="22" ht="20.25" customHeight="1" spans="1:8">
      <c r="A22" s="91">
        <v>5.1</v>
      </c>
      <c r="B22" s="92" t="s">
        <v>79</v>
      </c>
      <c r="C22" s="93"/>
      <c r="D22" s="94"/>
      <c r="E22" s="92" t="s">
        <v>80</v>
      </c>
      <c r="F22" s="93"/>
      <c r="G22" s="93"/>
      <c r="H22" s="94"/>
    </row>
    <row r="23" ht="20.25" customHeight="1" spans="1:8">
      <c r="A23" s="91">
        <v>5.2</v>
      </c>
      <c r="B23" s="92" t="s">
        <v>81</v>
      </c>
      <c r="C23" s="93"/>
      <c r="D23" s="94"/>
      <c r="E23" s="92" t="s">
        <v>80</v>
      </c>
      <c r="F23" s="93"/>
      <c r="G23" s="93"/>
      <c r="H23" s="94"/>
    </row>
    <row r="24" ht="20.25" customHeight="1" spans="1:8">
      <c r="A24" s="97" t="s">
        <v>82</v>
      </c>
      <c r="B24" s="109" t="s">
        <v>83</v>
      </c>
      <c r="C24" s="92" t="s">
        <v>71</v>
      </c>
      <c r="D24" s="94"/>
      <c r="E24" s="100">
        <f>E16</f>
        <v>576800</v>
      </c>
      <c r="F24" s="93"/>
      <c r="G24" s="93"/>
      <c r="H24" s="94"/>
    </row>
    <row r="25" ht="20.25" customHeight="1" spans="1:8">
      <c r="A25" s="85"/>
      <c r="B25" s="110"/>
      <c r="C25" s="92" t="s">
        <v>72</v>
      </c>
      <c r="D25" s="94"/>
      <c r="E25" s="106">
        <f>E17</f>
        <v>576800</v>
      </c>
      <c r="F25" s="107"/>
      <c r="G25" s="107"/>
      <c r="H25" s="108"/>
    </row>
    <row r="26" ht="20.25" customHeight="1" spans="1:8">
      <c r="A26" s="97" t="s">
        <v>84</v>
      </c>
      <c r="B26" s="109" t="s">
        <v>85</v>
      </c>
      <c r="C26" s="92" t="s">
        <v>71</v>
      </c>
      <c r="D26" s="94"/>
      <c r="E26" s="100">
        <f>E24</f>
        <v>576800</v>
      </c>
      <c r="F26" s="93"/>
      <c r="G26" s="93"/>
      <c r="H26" s="94"/>
    </row>
    <row r="27" ht="20.25" customHeight="1" spans="1:8">
      <c r="A27" s="85"/>
      <c r="B27" s="110"/>
      <c r="C27" s="92" t="s">
        <v>72</v>
      </c>
      <c r="D27" s="94"/>
      <c r="E27" s="106">
        <f>E17</f>
        <v>576800</v>
      </c>
      <c r="F27" s="107"/>
      <c r="G27" s="107"/>
      <c r="H27" s="108"/>
    </row>
    <row r="28" spans="1:8">
      <c r="A28" s="111"/>
      <c r="B28" s="111"/>
      <c r="C28" s="111"/>
      <c r="D28" s="111"/>
      <c r="E28" s="111"/>
      <c r="F28" s="111"/>
      <c r="G28" s="111"/>
      <c r="H28" s="111"/>
    </row>
    <row r="29" spans="1:8">
      <c r="A29" s="112" t="s">
        <v>86</v>
      </c>
      <c r="B29" s="112"/>
      <c r="C29" s="112"/>
      <c r="D29" s="112"/>
      <c r="E29" s="112"/>
      <c r="F29" s="112"/>
      <c r="G29" s="112"/>
      <c r="H29" s="112"/>
    </row>
    <row r="30" spans="1:1">
      <c r="A30" s="113"/>
    </row>
    <row r="31" spans="1:1">
      <c r="A31" s="113"/>
    </row>
    <row r="32" spans="1:8">
      <c r="A32" s="112" t="s">
        <v>87</v>
      </c>
      <c r="B32" s="112"/>
      <c r="C32" s="112"/>
      <c r="D32" s="112"/>
      <c r="E32" s="112"/>
      <c r="F32" s="112"/>
      <c r="G32" s="112"/>
      <c r="H32" s="112"/>
    </row>
    <row r="33" spans="1:1">
      <c r="A33" s="113"/>
    </row>
    <row r="34" ht="27" customHeight="1" spans="1:8">
      <c r="A34" s="114"/>
      <c r="B34" s="114"/>
      <c r="C34" s="114"/>
      <c r="D34" s="114"/>
      <c r="E34" s="114"/>
      <c r="F34" s="114"/>
      <c r="G34" s="114"/>
      <c r="H34" s="114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L13" sqref="L13"/>
    </sheetView>
  </sheetViews>
  <sheetFormatPr defaultColWidth="9" defaultRowHeight="14.25" outlineLevelCol="7"/>
  <cols>
    <col min="1" max="1" width="5.375" customWidth="1"/>
    <col min="2" max="2" width="10.25" customWidth="1"/>
    <col min="3" max="3" width="18" customWidth="1"/>
    <col min="4" max="4" width="5.375" style="2" customWidth="1"/>
    <col min="5" max="6" width="7.375" customWidth="1"/>
    <col min="7" max="7" width="10.375" customWidth="1"/>
    <col min="8" max="8" width="18.375" customWidth="1"/>
    <col min="9" max="9" width="29.75" customWidth="1"/>
  </cols>
  <sheetData>
    <row r="1" ht="20.25" spans="1:8">
      <c r="A1" s="49" t="s">
        <v>88</v>
      </c>
      <c r="B1" s="49"/>
      <c r="C1" s="49"/>
      <c r="D1" s="49"/>
      <c r="E1" s="49"/>
      <c r="F1" s="49"/>
      <c r="G1" s="49"/>
      <c r="H1" s="49"/>
    </row>
    <row r="2" spans="1:8">
      <c r="A2" s="50" t="s">
        <v>1</v>
      </c>
      <c r="B2" s="50" t="s">
        <v>54</v>
      </c>
      <c r="C2" s="50" t="s">
        <v>89</v>
      </c>
      <c r="D2" s="50" t="s">
        <v>90</v>
      </c>
      <c r="E2" s="50" t="s">
        <v>91</v>
      </c>
      <c r="F2" s="50" t="s">
        <v>92</v>
      </c>
      <c r="G2" s="50" t="s">
        <v>93</v>
      </c>
      <c r="H2" s="50" t="s">
        <v>6</v>
      </c>
    </row>
    <row r="3" spans="1:8">
      <c r="A3" s="50" t="s">
        <v>59</v>
      </c>
      <c r="B3" s="50" t="s">
        <v>94</v>
      </c>
      <c r="C3" s="50"/>
      <c r="D3" s="50" t="s">
        <v>95</v>
      </c>
      <c r="E3" s="50">
        <v>1</v>
      </c>
      <c r="F3" s="50">
        <f>'4 、2023年度9月份结算明细表'!G18</f>
        <v>153700</v>
      </c>
      <c r="G3" s="50">
        <f>F3*E3</f>
        <v>153700</v>
      </c>
      <c r="H3" s="50"/>
    </row>
    <row r="4" spans="1:8">
      <c r="A4" s="50" t="s">
        <v>66</v>
      </c>
      <c r="B4" s="50" t="s">
        <v>96</v>
      </c>
      <c r="C4" s="50"/>
      <c r="D4" s="50" t="s">
        <v>95</v>
      </c>
      <c r="E4" s="50">
        <v>1</v>
      </c>
      <c r="F4" s="50">
        <f>'2023年11月'!G12</f>
        <v>95000</v>
      </c>
      <c r="G4" s="50">
        <f>F4*E4</f>
        <v>95000</v>
      </c>
      <c r="H4" s="50"/>
    </row>
    <row r="5" spans="1:8">
      <c r="A5" s="50" t="s">
        <v>69</v>
      </c>
      <c r="B5" s="50" t="s">
        <v>97</v>
      </c>
      <c r="C5" s="50"/>
      <c r="D5" s="50" t="s">
        <v>95</v>
      </c>
      <c r="E5" s="50">
        <v>1</v>
      </c>
      <c r="F5" s="50">
        <f>'2023年12月'!G37</f>
        <v>93700</v>
      </c>
      <c r="G5" s="50">
        <f t="shared" ref="G5:G14" si="0">F5*E5</f>
        <v>93700</v>
      </c>
      <c r="H5" s="50"/>
    </row>
    <row r="6" spans="1:8">
      <c r="A6" s="50" t="s">
        <v>73</v>
      </c>
      <c r="B6" s="50" t="s">
        <v>98</v>
      </c>
      <c r="C6" s="50"/>
      <c r="D6" s="50" t="s">
        <v>95</v>
      </c>
      <c r="E6" s="50">
        <v>1</v>
      </c>
      <c r="F6" s="50">
        <f>'2024年3月'!G30</f>
        <v>37000</v>
      </c>
      <c r="G6" s="50">
        <f t="shared" si="0"/>
        <v>37000</v>
      </c>
      <c r="H6" s="50"/>
    </row>
    <row r="7" spans="1:8">
      <c r="A7" s="50" t="s">
        <v>77</v>
      </c>
      <c r="B7" s="50" t="s">
        <v>99</v>
      </c>
      <c r="C7" s="50"/>
      <c r="D7" s="50" t="s">
        <v>95</v>
      </c>
      <c r="E7" s="50">
        <v>1</v>
      </c>
      <c r="F7" s="50">
        <f>'2024年5月'!G33</f>
        <v>126800</v>
      </c>
      <c r="G7" s="50">
        <f t="shared" si="0"/>
        <v>126800</v>
      </c>
      <c r="H7" s="50"/>
    </row>
    <row r="8" spans="1:8">
      <c r="A8" s="50" t="s">
        <v>82</v>
      </c>
      <c r="B8" s="50" t="s">
        <v>100</v>
      </c>
      <c r="C8" s="50"/>
      <c r="D8" s="50" t="s">
        <v>95</v>
      </c>
      <c r="E8" s="50">
        <v>1</v>
      </c>
      <c r="F8" s="50">
        <f>'2024年6月'!G35</f>
        <v>37700</v>
      </c>
      <c r="G8" s="50">
        <f t="shared" si="0"/>
        <v>37700</v>
      </c>
      <c r="H8" s="50"/>
    </row>
    <row r="9" spans="1:8">
      <c r="A9" s="50" t="s">
        <v>84</v>
      </c>
      <c r="B9" s="50" t="s">
        <v>101</v>
      </c>
      <c r="C9" s="50"/>
      <c r="D9" s="50"/>
      <c r="E9" s="50"/>
      <c r="F9" s="50"/>
      <c r="G9" s="50"/>
      <c r="H9" s="50"/>
    </row>
    <row r="10" spans="1:8">
      <c r="A10" s="51">
        <v>1</v>
      </c>
      <c r="B10" s="52" t="s">
        <v>102</v>
      </c>
      <c r="C10" s="50" t="s">
        <v>103</v>
      </c>
      <c r="D10" s="50" t="s">
        <v>95</v>
      </c>
      <c r="E10" s="50">
        <v>1</v>
      </c>
      <c r="F10" s="50">
        <v>4800</v>
      </c>
      <c r="G10" s="50">
        <f t="shared" si="0"/>
        <v>4800</v>
      </c>
      <c r="H10" s="50"/>
    </row>
    <row r="11" spans="1:8">
      <c r="A11" s="53"/>
      <c r="B11" s="54"/>
      <c r="C11" s="55" t="s">
        <v>104</v>
      </c>
      <c r="D11" s="50" t="s">
        <v>95</v>
      </c>
      <c r="E11" s="50">
        <v>1</v>
      </c>
      <c r="F11" s="50">
        <v>4968</v>
      </c>
      <c r="G11" s="50">
        <f t="shared" si="0"/>
        <v>4968</v>
      </c>
      <c r="H11" s="50"/>
    </row>
    <row r="12" spans="1:8">
      <c r="A12" s="53"/>
      <c r="B12" s="54"/>
      <c r="C12" s="50" t="s">
        <v>105</v>
      </c>
      <c r="D12" s="50" t="s">
        <v>95</v>
      </c>
      <c r="E12" s="50">
        <v>1</v>
      </c>
      <c r="F12" s="50">
        <v>540</v>
      </c>
      <c r="G12" s="50">
        <f t="shared" si="0"/>
        <v>540</v>
      </c>
      <c r="H12" s="50"/>
    </row>
    <row r="13" spans="1:8">
      <c r="A13" s="56"/>
      <c r="B13" s="54"/>
      <c r="C13" s="55" t="s">
        <v>106</v>
      </c>
      <c r="D13" s="50" t="s">
        <v>95</v>
      </c>
      <c r="E13" s="50">
        <v>1</v>
      </c>
      <c r="F13" s="50">
        <v>1512</v>
      </c>
      <c r="G13" s="50">
        <f t="shared" si="0"/>
        <v>1512</v>
      </c>
      <c r="H13" s="50"/>
    </row>
    <row r="14" ht="24" spans="1:8">
      <c r="A14" s="57">
        <v>2</v>
      </c>
      <c r="B14" s="58" t="s">
        <v>107</v>
      </c>
      <c r="C14" s="57" t="s">
        <v>108</v>
      </c>
      <c r="D14" s="57" t="s">
        <v>109</v>
      </c>
      <c r="E14" s="57">
        <v>38</v>
      </c>
      <c r="F14" s="57">
        <v>120</v>
      </c>
      <c r="G14" s="57">
        <f t="shared" si="0"/>
        <v>4560</v>
      </c>
      <c r="H14" s="59" t="s">
        <v>110</v>
      </c>
    </row>
    <row r="15" ht="24" spans="1:8">
      <c r="A15" s="60"/>
      <c r="B15" s="61"/>
      <c r="C15" s="62"/>
      <c r="D15" s="62"/>
      <c r="E15" s="62"/>
      <c r="F15" s="62"/>
      <c r="G15" s="62"/>
      <c r="H15" s="59" t="s">
        <v>111</v>
      </c>
    </row>
    <row r="16" ht="24" spans="1:8">
      <c r="A16" s="60"/>
      <c r="B16" s="61"/>
      <c r="C16" s="62" t="s">
        <v>112</v>
      </c>
      <c r="D16" s="62" t="s">
        <v>113</v>
      </c>
      <c r="E16" s="62">
        <v>5</v>
      </c>
      <c r="F16" s="62">
        <v>330</v>
      </c>
      <c r="G16" s="62">
        <f>E16*F16</f>
        <v>1650</v>
      </c>
      <c r="H16" s="59" t="s">
        <v>114</v>
      </c>
    </row>
    <row r="17" spans="1:8">
      <c r="A17" s="60"/>
      <c r="B17" s="61"/>
      <c r="C17" s="7" t="s">
        <v>108</v>
      </c>
      <c r="D17" s="7" t="s">
        <v>109</v>
      </c>
      <c r="E17" s="7">
        <v>64</v>
      </c>
      <c r="F17" s="7">
        <v>120</v>
      </c>
      <c r="G17" s="7">
        <f>F17*E17</f>
        <v>7680</v>
      </c>
      <c r="H17" s="63" t="s">
        <v>115</v>
      </c>
    </row>
    <row r="18" spans="1:8">
      <c r="A18" s="60"/>
      <c r="B18" s="61"/>
      <c r="C18" s="62" t="s">
        <v>112</v>
      </c>
      <c r="D18" s="62" t="s">
        <v>113</v>
      </c>
      <c r="E18" s="62">
        <f>22-5</f>
        <v>17</v>
      </c>
      <c r="F18" s="62">
        <v>330</v>
      </c>
      <c r="G18" s="7">
        <f>F18*E18</f>
        <v>5610</v>
      </c>
      <c r="H18" s="64"/>
    </row>
    <row r="19" spans="1:8">
      <c r="A19" s="60"/>
      <c r="B19" s="61"/>
      <c r="C19" s="21" t="s">
        <v>116</v>
      </c>
      <c r="D19" s="21"/>
      <c r="E19" s="21"/>
      <c r="F19" s="21">
        <f>SUM(G17:G18)</f>
        <v>13290</v>
      </c>
      <c r="G19" s="25"/>
      <c r="H19" s="65"/>
    </row>
    <row r="20" s="48" customFormat="1" ht="24" spans="1:8">
      <c r="A20" s="53"/>
      <c r="B20" s="66"/>
      <c r="C20" s="67"/>
      <c r="D20" s="52" t="s">
        <v>117</v>
      </c>
      <c r="E20" s="68">
        <v>0.33</v>
      </c>
      <c r="F20" s="69">
        <f>E20*$F$19</f>
        <v>4385.7</v>
      </c>
      <c r="G20" s="70"/>
      <c r="H20" s="71" t="s">
        <v>118</v>
      </c>
    </row>
    <row r="21" s="48" customFormat="1" ht="24" spans="1:8">
      <c r="A21" s="53"/>
      <c r="B21" s="66"/>
      <c r="C21" s="67"/>
      <c r="D21" s="54"/>
      <c r="E21" s="68">
        <v>0.18</v>
      </c>
      <c r="F21" s="69">
        <f t="shared" ref="F21:F32" si="1">E21*$F$19</f>
        <v>2392.2</v>
      </c>
      <c r="G21" s="70"/>
      <c r="H21" s="71" t="s">
        <v>119</v>
      </c>
    </row>
    <row r="22" s="48" customFormat="1" ht="24" spans="1:8">
      <c r="A22" s="53"/>
      <c r="B22" s="66"/>
      <c r="C22" s="67"/>
      <c r="D22" s="54"/>
      <c r="E22" s="68">
        <v>0.08</v>
      </c>
      <c r="F22" s="69">
        <f t="shared" si="1"/>
        <v>1063.2</v>
      </c>
      <c r="G22" s="70"/>
      <c r="H22" s="71" t="s">
        <v>120</v>
      </c>
    </row>
    <row r="23" s="48" customFormat="1" ht="16.5" spans="1:8">
      <c r="A23" s="53"/>
      <c r="B23" s="66"/>
      <c r="C23" s="67"/>
      <c r="D23" s="54"/>
      <c r="E23" s="68">
        <v>0.08</v>
      </c>
      <c r="F23" s="69">
        <f t="shared" si="1"/>
        <v>1063.2</v>
      </c>
      <c r="G23" s="70"/>
      <c r="H23" s="72" t="s">
        <v>121</v>
      </c>
    </row>
    <row r="24" s="48" customFormat="1" ht="24" spans="1:8">
      <c r="A24" s="53"/>
      <c r="B24" s="66"/>
      <c r="C24" s="67"/>
      <c r="D24" s="54"/>
      <c r="E24" s="68">
        <v>0.04</v>
      </c>
      <c r="F24" s="69">
        <f t="shared" si="1"/>
        <v>531.6</v>
      </c>
      <c r="G24" s="70"/>
      <c r="H24" s="71" t="s">
        <v>122</v>
      </c>
    </row>
    <row r="25" s="48" customFormat="1" ht="24" spans="1:8">
      <c r="A25" s="53"/>
      <c r="B25" s="66"/>
      <c r="C25" s="67"/>
      <c r="D25" s="54"/>
      <c r="E25" s="68">
        <v>0.04</v>
      </c>
      <c r="F25" s="69">
        <f t="shared" si="1"/>
        <v>531.6</v>
      </c>
      <c r="G25" s="70"/>
      <c r="H25" s="73" t="s">
        <v>123</v>
      </c>
    </row>
    <row r="26" s="48" customFormat="1" ht="24" spans="1:8">
      <c r="A26" s="53"/>
      <c r="B26" s="66"/>
      <c r="C26" s="67"/>
      <c r="D26" s="54"/>
      <c r="E26" s="68">
        <v>0.06</v>
      </c>
      <c r="F26" s="69">
        <f t="shared" si="1"/>
        <v>797.4</v>
      </c>
      <c r="G26" s="70"/>
      <c r="H26" s="73" t="s">
        <v>124</v>
      </c>
    </row>
    <row r="27" s="48" customFormat="1" ht="16.5" spans="1:8">
      <c r="A27" s="53"/>
      <c r="B27" s="66"/>
      <c r="C27" s="67"/>
      <c r="D27" s="54"/>
      <c r="E27" s="68">
        <v>0.06</v>
      </c>
      <c r="F27" s="69">
        <f t="shared" si="1"/>
        <v>797.4</v>
      </c>
      <c r="G27" s="70"/>
      <c r="H27" s="74" t="s">
        <v>125</v>
      </c>
    </row>
    <row r="28" s="48" customFormat="1" ht="24" spans="1:8">
      <c r="A28" s="53"/>
      <c r="B28" s="66"/>
      <c r="C28" s="67"/>
      <c r="D28" s="54"/>
      <c r="E28" s="68">
        <v>0.03</v>
      </c>
      <c r="F28" s="69">
        <f t="shared" si="1"/>
        <v>398.7</v>
      </c>
      <c r="G28" s="70"/>
      <c r="H28" s="74" t="s">
        <v>126</v>
      </c>
    </row>
    <row r="29" s="48" customFormat="1" ht="16.5" spans="1:8">
      <c r="A29" s="53"/>
      <c r="B29" s="66"/>
      <c r="C29" s="67"/>
      <c r="D29" s="54"/>
      <c r="E29" s="68">
        <v>0.03</v>
      </c>
      <c r="F29" s="69">
        <f t="shared" si="1"/>
        <v>398.7</v>
      </c>
      <c r="G29" s="70"/>
      <c r="H29" s="73" t="s">
        <v>127</v>
      </c>
    </row>
    <row r="30" s="48" customFormat="1" ht="24" spans="1:8">
      <c r="A30" s="53"/>
      <c r="B30" s="66"/>
      <c r="C30" s="67"/>
      <c r="D30" s="54"/>
      <c r="E30" s="68">
        <v>0.02</v>
      </c>
      <c r="F30" s="69">
        <f t="shared" si="1"/>
        <v>265.8</v>
      </c>
      <c r="G30" s="70"/>
      <c r="H30" s="73" t="s">
        <v>128</v>
      </c>
    </row>
    <row r="31" s="48" customFormat="1" ht="16.5" spans="1:8">
      <c r="A31" s="53"/>
      <c r="B31" s="66"/>
      <c r="C31" s="67"/>
      <c r="D31" s="54"/>
      <c r="E31" s="68">
        <v>0.02</v>
      </c>
      <c r="F31" s="69">
        <f t="shared" si="1"/>
        <v>265.8</v>
      </c>
      <c r="G31" s="70"/>
      <c r="H31" s="74" t="s">
        <v>129</v>
      </c>
    </row>
    <row r="32" s="48" customFormat="1" ht="24" spans="1:8">
      <c r="A32" s="56"/>
      <c r="B32" s="75"/>
      <c r="C32" s="67"/>
      <c r="D32" s="76"/>
      <c r="E32" s="68">
        <v>0.03</v>
      </c>
      <c r="F32" s="69">
        <f t="shared" si="1"/>
        <v>398.7</v>
      </c>
      <c r="G32" s="70"/>
      <c r="H32" s="73" t="s">
        <v>130</v>
      </c>
    </row>
    <row r="33" spans="1:8">
      <c r="A33" s="58">
        <v>3</v>
      </c>
      <c r="B33" s="58" t="s">
        <v>131</v>
      </c>
      <c r="C33" s="9" t="s">
        <v>132</v>
      </c>
      <c r="D33" s="7" t="s">
        <v>133</v>
      </c>
      <c r="E33" s="7">
        <v>3.57</v>
      </c>
      <c r="F33" s="2">
        <v>45</v>
      </c>
      <c r="G33" s="9">
        <f>E33*F33</f>
        <v>160.65</v>
      </c>
      <c r="H33" s="9"/>
    </row>
    <row r="34" spans="1:8">
      <c r="A34" s="61"/>
      <c r="B34" s="61"/>
      <c r="C34" s="8" t="s">
        <v>134</v>
      </c>
      <c r="D34" s="7" t="s">
        <v>133</v>
      </c>
      <c r="E34" s="7">
        <v>1.78</v>
      </c>
      <c r="F34" s="7">
        <v>150</v>
      </c>
      <c r="G34" s="9">
        <f t="shared" ref="G34:G39" si="2">E34*F34</f>
        <v>267</v>
      </c>
      <c r="H34" s="9"/>
    </row>
    <row r="35" spans="1:8">
      <c r="A35" s="61"/>
      <c r="B35" s="61"/>
      <c r="C35" s="9" t="s">
        <v>135</v>
      </c>
      <c r="D35" s="7" t="s">
        <v>133</v>
      </c>
      <c r="E35" s="7">
        <v>2.76</v>
      </c>
      <c r="F35" s="7">
        <v>22</v>
      </c>
      <c r="G35" s="9">
        <f t="shared" si="2"/>
        <v>60.72</v>
      </c>
      <c r="H35" s="9"/>
    </row>
    <row r="36" ht="36" customHeight="1" spans="1:8">
      <c r="A36" s="61"/>
      <c r="B36" s="61"/>
      <c r="C36" s="8" t="s">
        <v>136</v>
      </c>
      <c r="D36" s="7" t="s">
        <v>133</v>
      </c>
      <c r="E36" s="7">
        <v>1.78</v>
      </c>
      <c r="F36" s="7">
        <f>(175/0.2-30)*0.1</f>
        <v>84.5</v>
      </c>
      <c r="G36" s="9">
        <f t="shared" si="2"/>
        <v>150.41</v>
      </c>
      <c r="H36" s="9"/>
    </row>
    <row r="37" spans="1:8">
      <c r="A37" s="61"/>
      <c r="B37" s="61"/>
      <c r="C37" s="8" t="s">
        <v>137</v>
      </c>
      <c r="D37" s="7" t="s">
        <v>138</v>
      </c>
      <c r="E37" s="7">
        <v>3</v>
      </c>
      <c r="F37" s="7">
        <v>120</v>
      </c>
      <c r="G37" s="9">
        <f t="shared" si="2"/>
        <v>360</v>
      </c>
      <c r="H37" s="9"/>
    </row>
    <row r="38" spans="1:8">
      <c r="A38" s="61"/>
      <c r="B38" s="61"/>
      <c r="C38" s="57" t="s">
        <v>139</v>
      </c>
      <c r="D38" s="7" t="s">
        <v>138</v>
      </c>
      <c r="E38" s="7">
        <v>2</v>
      </c>
      <c r="F38" s="7">
        <v>120</v>
      </c>
      <c r="G38" s="9">
        <f t="shared" si="2"/>
        <v>240</v>
      </c>
      <c r="H38" s="9"/>
    </row>
    <row r="39" spans="1:8">
      <c r="A39" s="77"/>
      <c r="B39" s="77"/>
      <c r="C39" s="62"/>
      <c r="D39" s="7" t="s">
        <v>140</v>
      </c>
      <c r="E39" s="7">
        <v>2</v>
      </c>
      <c r="F39" s="7">
        <v>200</v>
      </c>
      <c r="G39" s="9">
        <f t="shared" si="2"/>
        <v>400</v>
      </c>
      <c r="H39" s="9"/>
    </row>
    <row r="40" spans="1:8">
      <c r="A40" s="7" t="s">
        <v>141</v>
      </c>
      <c r="B40" s="9" t="s">
        <v>142</v>
      </c>
      <c r="C40" s="9"/>
      <c r="D40" s="7"/>
      <c r="E40" s="9"/>
      <c r="F40" s="9"/>
      <c r="G40" s="9">
        <f>SUM(G3:G39)</f>
        <v>576858.78</v>
      </c>
      <c r="H40" s="9"/>
    </row>
    <row r="41" spans="1:8">
      <c r="A41" s="7" t="s">
        <v>143</v>
      </c>
      <c r="B41" s="9" t="s">
        <v>144</v>
      </c>
      <c r="C41" s="9"/>
      <c r="D41" s="7"/>
      <c r="E41" s="9"/>
      <c r="F41" s="9"/>
      <c r="G41" s="9">
        <v>576800</v>
      </c>
      <c r="H41" s="9"/>
    </row>
    <row r="42" spans="2:5">
      <c r="B42" t="s">
        <v>145</v>
      </c>
      <c r="E42" t="s">
        <v>146</v>
      </c>
    </row>
  </sheetData>
  <mergeCells count="22">
    <mergeCell ref="A1:H1"/>
    <mergeCell ref="B3:C3"/>
    <mergeCell ref="B4:C4"/>
    <mergeCell ref="B5:C5"/>
    <mergeCell ref="B6:C6"/>
    <mergeCell ref="B7:C7"/>
    <mergeCell ref="B8:C8"/>
    <mergeCell ref="B9:C9"/>
    <mergeCell ref="A10:A13"/>
    <mergeCell ref="A14:A32"/>
    <mergeCell ref="A33:A39"/>
    <mergeCell ref="B10:B13"/>
    <mergeCell ref="B14:B32"/>
    <mergeCell ref="B33:B39"/>
    <mergeCell ref="C14:C15"/>
    <mergeCell ref="C38:C39"/>
    <mergeCell ref="D14:D15"/>
    <mergeCell ref="D20:D32"/>
    <mergeCell ref="E14:E15"/>
    <mergeCell ref="F14:F15"/>
    <mergeCell ref="G14:G15"/>
    <mergeCell ref="H17:H18"/>
  </mergeCells>
  <pageMargins left="0.554861111111111" right="0.357638888888889" top="0.409027777777778" bottom="0.40902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4" sqref="B4:B8"/>
    </sheetView>
  </sheetViews>
  <sheetFormatPr defaultColWidth="9" defaultRowHeight="14.25" outlineLevelCol="7"/>
  <cols>
    <col min="1" max="1" width="5.375" style="3" customWidth="1"/>
    <col min="2" max="2" width="12.375" style="3" customWidth="1"/>
    <col min="3" max="3" width="19.25" style="3" customWidth="1"/>
    <col min="4" max="4" width="5.875" style="3" customWidth="1"/>
    <col min="5" max="5" width="8.875" style="3" customWidth="1"/>
    <col min="6" max="6" width="9.5" style="3" customWidth="1"/>
    <col min="7" max="7" width="10.875" style="3" customWidth="1"/>
    <col min="8" max="8" width="16.375" style="3" customWidth="1"/>
    <col min="9" max="9" width="12.625" style="3"/>
    <col min="10" max="16" width="9" style="3"/>
    <col min="17" max="17" width="16.125" style="3" customWidth="1"/>
    <col min="18" max="16384" width="9" style="3"/>
  </cols>
  <sheetData>
    <row r="1" ht="27" customHeight="1" spans="1:8">
      <c r="A1" s="12" t="s">
        <v>147</v>
      </c>
      <c r="B1" s="12"/>
      <c r="C1" s="12"/>
      <c r="D1" s="12"/>
      <c r="E1" s="12"/>
      <c r="F1" s="12"/>
      <c r="G1" s="12"/>
      <c r="H1" s="12"/>
    </row>
    <row r="2" ht="33" customHeight="1" spans="1:8">
      <c r="A2" s="13" t="s">
        <v>1</v>
      </c>
      <c r="B2" s="13" t="s">
        <v>54</v>
      </c>
      <c r="C2" s="13" t="s">
        <v>89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6</v>
      </c>
    </row>
    <row r="3" ht="39" customHeight="1" spans="1:8">
      <c r="A3" s="13">
        <v>1</v>
      </c>
      <c r="B3" s="13" t="s">
        <v>148</v>
      </c>
      <c r="C3" s="13" t="s">
        <v>149</v>
      </c>
      <c r="D3" s="13" t="s">
        <v>95</v>
      </c>
      <c r="E3" s="13">
        <v>1</v>
      </c>
      <c r="F3" s="13">
        <f ca="1">派发单001!G18</f>
        <v>90228.44</v>
      </c>
      <c r="G3" s="13">
        <f ca="1" t="shared" ref="G3:G8" si="0">F3*E3</f>
        <v>90228.44</v>
      </c>
      <c r="H3" s="16" t="s">
        <v>150</v>
      </c>
    </row>
    <row r="4" ht="27" customHeight="1" spans="1:8">
      <c r="A4" s="19">
        <v>2</v>
      </c>
      <c r="B4" s="19" t="s">
        <v>151</v>
      </c>
      <c r="C4" s="13" t="s">
        <v>152</v>
      </c>
      <c r="D4" s="13" t="s">
        <v>153</v>
      </c>
      <c r="E4" s="13">
        <f>29.3+2.7+7.5</f>
        <v>39.5</v>
      </c>
      <c r="F4" s="13">
        <v>25</v>
      </c>
      <c r="G4" s="13">
        <f t="shared" si="0"/>
        <v>987.5</v>
      </c>
      <c r="H4" s="16"/>
    </row>
    <row r="5" ht="27" customHeight="1" spans="1:8">
      <c r="A5" s="24"/>
      <c r="B5" s="24"/>
      <c r="C5" s="13" t="s">
        <v>154</v>
      </c>
      <c r="D5" s="13" t="s">
        <v>153</v>
      </c>
      <c r="E5" s="13">
        <f>22.8+1.5+37.2+0.65+7.6+11.1+2+6.85+9.4+6.4+4.8</f>
        <v>110.3</v>
      </c>
      <c r="F5" s="13">
        <f>(180+240)/5*2.5</f>
        <v>210</v>
      </c>
      <c r="G5" s="13">
        <f t="shared" si="0"/>
        <v>23163</v>
      </c>
      <c r="H5" s="16" t="s">
        <v>155</v>
      </c>
    </row>
    <row r="6" ht="27" customHeight="1" spans="1:8">
      <c r="A6" s="24"/>
      <c r="B6" s="24"/>
      <c r="C6" s="45" t="s">
        <v>156</v>
      </c>
      <c r="D6" s="13" t="s">
        <v>153</v>
      </c>
      <c r="E6" s="13">
        <f>6.9+6.9+6.9+6.9</f>
        <v>27.6</v>
      </c>
      <c r="F6" s="13">
        <f>(180+240)/5*2.4</f>
        <v>201.6</v>
      </c>
      <c r="G6" s="13">
        <f t="shared" si="0"/>
        <v>5564.16</v>
      </c>
      <c r="H6" s="16" t="s">
        <v>155</v>
      </c>
    </row>
    <row r="7" ht="27" customHeight="1" spans="1:8">
      <c r="A7" s="24"/>
      <c r="B7" s="24"/>
      <c r="C7" s="13" t="s">
        <v>157</v>
      </c>
      <c r="D7" s="13" t="s">
        <v>153</v>
      </c>
      <c r="E7" s="13">
        <f>3.8</f>
        <v>3.8</v>
      </c>
      <c r="F7" s="13">
        <v>240</v>
      </c>
      <c r="G7" s="13">
        <f t="shared" si="0"/>
        <v>912</v>
      </c>
      <c r="H7" s="16" t="s">
        <v>158</v>
      </c>
    </row>
    <row r="8" ht="27" customHeight="1" spans="1:8">
      <c r="A8" s="24"/>
      <c r="B8" s="24"/>
      <c r="C8" s="13" t="s">
        <v>159</v>
      </c>
      <c r="D8" s="13" t="s">
        <v>160</v>
      </c>
      <c r="E8" s="13">
        <v>2</v>
      </c>
      <c r="F8" s="13">
        <v>200</v>
      </c>
      <c r="G8" s="13">
        <f t="shared" si="0"/>
        <v>400</v>
      </c>
      <c r="H8" s="16" t="s">
        <v>161</v>
      </c>
    </row>
    <row r="9" ht="27" customHeight="1" spans="1:8">
      <c r="A9" s="19">
        <v>3</v>
      </c>
      <c r="B9" s="19" t="s">
        <v>162</v>
      </c>
      <c r="C9" s="13" t="s">
        <v>163</v>
      </c>
      <c r="D9" s="13" t="s">
        <v>133</v>
      </c>
      <c r="E9" s="13">
        <f>(4.66+8.26+8.26+1.66)*1.5</f>
        <v>34.26</v>
      </c>
      <c r="F9" s="13">
        <v>220</v>
      </c>
      <c r="G9" s="13">
        <f t="shared" ref="G9:G16" si="1">F9*E9</f>
        <v>7537.2</v>
      </c>
      <c r="H9" s="16"/>
    </row>
    <row r="10" ht="27" customHeight="1" spans="1:8">
      <c r="A10" s="24"/>
      <c r="B10" s="24"/>
      <c r="C10" s="13" t="s">
        <v>164</v>
      </c>
      <c r="D10" s="13" t="s">
        <v>133</v>
      </c>
      <c r="E10" s="13">
        <f>4.42*8.02</f>
        <v>35.4484</v>
      </c>
      <c r="F10" s="13">
        <v>175</v>
      </c>
      <c r="G10" s="13">
        <f t="shared" si="1"/>
        <v>6203.47</v>
      </c>
      <c r="H10" s="16"/>
    </row>
    <row r="11" ht="27" customHeight="1" spans="1:8">
      <c r="A11" s="24"/>
      <c r="B11" s="24"/>
      <c r="C11" s="13" t="s">
        <v>165</v>
      </c>
      <c r="D11" s="13" t="s">
        <v>153</v>
      </c>
      <c r="E11" s="13">
        <f>4.9+8.5*2+4.9</f>
        <v>26.8</v>
      </c>
      <c r="F11" s="13">
        <v>10</v>
      </c>
      <c r="G11" s="13">
        <f t="shared" si="1"/>
        <v>268</v>
      </c>
      <c r="H11" s="16"/>
    </row>
    <row r="12" ht="27" customHeight="1" spans="1:8">
      <c r="A12" s="34"/>
      <c r="B12" s="34"/>
      <c r="C12" s="13" t="s">
        <v>166</v>
      </c>
      <c r="D12" s="13" t="s">
        <v>133</v>
      </c>
      <c r="E12" s="13">
        <v>69.44</v>
      </c>
      <c r="F12" s="13">
        <v>22</v>
      </c>
      <c r="G12" s="13">
        <f t="shared" si="1"/>
        <v>1527.68</v>
      </c>
      <c r="H12" s="16"/>
    </row>
    <row r="13" ht="27" customHeight="1" spans="1:8">
      <c r="A13" s="13">
        <v>4</v>
      </c>
      <c r="B13" s="13" t="s">
        <v>167</v>
      </c>
      <c r="C13" s="13" t="s">
        <v>168</v>
      </c>
      <c r="D13" s="13" t="s">
        <v>160</v>
      </c>
      <c r="E13" s="45">
        <v>24</v>
      </c>
      <c r="F13" s="13">
        <v>120</v>
      </c>
      <c r="G13" s="13">
        <f t="shared" si="1"/>
        <v>2880</v>
      </c>
      <c r="H13" s="16"/>
    </row>
    <row r="14" ht="27" customHeight="1" spans="1:8">
      <c r="A14" s="19">
        <v>5</v>
      </c>
      <c r="B14" s="19" t="s">
        <v>169</v>
      </c>
      <c r="C14" s="13" t="s">
        <v>170</v>
      </c>
      <c r="D14" s="13" t="s">
        <v>160</v>
      </c>
      <c r="E14" s="45">
        <v>3</v>
      </c>
      <c r="F14" s="13">
        <v>120</v>
      </c>
      <c r="G14" s="13">
        <f t="shared" si="1"/>
        <v>360</v>
      </c>
      <c r="H14" s="46" t="s">
        <v>171</v>
      </c>
    </row>
    <row r="15" ht="27" customHeight="1" spans="1:8">
      <c r="A15" s="34"/>
      <c r="B15" s="34"/>
      <c r="C15" s="13" t="s">
        <v>172</v>
      </c>
      <c r="D15" s="13" t="s">
        <v>133</v>
      </c>
      <c r="E15" s="45">
        <v>45</v>
      </c>
      <c r="F15" s="13">
        <v>30</v>
      </c>
      <c r="G15" s="13">
        <f t="shared" si="1"/>
        <v>1350</v>
      </c>
      <c r="H15" s="47"/>
    </row>
    <row r="16" ht="27" customHeight="1" spans="1:8">
      <c r="A16" s="13">
        <v>6</v>
      </c>
      <c r="B16" s="13" t="s">
        <v>173</v>
      </c>
      <c r="C16" s="13" t="s">
        <v>174</v>
      </c>
      <c r="D16" s="13" t="s">
        <v>95</v>
      </c>
      <c r="E16" s="13">
        <v>1</v>
      </c>
      <c r="F16" s="13">
        <f>12000*1.03</f>
        <v>12360</v>
      </c>
      <c r="G16" s="13">
        <f t="shared" si="1"/>
        <v>12360</v>
      </c>
      <c r="H16" s="16"/>
    </row>
    <row r="17" ht="21" customHeight="1" spans="1:8">
      <c r="A17" s="13">
        <v>7</v>
      </c>
      <c r="B17" s="13" t="s">
        <v>142</v>
      </c>
      <c r="C17" s="13"/>
      <c r="D17" s="13"/>
      <c r="E17" s="13"/>
      <c r="F17" s="13"/>
      <c r="G17" s="13">
        <f ca="1">SUM(G3:G16)</f>
        <v>153741.45</v>
      </c>
      <c r="H17" s="13"/>
    </row>
    <row r="18" ht="27" customHeight="1" spans="1:8">
      <c r="A18" s="13">
        <v>8</v>
      </c>
      <c r="B18" s="16" t="s">
        <v>175</v>
      </c>
      <c r="C18" s="16"/>
      <c r="D18" s="16"/>
      <c r="E18" s="16"/>
      <c r="F18" s="16"/>
      <c r="G18" s="14">
        <v>153700</v>
      </c>
      <c r="H18" s="16"/>
    </row>
    <row r="19" spans="2:5">
      <c r="B19" s="3" t="s">
        <v>145</v>
      </c>
      <c r="E19" s="3" t="s">
        <v>146</v>
      </c>
    </row>
    <row r="20" spans="2:5">
      <c r="B20" s="3" t="s">
        <v>176</v>
      </c>
      <c r="E20" s="3" t="s">
        <v>176</v>
      </c>
    </row>
  </sheetData>
  <mergeCells count="8">
    <mergeCell ref="A1:H1"/>
    <mergeCell ref="A4:A8"/>
    <mergeCell ref="A9:A12"/>
    <mergeCell ref="A14:A15"/>
    <mergeCell ref="B4:B8"/>
    <mergeCell ref="B9:B12"/>
    <mergeCell ref="B14:B15"/>
    <mergeCell ref="H14:H15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9" sqref="J19"/>
    </sheetView>
  </sheetViews>
  <sheetFormatPr defaultColWidth="9" defaultRowHeight="14.25" outlineLevelCol="7"/>
  <cols>
    <col min="3" max="3" width="22.5" customWidth="1"/>
  </cols>
  <sheetData>
    <row r="1" ht="61" customHeight="1" spans="1:8">
      <c r="A1" s="12" t="s">
        <v>177</v>
      </c>
      <c r="B1" s="12"/>
      <c r="C1" s="12"/>
      <c r="D1" s="12"/>
      <c r="E1" s="12"/>
      <c r="F1" s="12"/>
      <c r="G1" s="12"/>
      <c r="H1" s="12"/>
    </row>
    <row r="2" ht="45" customHeight="1" spans="1:8">
      <c r="A2" s="13" t="s">
        <v>1</v>
      </c>
      <c r="B2" s="13" t="s">
        <v>54</v>
      </c>
      <c r="C2" s="13" t="s">
        <v>89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6</v>
      </c>
    </row>
    <row r="3" spans="1:8">
      <c r="A3" s="19">
        <v>1</v>
      </c>
      <c r="B3" s="19" t="s">
        <v>178</v>
      </c>
      <c r="C3" s="13" t="s">
        <v>179</v>
      </c>
      <c r="D3" s="13" t="s">
        <v>153</v>
      </c>
      <c r="E3" s="13">
        <f>67.5+16.25</f>
        <v>83.75</v>
      </c>
      <c r="F3" s="13">
        <v>25</v>
      </c>
      <c r="G3" s="13">
        <f t="shared" ref="G3:G10" si="0">F3*E3</f>
        <v>2093.75</v>
      </c>
      <c r="H3" s="16"/>
    </row>
    <row r="4" spans="1:8">
      <c r="A4" s="24"/>
      <c r="B4" s="24"/>
      <c r="C4" s="13" t="s">
        <v>180</v>
      </c>
      <c r="D4" s="13" t="s">
        <v>153</v>
      </c>
      <c r="E4" s="13">
        <v>107.4</v>
      </c>
      <c r="F4" s="13">
        <v>25</v>
      </c>
      <c r="G4" s="13">
        <f t="shared" si="0"/>
        <v>2685</v>
      </c>
      <c r="H4" s="16"/>
    </row>
    <row r="5" ht="22.5" spans="1:8">
      <c r="A5" s="24"/>
      <c r="B5" s="24"/>
      <c r="C5" s="13" t="s">
        <v>181</v>
      </c>
      <c r="D5" s="13" t="s">
        <v>153</v>
      </c>
      <c r="E5" s="13">
        <v>141.4</v>
      </c>
      <c r="F5" s="13">
        <v>140</v>
      </c>
      <c r="G5" s="13">
        <f t="shared" si="0"/>
        <v>19796</v>
      </c>
      <c r="H5" s="16" t="s">
        <v>182</v>
      </c>
    </row>
    <row r="6" ht="28.5" spans="1:8">
      <c r="A6" s="24"/>
      <c r="B6" s="24"/>
      <c r="C6" s="13" t="s">
        <v>183</v>
      </c>
      <c r="D6" s="13" t="s">
        <v>153</v>
      </c>
      <c r="E6" s="13">
        <v>107.4</v>
      </c>
      <c r="F6" s="13">
        <v>250</v>
      </c>
      <c r="G6" s="13">
        <f t="shared" si="0"/>
        <v>26850</v>
      </c>
      <c r="H6" s="16" t="s">
        <v>182</v>
      </c>
    </row>
    <row r="7" ht="22.5" spans="1:8">
      <c r="A7" s="24"/>
      <c r="B7" s="24"/>
      <c r="C7" s="13" t="s">
        <v>184</v>
      </c>
      <c r="D7" s="13" t="s">
        <v>109</v>
      </c>
      <c r="E7" s="13">
        <v>27</v>
      </c>
      <c r="F7" s="13">
        <f>450/(1.2*0.6*0.8)*1.2*0.8*1.5</f>
        <v>1125</v>
      </c>
      <c r="G7" s="13">
        <f t="shared" si="0"/>
        <v>30375</v>
      </c>
      <c r="H7" s="16" t="s">
        <v>182</v>
      </c>
    </row>
    <row r="8" ht="22.5" spans="1:8">
      <c r="A8" s="24"/>
      <c r="B8" s="24"/>
      <c r="C8" s="13" t="s">
        <v>185</v>
      </c>
      <c r="D8" s="13" t="s">
        <v>109</v>
      </c>
      <c r="E8" s="13">
        <v>54</v>
      </c>
      <c r="F8" s="13">
        <v>200</v>
      </c>
      <c r="G8" s="13">
        <f t="shared" si="0"/>
        <v>10800</v>
      </c>
      <c r="H8" s="16" t="s">
        <v>182</v>
      </c>
    </row>
    <row r="9" spans="1:8">
      <c r="A9" s="24"/>
      <c r="B9" s="24"/>
      <c r="C9" s="13" t="s">
        <v>186</v>
      </c>
      <c r="D9" s="13" t="s">
        <v>187</v>
      </c>
      <c r="E9" s="13">
        <v>2</v>
      </c>
      <c r="F9" s="13">
        <v>980</v>
      </c>
      <c r="G9" s="13">
        <f t="shared" si="0"/>
        <v>1960</v>
      </c>
      <c r="H9" s="16"/>
    </row>
    <row r="10" spans="1:8">
      <c r="A10" s="24"/>
      <c r="B10" s="24"/>
      <c r="C10" s="13" t="s">
        <v>188</v>
      </c>
      <c r="D10" s="13" t="s">
        <v>160</v>
      </c>
      <c r="E10" s="13">
        <v>5</v>
      </c>
      <c r="F10" s="13">
        <v>120</v>
      </c>
      <c r="G10" s="13">
        <f t="shared" si="0"/>
        <v>600</v>
      </c>
      <c r="H10" s="16"/>
    </row>
    <row r="11" spans="1:8">
      <c r="A11" s="13">
        <v>2</v>
      </c>
      <c r="B11" s="13" t="s">
        <v>142</v>
      </c>
      <c r="C11" s="13"/>
      <c r="D11" s="13"/>
      <c r="E11" s="13"/>
      <c r="F11" s="13"/>
      <c r="G11" s="13">
        <f>SUM(G3:G10)</f>
        <v>95159.75</v>
      </c>
      <c r="H11" s="13"/>
    </row>
    <row r="12" spans="1:8">
      <c r="A12" s="13">
        <v>3</v>
      </c>
      <c r="B12" s="16" t="s">
        <v>175</v>
      </c>
      <c r="C12" s="16"/>
      <c r="D12" s="16"/>
      <c r="E12" s="16"/>
      <c r="F12" s="16"/>
      <c r="G12" s="14">
        <v>95000</v>
      </c>
      <c r="H12" s="16"/>
    </row>
    <row r="13" spans="1:8">
      <c r="A13" s="3"/>
      <c r="B13" s="3" t="s">
        <v>145</v>
      </c>
      <c r="C13" s="3"/>
      <c r="D13" s="3"/>
      <c r="E13" s="3" t="s">
        <v>146</v>
      </c>
      <c r="F13" s="3"/>
      <c r="G13" s="3"/>
      <c r="H13" s="3"/>
    </row>
    <row r="14" spans="1:8">
      <c r="A14" s="3"/>
      <c r="B14" s="3" t="s">
        <v>176</v>
      </c>
      <c r="C14" s="3"/>
      <c r="D14" s="3"/>
      <c r="E14" s="3" t="s">
        <v>176</v>
      </c>
      <c r="F14" s="3"/>
      <c r="G14" s="3"/>
      <c r="H14" s="3"/>
    </row>
  </sheetData>
  <mergeCells count="3">
    <mergeCell ref="A1:H1"/>
    <mergeCell ref="A3:A10"/>
    <mergeCell ref="B3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9" workbookViewId="0">
      <selection activeCell="L35" sqref="L35"/>
    </sheetView>
  </sheetViews>
  <sheetFormatPr defaultColWidth="9" defaultRowHeight="14.25" outlineLevelCol="7"/>
  <cols>
    <col min="2" max="2" width="14" customWidth="1"/>
    <col min="3" max="3" width="18.5" customWidth="1"/>
    <col min="8" max="8" width="12.5" customWidth="1"/>
  </cols>
  <sheetData>
    <row r="1" ht="21" spans="1:8">
      <c r="A1" s="12" t="s">
        <v>189</v>
      </c>
      <c r="B1" s="12"/>
      <c r="C1" s="12"/>
      <c r="D1" s="12"/>
      <c r="E1" s="12"/>
      <c r="F1" s="12"/>
      <c r="G1" s="12"/>
      <c r="H1" s="12"/>
    </row>
    <row r="2" ht="34" customHeight="1" spans="1:8">
      <c r="A2" s="13" t="s">
        <v>1</v>
      </c>
      <c r="B2" s="13" t="s">
        <v>54</v>
      </c>
      <c r="C2" s="13" t="s">
        <v>89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6</v>
      </c>
    </row>
    <row r="3" ht="29" customHeight="1" spans="1:8">
      <c r="A3" s="13">
        <v>1</v>
      </c>
      <c r="B3" s="13" t="s">
        <v>190</v>
      </c>
      <c r="C3" s="13" t="s">
        <v>191</v>
      </c>
      <c r="D3" s="13" t="s">
        <v>109</v>
      </c>
      <c r="E3" s="13">
        <v>1</v>
      </c>
      <c r="F3" s="13">
        <v>19440</v>
      </c>
      <c r="G3" s="13">
        <f t="shared" ref="G3:G13" si="0">F3*E3</f>
        <v>19440</v>
      </c>
      <c r="H3" s="16" t="s">
        <v>192</v>
      </c>
    </row>
    <row r="4" ht="29" customHeight="1" spans="1:8">
      <c r="A4" s="13"/>
      <c r="B4" s="13"/>
      <c r="C4" s="13" t="s">
        <v>193</v>
      </c>
      <c r="D4" s="13" t="s">
        <v>109</v>
      </c>
      <c r="E4" s="13">
        <v>2</v>
      </c>
      <c r="F4" s="13">
        <v>120</v>
      </c>
      <c r="G4" s="13">
        <f t="shared" si="0"/>
        <v>240</v>
      </c>
      <c r="H4" s="16"/>
    </row>
    <row r="5" ht="27" customHeight="1" spans="1:8">
      <c r="A5" s="19">
        <v>2</v>
      </c>
      <c r="B5" s="19" t="s">
        <v>194</v>
      </c>
      <c r="C5" s="34" t="s">
        <v>195</v>
      </c>
      <c r="D5" s="13" t="s">
        <v>109</v>
      </c>
      <c r="E5" s="13">
        <v>3</v>
      </c>
      <c r="F5" s="13">
        <v>120</v>
      </c>
      <c r="G5" s="13">
        <f t="shared" si="0"/>
        <v>360</v>
      </c>
      <c r="H5" s="16"/>
    </row>
    <row r="6" ht="36" customHeight="1" spans="1:8">
      <c r="A6" s="24"/>
      <c r="B6" s="24"/>
      <c r="C6" s="13" t="s">
        <v>196</v>
      </c>
      <c r="D6" s="13" t="s">
        <v>133</v>
      </c>
      <c r="E6" s="13">
        <f>[1]Sheet1!F5</f>
        <v>15.7125</v>
      </c>
      <c r="F6" s="13">
        <v>45</v>
      </c>
      <c r="G6" s="13">
        <f t="shared" si="0"/>
        <v>707.0625</v>
      </c>
      <c r="H6" s="16"/>
    </row>
    <row r="7" ht="36" customHeight="1" spans="1:8">
      <c r="A7" s="24"/>
      <c r="B7" s="24"/>
      <c r="C7" s="13" t="s">
        <v>197</v>
      </c>
      <c r="D7" s="13" t="s">
        <v>133</v>
      </c>
      <c r="E7" s="13">
        <f>[1]Sheet1!F10</f>
        <v>34.99</v>
      </c>
      <c r="F7" s="13">
        <f>90/240*200</f>
        <v>75</v>
      </c>
      <c r="G7" s="39">
        <f t="shared" si="0"/>
        <v>2624.3</v>
      </c>
      <c r="H7" s="16"/>
    </row>
    <row r="8" spans="1:8">
      <c r="A8" s="24"/>
      <c r="B8" s="24"/>
      <c r="C8" s="13" t="s">
        <v>198</v>
      </c>
      <c r="D8" s="13" t="s">
        <v>133</v>
      </c>
      <c r="E8" s="13">
        <f>[1]Sheet1!F6</f>
        <v>6.12</v>
      </c>
      <c r="F8" s="13">
        <f>150/200*80</f>
        <v>60</v>
      </c>
      <c r="G8" s="13">
        <f t="shared" si="0"/>
        <v>367.2</v>
      </c>
      <c r="H8" s="16"/>
    </row>
    <row r="9" ht="28.5" spans="1:8">
      <c r="A9" s="24"/>
      <c r="B9" s="24"/>
      <c r="C9" s="13" t="s">
        <v>199</v>
      </c>
      <c r="D9" s="13" t="s">
        <v>160</v>
      </c>
      <c r="E9" s="13">
        <v>6</v>
      </c>
      <c r="F9" s="13">
        <v>200</v>
      </c>
      <c r="G9" s="13">
        <f t="shared" si="0"/>
        <v>1200</v>
      </c>
      <c r="H9" s="16"/>
    </row>
    <row r="10" ht="28.5" spans="1:8">
      <c r="A10" s="24"/>
      <c r="B10" s="24"/>
      <c r="C10" s="13" t="s">
        <v>200</v>
      </c>
      <c r="D10" s="13" t="s">
        <v>160</v>
      </c>
      <c r="E10" s="13">
        <v>2</v>
      </c>
      <c r="F10" s="13">
        <v>120</v>
      </c>
      <c r="G10" s="13">
        <f t="shared" si="0"/>
        <v>240</v>
      </c>
      <c r="H10" s="16"/>
    </row>
    <row r="11" spans="1:8">
      <c r="A11" s="24"/>
      <c r="B11" s="24"/>
      <c r="C11" s="13" t="s">
        <v>201</v>
      </c>
      <c r="D11" s="13" t="s">
        <v>133</v>
      </c>
      <c r="E11" s="13">
        <v>4.59</v>
      </c>
      <c r="F11" s="13">
        <f>175/200*100</f>
        <v>87.5</v>
      </c>
      <c r="G11" s="13">
        <f t="shared" si="0"/>
        <v>401.625</v>
      </c>
      <c r="H11" s="16"/>
    </row>
    <row r="12" spans="1:8">
      <c r="A12" s="19">
        <v>3</v>
      </c>
      <c r="B12" s="19" t="s">
        <v>202</v>
      </c>
      <c r="C12" s="20" t="s">
        <v>112</v>
      </c>
      <c r="D12" s="21" t="s">
        <v>160</v>
      </c>
      <c r="E12" s="21">
        <v>140.88</v>
      </c>
      <c r="F12" s="21">
        <v>120</v>
      </c>
      <c r="G12" s="22">
        <f t="shared" si="0"/>
        <v>16905.6</v>
      </c>
      <c r="H12" s="23"/>
    </row>
    <row r="13" spans="1:8">
      <c r="A13" s="24"/>
      <c r="B13" s="24"/>
      <c r="C13" s="20" t="s">
        <v>203</v>
      </c>
      <c r="D13" s="21" t="s">
        <v>204</v>
      </c>
      <c r="E13" s="21">
        <v>22</v>
      </c>
      <c r="F13" s="21">
        <v>330</v>
      </c>
      <c r="G13" s="22">
        <f t="shared" si="0"/>
        <v>7260</v>
      </c>
      <c r="H13" s="23"/>
    </row>
    <row r="14" spans="1:8">
      <c r="A14" s="24"/>
      <c r="B14" s="24"/>
      <c r="C14" s="20" t="s">
        <v>116</v>
      </c>
      <c r="D14" s="21"/>
      <c r="E14" s="21"/>
      <c r="F14" s="21">
        <f>SUM(G12:G13)</f>
        <v>24165.6</v>
      </c>
      <c r="G14" s="25"/>
      <c r="H14" s="23"/>
    </row>
    <row r="15" ht="21" spans="1:8">
      <c r="A15" s="24"/>
      <c r="B15" s="24"/>
      <c r="C15" s="21"/>
      <c r="D15" s="26" t="s">
        <v>117</v>
      </c>
      <c r="E15" s="27">
        <v>0.25</v>
      </c>
      <c r="F15" s="28">
        <f t="shared" ref="F15:F26" si="1">E15*$F$14</f>
        <v>6041.4</v>
      </c>
      <c r="G15" s="23"/>
      <c r="H15" s="29" t="s">
        <v>118</v>
      </c>
    </row>
    <row r="16" ht="21" spans="1:8">
      <c r="A16" s="24"/>
      <c r="B16" s="24"/>
      <c r="C16" s="21"/>
      <c r="D16" s="30"/>
      <c r="E16" s="27">
        <v>0.18</v>
      </c>
      <c r="F16" s="28">
        <f t="shared" si="1"/>
        <v>4349.808</v>
      </c>
      <c r="G16" s="23"/>
      <c r="H16" s="29" t="s">
        <v>205</v>
      </c>
    </row>
    <row r="17" ht="21" spans="1:8">
      <c r="A17" s="24"/>
      <c r="B17" s="24"/>
      <c r="C17" s="21"/>
      <c r="D17" s="30"/>
      <c r="E17" s="27">
        <v>0.12</v>
      </c>
      <c r="F17" s="28">
        <f t="shared" si="1"/>
        <v>2899.872</v>
      </c>
      <c r="G17" s="23"/>
      <c r="H17" s="29" t="s">
        <v>120</v>
      </c>
    </row>
    <row r="18" ht="21" spans="1:8">
      <c r="A18" s="24"/>
      <c r="B18" s="24"/>
      <c r="C18" s="21"/>
      <c r="D18" s="30"/>
      <c r="E18" s="27">
        <v>0.12</v>
      </c>
      <c r="F18" s="28">
        <f t="shared" si="1"/>
        <v>2899.872</v>
      </c>
      <c r="G18" s="23"/>
      <c r="H18" s="31" t="s">
        <v>121</v>
      </c>
    </row>
    <row r="19" ht="21" spans="1:8">
      <c r="A19" s="24"/>
      <c r="B19" s="24"/>
      <c r="C19" s="21"/>
      <c r="D19" s="30"/>
      <c r="E19" s="27">
        <v>0.05</v>
      </c>
      <c r="F19" s="28">
        <f t="shared" si="1"/>
        <v>1208.28</v>
      </c>
      <c r="G19" s="23"/>
      <c r="H19" s="29" t="s">
        <v>122</v>
      </c>
    </row>
    <row r="20" ht="21" spans="1:8">
      <c r="A20" s="24"/>
      <c r="B20" s="24"/>
      <c r="C20" s="21"/>
      <c r="D20" s="30"/>
      <c r="E20" s="27">
        <v>0.04</v>
      </c>
      <c r="F20" s="28">
        <f t="shared" si="1"/>
        <v>966.624</v>
      </c>
      <c r="G20" s="23"/>
      <c r="H20" s="32" t="s">
        <v>123</v>
      </c>
    </row>
    <row r="21" ht="21" spans="1:8">
      <c r="A21" s="24"/>
      <c r="B21" s="24"/>
      <c r="C21" s="21"/>
      <c r="D21" s="30"/>
      <c r="E21" s="27">
        <v>0.07</v>
      </c>
      <c r="F21" s="28">
        <f t="shared" si="1"/>
        <v>1691.592</v>
      </c>
      <c r="G21" s="23"/>
      <c r="H21" s="32" t="s">
        <v>124</v>
      </c>
    </row>
    <row r="22" ht="21" spans="1:8">
      <c r="A22" s="24"/>
      <c r="B22" s="24"/>
      <c r="C22" s="21"/>
      <c r="D22" s="30"/>
      <c r="E22" s="27">
        <v>0.07</v>
      </c>
      <c r="F22" s="28">
        <f t="shared" si="1"/>
        <v>1691.592</v>
      </c>
      <c r="G22" s="23"/>
      <c r="H22" s="33" t="s">
        <v>125</v>
      </c>
    </row>
    <row r="23" ht="21" spans="1:8">
      <c r="A23" s="24"/>
      <c r="B23" s="24"/>
      <c r="C23" s="21"/>
      <c r="D23" s="30"/>
      <c r="E23" s="27">
        <v>0.03</v>
      </c>
      <c r="F23" s="28">
        <f t="shared" si="1"/>
        <v>724.968</v>
      </c>
      <c r="G23" s="23"/>
      <c r="H23" s="32" t="s">
        <v>127</v>
      </c>
    </row>
    <row r="24" ht="21" spans="1:8">
      <c r="A24" s="24"/>
      <c r="B24" s="24"/>
      <c r="C24" s="21"/>
      <c r="D24" s="30"/>
      <c r="E24" s="27">
        <v>0.02</v>
      </c>
      <c r="F24" s="28">
        <f t="shared" si="1"/>
        <v>483.312</v>
      </c>
      <c r="G24" s="23"/>
      <c r="H24" s="32" t="s">
        <v>128</v>
      </c>
    </row>
    <row r="25" spans="1:8">
      <c r="A25" s="24"/>
      <c r="B25" s="24"/>
      <c r="C25" s="21"/>
      <c r="D25" s="30"/>
      <c r="E25" s="27">
        <v>0.02</v>
      </c>
      <c r="F25" s="28">
        <f t="shared" si="1"/>
        <v>483.312</v>
      </c>
      <c r="G25" s="23"/>
      <c r="H25" s="33" t="s">
        <v>129</v>
      </c>
    </row>
    <row r="26" ht="21" spans="1:8">
      <c r="A26" s="34"/>
      <c r="B26" s="34"/>
      <c r="C26" s="21"/>
      <c r="D26" s="35"/>
      <c r="E26" s="27">
        <v>0.03</v>
      </c>
      <c r="F26" s="28">
        <f t="shared" si="1"/>
        <v>724.968</v>
      </c>
      <c r="G26" s="23"/>
      <c r="H26" s="32" t="s">
        <v>130</v>
      </c>
    </row>
    <row r="27" spans="1:8">
      <c r="A27" s="19">
        <v>3</v>
      </c>
      <c r="B27" s="19" t="s">
        <v>206</v>
      </c>
      <c r="C27" s="13" t="s">
        <v>207</v>
      </c>
      <c r="D27" s="13" t="s">
        <v>153</v>
      </c>
      <c r="E27" s="13">
        <f>14.3+6+80.85+16.84</f>
        <v>117.99</v>
      </c>
      <c r="F27" s="13">
        <v>25</v>
      </c>
      <c r="G27" s="13">
        <f t="shared" ref="G27:G35" si="2">F27*E27</f>
        <v>2949.75</v>
      </c>
      <c r="H27" s="16"/>
    </row>
    <row r="28" spans="1:8">
      <c r="A28" s="24"/>
      <c r="B28" s="24"/>
      <c r="C28" s="13" t="s">
        <v>208</v>
      </c>
      <c r="D28" s="13" t="s">
        <v>153</v>
      </c>
      <c r="E28" s="13">
        <f>8.26+48.86+60.3+12.4</f>
        <v>129.82</v>
      </c>
      <c r="F28" s="13">
        <v>30</v>
      </c>
      <c r="G28" s="13">
        <f t="shared" si="2"/>
        <v>3894.6</v>
      </c>
      <c r="H28" s="16"/>
    </row>
    <row r="29" ht="28.5" spans="1:8">
      <c r="A29" s="24"/>
      <c r="B29" s="24"/>
      <c r="C29" s="44" t="s">
        <v>209</v>
      </c>
      <c r="D29" s="13" t="s">
        <v>153</v>
      </c>
      <c r="E29" s="13">
        <f>34.15+15.27</f>
        <v>49.42</v>
      </c>
      <c r="F29" s="13">
        <v>130</v>
      </c>
      <c r="G29" s="13">
        <f t="shared" si="2"/>
        <v>6424.6</v>
      </c>
      <c r="H29" s="16" t="s">
        <v>182</v>
      </c>
    </row>
    <row r="30" spans="1:8">
      <c r="A30" s="24"/>
      <c r="B30" s="24"/>
      <c r="C30" s="44" t="s">
        <v>210</v>
      </c>
      <c r="D30" s="13" t="s">
        <v>187</v>
      </c>
      <c r="E30" s="13">
        <v>1</v>
      </c>
      <c r="F30" s="13">
        <v>1200</v>
      </c>
      <c r="G30" s="13">
        <f t="shared" si="2"/>
        <v>1200</v>
      </c>
      <c r="H30" s="16" t="s">
        <v>182</v>
      </c>
    </row>
    <row r="31" spans="1:8">
      <c r="A31" s="24"/>
      <c r="B31" s="24"/>
      <c r="C31" s="13" t="s">
        <v>211</v>
      </c>
      <c r="D31" s="13" t="s">
        <v>160</v>
      </c>
      <c r="E31" s="13">
        <f>E448+2</f>
        <v>2</v>
      </c>
      <c r="F31" s="13">
        <v>120</v>
      </c>
      <c r="G31" s="13">
        <f t="shared" si="2"/>
        <v>240</v>
      </c>
      <c r="H31" s="16"/>
    </row>
    <row r="32" spans="1:8">
      <c r="A32" s="34"/>
      <c r="B32" s="34"/>
      <c r="C32" s="13" t="s">
        <v>159</v>
      </c>
      <c r="D32" s="13" t="s">
        <v>160</v>
      </c>
      <c r="E32" s="13">
        <v>2</v>
      </c>
      <c r="F32" s="13">
        <v>200</v>
      </c>
      <c r="G32" s="13">
        <f t="shared" si="2"/>
        <v>400</v>
      </c>
      <c r="H32" s="16"/>
    </row>
    <row r="33" spans="1:8">
      <c r="A33" s="19">
        <v>4</v>
      </c>
      <c r="B33" s="19" t="s">
        <v>212</v>
      </c>
      <c r="C33" s="13" t="s">
        <v>213</v>
      </c>
      <c r="D33" s="13" t="s">
        <v>133</v>
      </c>
      <c r="E33" s="13">
        <f>[1]Sheet1!D25</f>
        <v>104.74</v>
      </c>
      <c r="F33" s="13">
        <f>240/0.24*0.2</f>
        <v>200</v>
      </c>
      <c r="G33" s="13">
        <f t="shared" si="2"/>
        <v>20948</v>
      </c>
      <c r="H33" s="16"/>
    </row>
    <row r="34" spans="1:8">
      <c r="A34" s="24"/>
      <c r="B34" s="24"/>
      <c r="C34" s="13" t="s">
        <v>214</v>
      </c>
      <c r="D34" s="13" t="s">
        <v>133</v>
      </c>
      <c r="E34" s="13">
        <f>[1]Sheet1!E25</f>
        <v>205.28</v>
      </c>
      <c r="F34" s="13">
        <v>22</v>
      </c>
      <c r="G34" s="13">
        <f t="shared" si="2"/>
        <v>4516.16</v>
      </c>
      <c r="H34" s="16"/>
    </row>
    <row r="35" ht="28.5" spans="1:8">
      <c r="A35" s="24"/>
      <c r="B35" s="24"/>
      <c r="C35" s="13" t="s">
        <v>215</v>
      </c>
      <c r="D35" s="13" t="s">
        <v>133</v>
      </c>
      <c r="E35" s="13">
        <v>65</v>
      </c>
      <c r="F35" s="13">
        <f>175/200*60</f>
        <v>52.5</v>
      </c>
      <c r="G35" s="13">
        <f t="shared" si="2"/>
        <v>3412.5</v>
      </c>
      <c r="H35" s="16" t="s">
        <v>216</v>
      </c>
    </row>
    <row r="36" spans="1:8">
      <c r="A36" s="13">
        <v>5</v>
      </c>
      <c r="B36" s="13" t="s">
        <v>142</v>
      </c>
      <c r="C36" s="13"/>
      <c r="D36" s="13"/>
      <c r="E36" s="13"/>
      <c r="F36" s="13"/>
      <c r="G36" s="37">
        <f>SUM(G3:G35)</f>
        <v>93731.4</v>
      </c>
      <c r="H36" s="13"/>
    </row>
    <row r="37" spans="1:8">
      <c r="A37" s="13">
        <v>6</v>
      </c>
      <c r="B37" s="16" t="s">
        <v>175</v>
      </c>
      <c r="C37" s="16"/>
      <c r="D37" s="16"/>
      <c r="E37" s="16"/>
      <c r="F37" s="16"/>
      <c r="G37" s="14">
        <v>93700</v>
      </c>
      <c r="H37" s="16"/>
    </row>
    <row r="38" spans="1:8">
      <c r="A38" s="3"/>
      <c r="B38" s="3" t="s">
        <v>145</v>
      </c>
      <c r="C38" s="3"/>
      <c r="D38" s="3"/>
      <c r="E38" s="3" t="s">
        <v>146</v>
      </c>
      <c r="F38" s="3"/>
      <c r="G38" s="3"/>
      <c r="H38" s="3"/>
    </row>
    <row r="39" spans="1:8">
      <c r="A39" s="3"/>
      <c r="B39" s="3" t="s">
        <v>176</v>
      </c>
      <c r="C39" s="3"/>
      <c r="D39" s="3"/>
      <c r="E39" s="3" t="s">
        <v>176</v>
      </c>
      <c r="F39" s="3"/>
      <c r="G39" s="3"/>
      <c r="H39" s="3"/>
    </row>
  </sheetData>
  <mergeCells count="12">
    <mergeCell ref="A1:H1"/>
    <mergeCell ref="A3:A4"/>
    <mergeCell ref="A5:A11"/>
    <mergeCell ref="A12:A26"/>
    <mergeCell ref="A27:A32"/>
    <mergeCell ref="A33:A35"/>
    <mergeCell ref="B3:B4"/>
    <mergeCell ref="B5:B11"/>
    <mergeCell ref="B12:B26"/>
    <mergeCell ref="B27:B32"/>
    <mergeCell ref="B33:B35"/>
    <mergeCell ref="D15:D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13" workbookViewId="0">
      <selection activeCell="C12" sqref="$A12:$XFD12"/>
    </sheetView>
  </sheetViews>
  <sheetFormatPr defaultColWidth="9" defaultRowHeight="14.25" outlineLevelCol="7"/>
  <cols>
    <col min="3" max="3" width="20.75" customWidth="1"/>
  </cols>
  <sheetData>
    <row r="1" ht="57" customHeight="1" spans="1:8">
      <c r="A1" s="12" t="s">
        <v>217</v>
      </c>
      <c r="B1" s="12"/>
      <c r="C1" s="12"/>
      <c r="D1" s="12"/>
      <c r="E1" s="12"/>
      <c r="F1" s="12"/>
      <c r="G1" s="12"/>
      <c r="H1" s="12"/>
    </row>
    <row r="2" spans="1:8">
      <c r="A2" s="13" t="s">
        <v>1</v>
      </c>
      <c r="B2" s="13" t="s">
        <v>54</v>
      </c>
      <c r="C2" s="13" t="s">
        <v>89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6</v>
      </c>
    </row>
    <row r="3" spans="1:8">
      <c r="A3" s="13">
        <v>1</v>
      </c>
      <c r="B3" s="13" t="s">
        <v>218</v>
      </c>
      <c r="C3" s="13" t="s">
        <v>219</v>
      </c>
      <c r="D3" s="13"/>
      <c r="E3" s="13"/>
      <c r="F3" s="13"/>
      <c r="G3" s="13"/>
      <c r="H3" s="16"/>
    </row>
    <row r="4" ht="22.5" spans="1:8">
      <c r="A4" s="13"/>
      <c r="B4" s="13"/>
      <c r="C4" s="13" t="s">
        <v>201</v>
      </c>
      <c r="D4" s="13" t="s">
        <v>133</v>
      </c>
      <c r="E4" s="13">
        <v>3.37</v>
      </c>
      <c r="F4" s="13">
        <f>175/2</f>
        <v>87.5</v>
      </c>
      <c r="G4" s="37">
        <f t="shared" ref="G4:G18" si="0">F4*E4</f>
        <v>294.88</v>
      </c>
      <c r="H4" s="16" t="s">
        <v>220</v>
      </c>
    </row>
    <row r="5" spans="1:8">
      <c r="A5" s="13"/>
      <c r="B5" s="13"/>
      <c r="C5" s="13" t="s">
        <v>221</v>
      </c>
      <c r="D5" s="13" t="s">
        <v>133</v>
      </c>
      <c r="E5" s="13">
        <v>9.3</v>
      </c>
      <c r="F5" s="13">
        <v>120</v>
      </c>
      <c r="G5" s="13">
        <f t="shared" si="0"/>
        <v>1116</v>
      </c>
      <c r="H5" s="16"/>
    </row>
    <row r="6" spans="1:8">
      <c r="A6" s="13"/>
      <c r="B6" s="13"/>
      <c r="C6" s="13" t="s">
        <v>222</v>
      </c>
      <c r="D6" s="13" t="s">
        <v>133</v>
      </c>
      <c r="E6" s="13">
        <v>9.44</v>
      </c>
      <c r="F6" s="13">
        <v>22</v>
      </c>
      <c r="G6" s="13">
        <f t="shared" si="0"/>
        <v>207.68</v>
      </c>
      <c r="H6" s="16"/>
    </row>
    <row r="7" spans="1:8">
      <c r="A7" s="13"/>
      <c r="B7" s="13"/>
      <c r="C7" s="13" t="s">
        <v>223</v>
      </c>
      <c r="D7" s="13" t="s">
        <v>160</v>
      </c>
      <c r="E7" s="13">
        <v>4</v>
      </c>
      <c r="F7" s="13">
        <v>120</v>
      </c>
      <c r="G7" s="13">
        <f t="shared" si="0"/>
        <v>480</v>
      </c>
      <c r="H7" s="16"/>
    </row>
    <row r="8" spans="1:8">
      <c r="A8" s="13"/>
      <c r="B8" s="13"/>
      <c r="C8" s="13" t="s">
        <v>159</v>
      </c>
      <c r="D8" s="13" t="s">
        <v>160</v>
      </c>
      <c r="E8" s="13">
        <v>1</v>
      </c>
      <c r="F8" s="13">
        <v>200</v>
      </c>
      <c r="G8" s="13">
        <f t="shared" si="0"/>
        <v>200</v>
      </c>
      <c r="H8" s="16"/>
    </row>
    <row r="9" ht="22.5" spans="1:8">
      <c r="A9" s="13"/>
      <c r="B9" s="13"/>
      <c r="C9" s="13" t="s">
        <v>224</v>
      </c>
      <c r="D9" s="13" t="s">
        <v>225</v>
      </c>
      <c r="E9" s="13">
        <v>29</v>
      </c>
      <c r="F9" s="13">
        <v>40</v>
      </c>
      <c r="G9" s="13">
        <f t="shared" si="0"/>
        <v>1160</v>
      </c>
      <c r="H9" s="16" t="s">
        <v>226</v>
      </c>
    </row>
    <row r="10" ht="28.5" spans="1:8">
      <c r="A10" s="13"/>
      <c r="B10" s="13"/>
      <c r="C10" s="13" t="s">
        <v>227</v>
      </c>
      <c r="D10" s="13" t="s">
        <v>95</v>
      </c>
      <c r="E10" s="13">
        <v>1</v>
      </c>
      <c r="F10" s="13">
        <v>3000</v>
      </c>
      <c r="G10" s="13">
        <f t="shared" si="0"/>
        <v>3000</v>
      </c>
      <c r="H10" s="16" t="s">
        <v>226</v>
      </c>
    </row>
    <row r="11" ht="28.5" spans="1:8">
      <c r="A11" s="19">
        <v>2</v>
      </c>
      <c r="B11" s="19" t="s">
        <v>228</v>
      </c>
      <c r="C11" s="34" t="s">
        <v>229</v>
      </c>
      <c r="D11" s="13"/>
      <c r="E11" s="13"/>
      <c r="F11" s="13"/>
      <c r="G11" s="13">
        <f t="shared" si="0"/>
        <v>0</v>
      </c>
      <c r="H11" s="16"/>
    </row>
    <row r="12" spans="1:8">
      <c r="A12" s="24"/>
      <c r="B12" s="24"/>
      <c r="C12" s="34" t="s">
        <v>230</v>
      </c>
      <c r="D12" s="13" t="s">
        <v>133</v>
      </c>
      <c r="E12" s="13">
        <f>1.1*2.3</f>
        <v>2.53</v>
      </c>
      <c r="F12" s="13">
        <f>240/0.24*0.25</f>
        <v>250</v>
      </c>
      <c r="G12" s="13">
        <f t="shared" si="0"/>
        <v>632.5</v>
      </c>
      <c r="H12" s="16"/>
    </row>
    <row r="13" spans="1:8">
      <c r="A13" s="24"/>
      <c r="B13" s="24"/>
      <c r="C13" s="34" t="s">
        <v>231</v>
      </c>
      <c r="D13" s="13" t="s">
        <v>133</v>
      </c>
      <c r="E13" s="13">
        <v>2.53</v>
      </c>
      <c r="F13" s="13">
        <v>22</v>
      </c>
      <c r="G13" s="13">
        <f t="shared" si="0"/>
        <v>55.66</v>
      </c>
      <c r="H13" s="16"/>
    </row>
    <row r="14" spans="1:8">
      <c r="A14" s="24"/>
      <c r="B14" s="24"/>
      <c r="C14" s="34" t="s">
        <v>232</v>
      </c>
      <c r="D14" s="13"/>
      <c r="E14" s="13"/>
      <c r="F14" s="13"/>
      <c r="G14" s="13">
        <f t="shared" si="0"/>
        <v>0</v>
      </c>
      <c r="H14" s="16"/>
    </row>
    <row r="15" spans="1:8">
      <c r="A15" s="24"/>
      <c r="B15" s="24"/>
      <c r="C15" s="34" t="s">
        <v>108</v>
      </c>
      <c r="D15" s="13" t="s">
        <v>160</v>
      </c>
      <c r="E15" s="13">
        <v>1</v>
      </c>
      <c r="F15" s="13">
        <v>120</v>
      </c>
      <c r="G15" s="13">
        <f t="shared" si="0"/>
        <v>120</v>
      </c>
      <c r="H15" s="16"/>
    </row>
    <row r="16" spans="1:8">
      <c r="A16" s="34"/>
      <c r="B16" s="34"/>
      <c r="C16" s="34" t="s">
        <v>159</v>
      </c>
      <c r="D16" s="13" t="s">
        <v>160</v>
      </c>
      <c r="E16" s="13">
        <v>1</v>
      </c>
      <c r="F16" s="13">
        <v>200</v>
      </c>
      <c r="G16" s="13">
        <f t="shared" si="0"/>
        <v>200</v>
      </c>
      <c r="H16" s="16"/>
    </row>
    <row r="17" spans="1:8">
      <c r="A17" s="13">
        <v>3</v>
      </c>
      <c r="B17" s="13" t="s">
        <v>233</v>
      </c>
      <c r="C17" s="42" t="s">
        <v>234</v>
      </c>
      <c r="D17" s="13" t="s">
        <v>153</v>
      </c>
      <c r="E17" s="43">
        <v>100.7</v>
      </c>
      <c r="F17" s="43">
        <v>25</v>
      </c>
      <c r="G17" s="13">
        <f t="shared" si="0"/>
        <v>2517.5</v>
      </c>
      <c r="H17" s="16"/>
    </row>
    <row r="18" spans="1:8">
      <c r="A18" s="13"/>
      <c r="B18" s="13"/>
      <c r="C18" s="42" t="s">
        <v>235</v>
      </c>
      <c r="D18" s="13" t="s">
        <v>160</v>
      </c>
      <c r="E18" s="43">
        <v>3</v>
      </c>
      <c r="F18" s="43">
        <v>200</v>
      </c>
      <c r="G18" s="13">
        <f t="shared" si="0"/>
        <v>600</v>
      </c>
      <c r="H18" s="16"/>
    </row>
    <row r="19" spans="1:8">
      <c r="A19" s="19">
        <v>4</v>
      </c>
      <c r="B19" s="19" t="s">
        <v>236</v>
      </c>
      <c r="C19" s="13" t="s">
        <v>237</v>
      </c>
      <c r="D19" s="13"/>
      <c r="E19" s="13"/>
      <c r="F19" s="13"/>
      <c r="G19" s="13"/>
      <c r="H19" s="16"/>
    </row>
    <row r="20" spans="1:8">
      <c r="A20" s="24"/>
      <c r="B20" s="24"/>
      <c r="C20" s="13" t="s">
        <v>238</v>
      </c>
      <c r="D20" s="13" t="s">
        <v>153</v>
      </c>
      <c r="E20" s="13">
        <v>25</v>
      </c>
      <c r="F20" s="13">
        <v>30</v>
      </c>
      <c r="G20" s="13">
        <f t="shared" ref="G20:G28" si="1">F20*E20</f>
        <v>750</v>
      </c>
      <c r="H20" s="16"/>
    </row>
    <row r="21" spans="1:8">
      <c r="A21" s="24"/>
      <c r="B21" s="24"/>
      <c r="C21" s="13" t="s">
        <v>239</v>
      </c>
      <c r="D21" s="13" t="s">
        <v>109</v>
      </c>
      <c r="E21" s="13">
        <v>1</v>
      </c>
      <c r="F21" s="13">
        <v>50</v>
      </c>
      <c r="G21" s="13">
        <f t="shared" si="1"/>
        <v>50</v>
      </c>
      <c r="H21" s="16"/>
    </row>
    <row r="22" ht="22.5" spans="1:8">
      <c r="A22" s="24"/>
      <c r="B22" s="24"/>
      <c r="C22" s="13" t="s">
        <v>240</v>
      </c>
      <c r="D22" s="13" t="s">
        <v>109</v>
      </c>
      <c r="E22" s="13">
        <v>3</v>
      </c>
      <c r="F22" s="13">
        <v>1000</v>
      </c>
      <c r="G22" s="13">
        <f t="shared" si="1"/>
        <v>3000</v>
      </c>
      <c r="H22" s="16" t="s">
        <v>226</v>
      </c>
    </row>
    <row r="23" ht="22.5" spans="1:8">
      <c r="A23" s="24"/>
      <c r="B23" s="24"/>
      <c r="C23" s="13" t="s">
        <v>241</v>
      </c>
      <c r="D23" s="13" t="s">
        <v>109</v>
      </c>
      <c r="E23" s="13">
        <v>2</v>
      </c>
      <c r="F23" s="13">
        <v>1200</v>
      </c>
      <c r="G23" s="13">
        <f t="shared" si="1"/>
        <v>2400</v>
      </c>
      <c r="H23" s="16" t="s">
        <v>226</v>
      </c>
    </row>
    <row r="24" ht="22.5" spans="1:8">
      <c r="A24" s="24"/>
      <c r="B24" s="24"/>
      <c r="C24" s="13" t="s">
        <v>242</v>
      </c>
      <c r="D24" s="13" t="s">
        <v>153</v>
      </c>
      <c r="E24" s="13">
        <v>0.9</v>
      </c>
      <c r="F24" s="37">
        <f>352/1.09*1.03</f>
        <v>332.62</v>
      </c>
      <c r="G24" s="37">
        <f t="shared" si="1"/>
        <v>299.36</v>
      </c>
      <c r="H24" s="16" t="s">
        <v>243</v>
      </c>
    </row>
    <row r="25" ht="22.5" spans="1:8">
      <c r="A25" s="24"/>
      <c r="B25" s="24"/>
      <c r="C25" s="13" t="s">
        <v>244</v>
      </c>
      <c r="D25" s="13" t="s">
        <v>153</v>
      </c>
      <c r="E25" s="13">
        <v>5.8</v>
      </c>
      <c r="F25" s="37">
        <f>F24/1.1*1.4</f>
        <v>423.33</v>
      </c>
      <c r="G25" s="37">
        <f t="shared" si="1"/>
        <v>2455.31</v>
      </c>
      <c r="H25" s="16" t="s">
        <v>243</v>
      </c>
    </row>
    <row r="26" ht="22.5" spans="1:8">
      <c r="A26" s="34"/>
      <c r="B26" s="34"/>
      <c r="C26" s="13" t="s">
        <v>245</v>
      </c>
      <c r="D26" s="13" t="s">
        <v>95</v>
      </c>
      <c r="E26" s="6">
        <v>1</v>
      </c>
      <c r="F26" s="13">
        <v>3500</v>
      </c>
      <c r="G26" s="13">
        <f t="shared" si="1"/>
        <v>3500</v>
      </c>
      <c r="H26" s="16" t="s">
        <v>226</v>
      </c>
    </row>
    <row r="27" ht="22.5" spans="1:8">
      <c r="A27" s="19">
        <v>5</v>
      </c>
      <c r="B27" s="19" t="s">
        <v>246</v>
      </c>
      <c r="C27" s="13" t="s">
        <v>247</v>
      </c>
      <c r="D27" s="13" t="s">
        <v>248</v>
      </c>
      <c r="E27" s="13">
        <v>1</v>
      </c>
      <c r="F27" s="13">
        <v>8640</v>
      </c>
      <c r="G27" s="13">
        <f t="shared" si="1"/>
        <v>8640</v>
      </c>
      <c r="H27" s="16" t="s">
        <v>226</v>
      </c>
    </row>
    <row r="28" ht="22.5" spans="1:8">
      <c r="A28" s="24"/>
      <c r="B28" s="24"/>
      <c r="C28" s="13" t="s">
        <v>249</v>
      </c>
      <c r="D28" s="13" t="s">
        <v>95</v>
      </c>
      <c r="E28" s="13">
        <v>1</v>
      </c>
      <c r="F28" s="13">
        <v>5400</v>
      </c>
      <c r="G28" s="13">
        <f t="shared" si="1"/>
        <v>5400</v>
      </c>
      <c r="H28" s="16" t="s">
        <v>226</v>
      </c>
    </row>
    <row r="29" spans="1:8">
      <c r="A29" s="24"/>
      <c r="B29" s="24"/>
      <c r="C29" s="13"/>
      <c r="D29" s="13"/>
      <c r="E29" s="13"/>
      <c r="F29" s="13"/>
      <c r="G29" s="14">
        <f>SUM(G3:G28)</f>
        <v>37078.89</v>
      </c>
      <c r="H29" s="16"/>
    </row>
    <row r="30" spans="1:8">
      <c r="A30" s="13">
        <v>6</v>
      </c>
      <c r="B30" s="40" t="s">
        <v>175</v>
      </c>
      <c r="C30" s="16"/>
      <c r="D30" s="16"/>
      <c r="E30" s="16"/>
      <c r="F30" s="16"/>
      <c r="G30" s="41">
        <v>37000</v>
      </c>
      <c r="H30" s="16"/>
    </row>
    <row r="31" spans="1:8">
      <c r="A31" s="3"/>
      <c r="B31" s="3" t="s">
        <v>145</v>
      </c>
      <c r="C31" s="3"/>
      <c r="D31" s="3"/>
      <c r="E31" s="3" t="s">
        <v>146</v>
      </c>
      <c r="F31" s="3"/>
      <c r="G31" s="1"/>
      <c r="H31" s="3"/>
    </row>
    <row r="32" spans="1:8">
      <c r="A32" s="3"/>
      <c r="B32" s="3" t="s">
        <v>176</v>
      </c>
      <c r="C32" s="3"/>
      <c r="D32" s="3"/>
      <c r="E32" s="3" t="s">
        <v>176</v>
      </c>
      <c r="F32" s="3"/>
      <c r="G32" s="1"/>
      <c r="H32" s="3"/>
    </row>
  </sheetData>
  <mergeCells count="11">
    <mergeCell ref="A1:H1"/>
    <mergeCell ref="A3:A10"/>
    <mergeCell ref="A11:A16"/>
    <mergeCell ref="A17:A18"/>
    <mergeCell ref="A19:A26"/>
    <mergeCell ref="A27:A28"/>
    <mergeCell ref="B3:B10"/>
    <mergeCell ref="B11:B16"/>
    <mergeCell ref="B17:B18"/>
    <mergeCell ref="B19:B26"/>
    <mergeCell ref="B27:B2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16" workbookViewId="0">
      <selection activeCell="K37" sqref="K37"/>
    </sheetView>
  </sheetViews>
  <sheetFormatPr defaultColWidth="9" defaultRowHeight="14.25" outlineLevelCol="7"/>
  <cols>
    <col min="3" max="3" width="21" customWidth="1"/>
    <col min="8" max="8" width="15.625" customWidth="1"/>
  </cols>
  <sheetData>
    <row r="1" ht="54" customHeight="1" spans="1:8">
      <c r="A1" s="12" t="s">
        <v>250</v>
      </c>
      <c r="B1" s="12"/>
      <c r="C1" s="12"/>
      <c r="D1" s="12"/>
      <c r="E1" s="12"/>
      <c r="F1" s="12"/>
      <c r="G1" s="12"/>
      <c r="H1" s="12"/>
    </row>
    <row r="2" spans="1:8">
      <c r="A2" s="13" t="s">
        <v>1</v>
      </c>
      <c r="B2" s="13" t="s">
        <v>54</v>
      </c>
      <c r="C2" s="13" t="s">
        <v>89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6</v>
      </c>
    </row>
    <row r="3" ht="28.5" spans="1:8">
      <c r="A3" s="13">
        <v>1</v>
      </c>
      <c r="B3" s="13" t="s">
        <v>251</v>
      </c>
      <c r="C3" s="15" t="s">
        <v>252</v>
      </c>
      <c r="D3" s="13" t="s">
        <v>153</v>
      </c>
      <c r="E3" s="13">
        <f>45+83.4</f>
        <v>128.4</v>
      </c>
      <c r="F3" s="13">
        <v>25</v>
      </c>
      <c r="G3" s="13">
        <f t="shared" ref="G3:G13" si="0">F3*E3</f>
        <v>3210</v>
      </c>
      <c r="H3" s="14"/>
    </row>
    <row r="4" ht="28.5" spans="1:8">
      <c r="A4" s="13"/>
      <c r="B4" s="13"/>
      <c r="C4" s="15" t="s">
        <v>253</v>
      </c>
      <c r="D4" s="13" t="s">
        <v>153</v>
      </c>
      <c r="E4" s="13">
        <v>38.8</v>
      </c>
      <c r="F4" s="13">
        <v>30</v>
      </c>
      <c r="G4" s="13">
        <f t="shared" si="0"/>
        <v>1164</v>
      </c>
      <c r="H4" s="14"/>
    </row>
    <row r="5" ht="28.5" spans="1:8">
      <c r="A5" s="13"/>
      <c r="B5" s="13"/>
      <c r="C5" s="15" t="s">
        <v>254</v>
      </c>
      <c r="D5" s="13" t="s">
        <v>153</v>
      </c>
      <c r="E5" s="13">
        <v>52.4</v>
      </c>
      <c r="F5" s="13">
        <v>130</v>
      </c>
      <c r="G5" s="13">
        <f t="shared" si="0"/>
        <v>6812</v>
      </c>
      <c r="H5" s="38" t="s">
        <v>182</v>
      </c>
    </row>
    <row r="6" ht="28.5" spans="1:8">
      <c r="A6" s="19">
        <v>2</v>
      </c>
      <c r="B6" s="19" t="s">
        <v>255</v>
      </c>
      <c r="C6" s="13" t="s">
        <v>256</v>
      </c>
      <c r="D6" s="13" t="s">
        <v>109</v>
      </c>
      <c r="E6" s="13">
        <v>1</v>
      </c>
      <c r="F6" s="13">
        <v>2800</v>
      </c>
      <c r="G6" s="13">
        <f t="shared" si="0"/>
        <v>2800</v>
      </c>
      <c r="H6" s="38" t="s">
        <v>182</v>
      </c>
    </row>
    <row r="7" spans="1:8">
      <c r="A7" s="24"/>
      <c r="B7" s="24"/>
      <c r="C7" s="13" t="s">
        <v>257</v>
      </c>
      <c r="D7" s="13" t="s">
        <v>133</v>
      </c>
      <c r="E7" s="13">
        <f>[2]Sheet1!E29</f>
        <v>406.19</v>
      </c>
      <c r="F7" s="13">
        <v>5</v>
      </c>
      <c r="G7" s="13">
        <f t="shared" si="0"/>
        <v>2030.95</v>
      </c>
      <c r="H7" s="38" t="s">
        <v>182</v>
      </c>
    </row>
    <row r="8" spans="1:8">
      <c r="A8" s="24"/>
      <c r="B8" s="24"/>
      <c r="C8" s="13" t="s">
        <v>258</v>
      </c>
      <c r="D8" s="13" t="s">
        <v>133</v>
      </c>
      <c r="E8" s="13">
        <v>59.56</v>
      </c>
      <c r="F8" s="13">
        <v>40</v>
      </c>
      <c r="G8" s="13">
        <f t="shared" si="0"/>
        <v>2382.4</v>
      </c>
      <c r="H8" s="38" t="s">
        <v>182</v>
      </c>
    </row>
    <row r="9" ht="45" spans="1:8">
      <c r="A9" s="19">
        <v>3</v>
      </c>
      <c r="B9" s="19" t="s">
        <v>259</v>
      </c>
      <c r="C9" s="13" t="s">
        <v>260</v>
      </c>
      <c r="D9" s="13" t="s">
        <v>159</v>
      </c>
      <c r="E9" s="13">
        <v>6</v>
      </c>
      <c r="F9" s="13">
        <v>200</v>
      </c>
      <c r="G9" s="13">
        <f t="shared" si="0"/>
        <v>1200</v>
      </c>
      <c r="H9" s="38" t="s">
        <v>261</v>
      </c>
    </row>
    <row r="10" spans="1:8">
      <c r="A10" s="24"/>
      <c r="B10" s="24"/>
      <c r="C10" s="19" t="s">
        <v>262</v>
      </c>
      <c r="D10" s="13" t="s">
        <v>159</v>
      </c>
      <c r="E10" s="13">
        <v>1</v>
      </c>
      <c r="F10" s="13">
        <v>200</v>
      </c>
      <c r="G10" s="13">
        <f t="shared" si="0"/>
        <v>200</v>
      </c>
      <c r="H10" s="38"/>
    </row>
    <row r="11" spans="1:8">
      <c r="A11" s="24"/>
      <c r="B11" s="24"/>
      <c r="C11" s="34"/>
      <c r="D11" s="13" t="s">
        <v>108</v>
      </c>
      <c r="E11" s="13">
        <v>1</v>
      </c>
      <c r="F11" s="13">
        <v>120</v>
      </c>
      <c r="G11" s="13">
        <f t="shared" si="0"/>
        <v>120</v>
      </c>
      <c r="H11" s="38"/>
    </row>
    <row r="12" ht="45" spans="1:8">
      <c r="A12" s="24"/>
      <c r="B12" s="24"/>
      <c r="C12" s="13" t="s">
        <v>263</v>
      </c>
      <c r="D12" s="13" t="s">
        <v>133</v>
      </c>
      <c r="E12" s="13">
        <f>82.3*0.32</f>
        <v>26.336</v>
      </c>
      <c r="F12" s="13">
        <v>90</v>
      </c>
      <c r="G12" s="13">
        <f t="shared" si="0"/>
        <v>2370.24</v>
      </c>
      <c r="H12" s="38" t="s">
        <v>261</v>
      </c>
    </row>
    <row r="13" spans="1:8">
      <c r="A13" s="24"/>
      <c r="B13" s="24"/>
      <c r="C13" s="13" t="s">
        <v>112</v>
      </c>
      <c r="D13" s="13" t="s">
        <v>113</v>
      </c>
      <c r="E13" s="13">
        <v>17</v>
      </c>
      <c r="F13" s="13">
        <v>330</v>
      </c>
      <c r="G13" s="13">
        <f t="shared" si="0"/>
        <v>5610</v>
      </c>
      <c r="H13" s="38" t="s">
        <v>264</v>
      </c>
    </row>
    <row r="14" spans="1:8">
      <c r="A14" s="24"/>
      <c r="B14" s="24"/>
      <c r="C14" s="13"/>
      <c r="D14" s="13"/>
      <c r="E14" s="13"/>
      <c r="F14" s="13">
        <f>G13</f>
        <v>5610</v>
      </c>
      <c r="G14" s="13"/>
      <c r="H14" s="38"/>
    </row>
    <row r="15" ht="21" spans="1:8">
      <c r="A15" s="24"/>
      <c r="B15" s="24"/>
      <c r="C15" s="13"/>
      <c r="D15" s="26" t="s">
        <v>117</v>
      </c>
      <c r="E15" s="27">
        <v>0.25</v>
      </c>
      <c r="F15" s="28">
        <f t="shared" ref="F15:F26" si="1">E15*$F$14</f>
        <v>1402.5</v>
      </c>
      <c r="G15" s="23"/>
      <c r="H15" s="29" t="s">
        <v>118</v>
      </c>
    </row>
    <row r="16" ht="21" spans="1:8">
      <c r="A16" s="24"/>
      <c r="B16" s="24"/>
      <c r="C16" s="13"/>
      <c r="D16" s="30"/>
      <c r="E16" s="27">
        <v>0.18</v>
      </c>
      <c r="F16" s="28">
        <f t="shared" si="1"/>
        <v>1009.8</v>
      </c>
      <c r="G16" s="23"/>
      <c r="H16" s="29" t="s">
        <v>205</v>
      </c>
    </row>
    <row r="17" ht="21" spans="1:8">
      <c r="A17" s="24"/>
      <c r="B17" s="24"/>
      <c r="C17" s="13"/>
      <c r="D17" s="30"/>
      <c r="E17" s="27">
        <v>0.12</v>
      </c>
      <c r="F17" s="28">
        <f t="shared" si="1"/>
        <v>673.2</v>
      </c>
      <c r="G17" s="23"/>
      <c r="H17" s="29" t="s">
        <v>120</v>
      </c>
    </row>
    <row r="18" spans="1:8">
      <c r="A18" s="24"/>
      <c r="B18" s="24"/>
      <c r="C18" s="13"/>
      <c r="D18" s="30"/>
      <c r="E18" s="27">
        <v>0.12</v>
      </c>
      <c r="F18" s="28">
        <f t="shared" si="1"/>
        <v>673.2</v>
      </c>
      <c r="G18" s="23"/>
      <c r="H18" s="31" t="s">
        <v>121</v>
      </c>
    </row>
    <row r="19" ht="21" spans="1:8">
      <c r="A19" s="24"/>
      <c r="B19" s="24"/>
      <c r="C19" s="13"/>
      <c r="D19" s="30"/>
      <c r="E19" s="27">
        <v>0.05</v>
      </c>
      <c r="F19" s="28">
        <f t="shared" si="1"/>
        <v>280.5</v>
      </c>
      <c r="G19" s="23"/>
      <c r="H19" s="29" t="s">
        <v>122</v>
      </c>
    </row>
    <row r="20" ht="21" spans="1:8">
      <c r="A20" s="24"/>
      <c r="B20" s="24"/>
      <c r="C20" s="13"/>
      <c r="D20" s="30"/>
      <c r="E20" s="27">
        <v>0.04</v>
      </c>
      <c r="F20" s="28">
        <f t="shared" si="1"/>
        <v>224.4</v>
      </c>
      <c r="G20" s="23"/>
      <c r="H20" s="32" t="s">
        <v>123</v>
      </c>
    </row>
    <row r="21" ht="21" spans="1:8">
      <c r="A21" s="24"/>
      <c r="B21" s="24"/>
      <c r="C21" s="13"/>
      <c r="D21" s="30"/>
      <c r="E21" s="27">
        <v>0.07</v>
      </c>
      <c r="F21" s="28">
        <f t="shared" si="1"/>
        <v>392.7</v>
      </c>
      <c r="G21" s="23"/>
      <c r="H21" s="32" t="s">
        <v>124</v>
      </c>
    </row>
    <row r="22" spans="1:8">
      <c r="A22" s="24"/>
      <c r="B22" s="24"/>
      <c r="C22" s="13"/>
      <c r="D22" s="30"/>
      <c r="E22" s="27">
        <v>0.07</v>
      </c>
      <c r="F22" s="28">
        <f t="shared" si="1"/>
        <v>392.7</v>
      </c>
      <c r="G22" s="23"/>
      <c r="H22" s="33" t="s">
        <v>125</v>
      </c>
    </row>
    <row r="23" spans="1:8">
      <c r="A23" s="24"/>
      <c r="B23" s="24"/>
      <c r="C23" s="13"/>
      <c r="D23" s="30"/>
      <c r="E23" s="27">
        <v>0.03</v>
      </c>
      <c r="F23" s="28">
        <f t="shared" si="1"/>
        <v>168.3</v>
      </c>
      <c r="G23" s="23"/>
      <c r="H23" s="32" t="s">
        <v>127</v>
      </c>
    </row>
    <row r="24" ht="21" spans="1:8">
      <c r="A24" s="24"/>
      <c r="B24" s="24"/>
      <c r="C24" s="13"/>
      <c r="D24" s="30"/>
      <c r="E24" s="27">
        <v>0.02</v>
      </c>
      <c r="F24" s="28">
        <f t="shared" si="1"/>
        <v>112.2</v>
      </c>
      <c r="G24" s="23"/>
      <c r="H24" s="32" t="s">
        <v>128</v>
      </c>
    </row>
    <row r="25" spans="1:8">
      <c r="A25" s="24"/>
      <c r="B25" s="24"/>
      <c r="C25" s="13"/>
      <c r="D25" s="30"/>
      <c r="E25" s="27">
        <v>0.02</v>
      </c>
      <c r="F25" s="28">
        <f t="shared" si="1"/>
        <v>112.2</v>
      </c>
      <c r="G25" s="23"/>
      <c r="H25" s="33" t="s">
        <v>129</v>
      </c>
    </row>
    <row r="26" ht="21" spans="1:8">
      <c r="A26" s="34"/>
      <c r="B26" s="34"/>
      <c r="C26" s="13"/>
      <c r="D26" s="35"/>
      <c r="E26" s="27">
        <v>0.03</v>
      </c>
      <c r="F26" s="28">
        <f t="shared" si="1"/>
        <v>168.3</v>
      </c>
      <c r="G26" s="23"/>
      <c r="H26" s="32" t="s">
        <v>130</v>
      </c>
    </row>
    <row r="27" spans="1:8">
      <c r="A27" s="13">
        <v>4</v>
      </c>
      <c r="B27" s="13" t="s">
        <v>265</v>
      </c>
      <c r="C27" s="15" t="s">
        <v>266</v>
      </c>
      <c r="D27" s="13" t="s">
        <v>95</v>
      </c>
      <c r="E27" s="13">
        <v>1</v>
      </c>
      <c r="F27" s="13">
        <v>23000</v>
      </c>
      <c r="G27" s="13">
        <f t="shared" ref="G27:G31" si="2">F27*E27</f>
        <v>23000</v>
      </c>
      <c r="H27" s="38" t="s">
        <v>226</v>
      </c>
    </row>
    <row r="28" ht="28.5" spans="1:8">
      <c r="A28" s="13"/>
      <c r="B28" s="13"/>
      <c r="C28" s="15" t="s">
        <v>267</v>
      </c>
      <c r="D28" s="13" t="s">
        <v>109</v>
      </c>
      <c r="E28" s="13">
        <v>324</v>
      </c>
      <c r="F28" s="13">
        <v>65</v>
      </c>
      <c r="G28" s="13">
        <f t="shared" si="2"/>
        <v>21060</v>
      </c>
      <c r="H28" s="38" t="s">
        <v>226</v>
      </c>
    </row>
    <row r="29" ht="28.5" spans="1:8">
      <c r="A29" s="13"/>
      <c r="B29" s="13"/>
      <c r="C29" s="15" t="s">
        <v>268</v>
      </c>
      <c r="D29" s="13" t="s">
        <v>153</v>
      </c>
      <c r="E29" s="39">
        <f>50.02*6+1.05*4+1.6*2+1.05*4+1.6*2+4</f>
        <v>318.9</v>
      </c>
      <c r="F29" s="13">
        <v>135</v>
      </c>
      <c r="G29" s="13">
        <f t="shared" si="2"/>
        <v>43051.5</v>
      </c>
      <c r="H29" s="38" t="s">
        <v>226</v>
      </c>
    </row>
    <row r="30" spans="1:8">
      <c r="A30" s="13">
        <v>5</v>
      </c>
      <c r="B30" s="13" t="s">
        <v>269</v>
      </c>
      <c r="C30" s="15" t="s">
        <v>270</v>
      </c>
      <c r="D30" s="13" t="s">
        <v>95</v>
      </c>
      <c r="E30" s="13">
        <v>1</v>
      </c>
      <c r="F30" s="13">
        <v>9720</v>
      </c>
      <c r="G30" s="13">
        <f t="shared" si="2"/>
        <v>9720</v>
      </c>
      <c r="H30" s="38" t="s">
        <v>226</v>
      </c>
    </row>
    <row r="31" spans="1:8">
      <c r="A31" s="13"/>
      <c r="B31" s="13"/>
      <c r="C31" s="15" t="s">
        <v>271</v>
      </c>
      <c r="D31" s="13" t="s">
        <v>95</v>
      </c>
      <c r="E31" s="13">
        <v>1</v>
      </c>
      <c r="F31" s="13">
        <v>2160</v>
      </c>
      <c r="G31" s="13">
        <f t="shared" si="2"/>
        <v>2160</v>
      </c>
      <c r="H31" s="38" t="s">
        <v>226</v>
      </c>
    </row>
    <row r="32" spans="1:8">
      <c r="A32" s="13">
        <v>6</v>
      </c>
      <c r="B32" s="40" t="s">
        <v>142</v>
      </c>
      <c r="C32" s="16"/>
      <c r="D32" s="16"/>
      <c r="E32" s="16"/>
      <c r="F32" s="16"/>
      <c r="G32" s="41">
        <f>SUM(G3:G31)</f>
        <v>126891.09</v>
      </c>
      <c r="H32" s="16"/>
    </row>
    <row r="33" spans="1:8">
      <c r="A33" s="13">
        <v>7</v>
      </c>
      <c r="B33" s="40" t="s">
        <v>175</v>
      </c>
      <c r="C33" s="16"/>
      <c r="D33" s="16"/>
      <c r="E33" s="16"/>
      <c r="F33" s="16"/>
      <c r="G33" s="41">
        <v>126800</v>
      </c>
      <c r="H33" s="16"/>
    </row>
    <row r="34" spans="1:8">
      <c r="A34" s="3"/>
      <c r="B34" s="3" t="s">
        <v>145</v>
      </c>
      <c r="C34" s="3"/>
      <c r="D34" s="3"/>
      <c r="E34" s="3" t="s">
        <v>146</v>
      </c>
      <c r="F34" s="3"/>
      <c r="G34" s="1"/>
      <c r="H34" s="3"/>
    </row>
    <row r="35" spans="1:8">
      <c r="A35" s="3"/>
      <c r="B35" s="3" t="s">
        <v>176</v>
      </c>
      <c r="C35" s="3"/>
      <c r="D35" s="3"/>
      <c r="E35" s="3" t="s">
        <v>176</v>
      </c>
      <c r="F35" s="3"/>
      <c r="G35" s="1"/>
      <c r="H35" s="3"/>
    </row>
  </sheetData>
  <mergeCells count="13">
    <mergeCell ref="A1:H1"/>
    <mergeCell ref="A3:A5"/>
    <mergeCell ref="A6:A8"/>
    <mergeCell ref="A9:A26"/>
    <mergeCell ref="A27:A29"/>
    <mergeCell ref="A30:A31"/>
    <mergeCell ref="B3:B5"/>
    <mergeCell ref="B6:B8"/>
    <mergeCell ref="B9:B26"/>
    <mergeCell ref="B27:B29"/>
    <mergeCell ref="B30:B31"/>
    <mergeCell ref="C10:C11"/>
    <mergeCell ref="D15:D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opLeftCell="A13" workbookViewId="0">
      <selection activeCell="C13" sqref="C13:H26"/>
    </sheetView>
  </sheetViews>
  <sheetFormatPr defaultColWidth="9" defaultRowHeight="14.25"/>
  <cols>
    <col min="1" max="1" width="4" style="3" customWidth="1"/>
    <col min="2" max="2" width="9.375" style="3" customWidth="1"/>
    <col min="3" max="3" width="19.75" style="3" customWidth="1"/>
    <col min="4" max="4" width="8.25" style="3" customWidth="1"/>
    <col min="5" max="5" width="5.75" style="3" customWidth="1"/>
    <col min="6" max="6" width="10.75" style="3" customWidth="1"/>
    <col min="7" max="7" width="8.375" style="3" customWidth="1"/>
    <col min="8" max="8" width="17.75" style="3" customWidth="1"/>
    <col min="9" max="9" width="12.625" style="3"/>
    <col min="10" max="16384" width="9" style="3"/>
  </cols>
  <sheetData>
    <row r="1" s="3" customFormat="1" ht="39" customHeight="1" spans="1:8">
      <c r="A1" s="12" t="s">
        <v>272</v>
      </c>
      <c r="B1" s="12"/>
      <c r="C1" s="12"/>
      <c r="D1" s="12"/>
      <c r="E1" s="12"/>
      <c r="F1" s="12"/>
      <c r="G1" s="12"/>
      <c r="H1" s="12"/>
    </row>
    <row r="2" s="3" customFormat="1" ht="21" customHeight="1" spans="1:8">
      <c r="A2" s="13" t="s">
        <v>1</v>
      </c>
      <c r="B2" s="13" t="s">
        <v>54</v>
      </c>
      <c r="C2" s="13" t="s">
        <v>89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6</v>
      </c>
    </row>
    <row r="3" s="3" customFormat="1" ht="21" customHeight="1" spans="1:8">
      <c r="A3" s="13">
        <v>1</v>
      </c>
      <c r="B3" s="13" t="s">
        <v>273</v>
      </c>
      <c r="C3" s="15" t="s">
        <v>274</v>
      </c>
      <c r="D3" s="13" t="s">
        <v>153</v>
      </c>
      <c r="E3" s="13">
        <v>68.3</v>
      </c>
      <c r="F3" s="13">
        <v>25</v>
      </c>
      <c r="G3" s="13">
        <f t="shared" ref="G3:G12" si="0">F3*E3</f>
        <v>1707.5</v>
      </c>
      <c r="H3" s="16"/>
    </row>
    <row r="4" s="3" customFormat="1" ht="21" customHeight="1" spans="1:8">
      <c r="A4" s="13"/>
      <c r="B4" s="13"/>
      <c r="C4" s="15" t="s">
        <v>275</v>
      </c>
      <c r="D4" s="13" t="s">
        <v>153</v>
      </c>
      <c r="E4" s="13">
        <v>38.6</v>
      </c>
      <c r="F4" s="17">
        <f>240/3*2.5</f>
        <v>200</v>
      </c>
      <c r="G4" s="13">
        <f t="shared" si="0"/>
        <v>7720</v>
      </c>
      <c r="H4" s="16"/>
    </row>
    <row r="5" s="3" customFormat="1" ht="21" customHeight="1" spans="1:8">
      <c r="A5" s="13"/>
      <c r="B5" s="13"/>
      <c r="C5" s="15" t="s">
        <v>276</v>
      </c>
      <c r="D5" s="13" t="s">
        <v>153</v>
      </c>
      <c r="E5" s="13">
        <v>30</v>
      </c>
      <c r="F5" s="13">
        <v>130</v>
      </c>
      <c r="G5" s="13">
        <f t="shared" si="0"/>
        <v>3900</v>
      </c>
      <c r="H5" s="16"/>
    </row>
    <row r="6" s="3" customFormat="1" ht="21" customHeight="1" spans="1:8">
      <c r="A6" s="13">
        <v>2</v>
      </c>
      <c r="B6" s="13" t="s">
        <v>277</v>
      </c>
      <c r="C6" s="18" t="s">
        <v>278</v>
      </c>
      <c r="D6" s="13" t="s">
        <v>133</v>
      </c>
      <c r="E6" s="13">
        <v>5.01</v>
      </c>
      <c r="F6" s="13">
        <v>150</v>
      </c>
      <c r="G6" s="13">
        <f t="shared" si="0"/>
        <v>751.5</v>
      </c>
      <c r="H6" s="16"/>
    </row>
    <row r="7" s="3" customFormat="1" ht="21" customHeight="1" spans="1:8">
      <c r="A7" s="13"/>
      <c r="B7" s="13"/>
      <c r="C7" s="18" t="s">
        <v>279</v>
      </c>
      <c r="D7" s="13" t="s">
        <v>133</v>
      </c>
      <c r="E7" s="13">
        <f>(1.1+2.18*2+1.2+2.18*2)*0.2</f>
        <v>2.204</v>
      </c>
      <c r="F7" s="13">
        <v>22</v>
      </c>
      <c r="G7" s="13">
        <f t="shared" si="0"/>
        <v>48.488</v>
      </c>
      <c r="H7" s="16"/>
    </row>
    <row r="8" s="3" customFormat="1" ht="21" customHeight="1" spans="1:8">
      <c r="A8" s="13"/>
      <c r="B8" s="13"/>
      <c r="C8" s="18" t="s">
        <v>280</v>
      </c>
      <c r="D8" s="13" t="s">
        <v>159</v>
      </c>
      <c r="E8" s="13">
        <v>2</v>
      </c>
      <c r="F8" s="13">
        <v>200</v>
      </c>
      <c r="G8" s="13">
        <f t="shared" si="0"/>
        <v>400</v>
      </c>
      <c r="H8" s="16" t="s">
        <v>281</v>
      </c>
    </row>
    <row r="9" s="3" customFormat="1" ht="21" customHeight="1" spans="1:8">
      <c r="A9" s="13"/>
      <c r="B9" s="13"/>
      <c r="C9" s="18" t="s">
        <v>282</v>
      </c>
      <c r="D9" s="13" t="s">
        <v>95</v>
      </c>
      <c r="E9" s="13">
        <v>1</v>
      </c>
      <c r="F9" s="13">
        <v>2000</v>
      </c>
      <c r="G9" s="13">
        <f t="shared" si="0"/>
        <v>2000</v>
      </c>
      <c r="H9" s="16"/>
    </row>
    <row r="10" s="3" customFormat="1" ht="21" customHeight="1" spans="1:8">
      <c r="A10" s="13"/>
      <c r="B10" s="13"/>
      <c r="C10" s="18" t="s">
        <v>283</v>
      </c>
      <c r="D10" s="13" t="s">
        <v>160</v>
      </c>
      <c r="E10" s="13">
        <v>1</v>
      </c>
      <c r="F10" s="13">
        <v>200</v>
      </c>
      <c r="G10" s="13">
        <f t="shared" si="0"/>
        <v>200</v>
      </c>
      <c r="H10" s="16"/>
    </row>
    <row r="11" s="3" customFormat="1" ht="21" customHeight="1" spans="1:19">
      <c r="A11" s="19">
        <v>3</v>
      </c>
      <c r="B11" s="19" t="s">
        <v>284</v>
      </c>
      <c r="C11" s="20" t="s">
        <v>112</v>
      </c>
      <c r="D11" s="21" t="s">
        <v>160</v>
      </c>
      <c r="E11" s="21">
        <v>62</v>
      </c>
      <c r="F11" s="21">
        <v>120</v>
      </c>
      <c r="G11" s="22">
        <f t="shared" si="0"/>
        <v>7440</v>
      </c>
      <c r="H11" s="23"/>
      <c r="L11"/>
      <c r="M11"/>
      <c r="N11"/>
      <c r="O11"/>
      <c r="P11"/>
      <c r="Q11"/>
      <c r="R11"/>
      <c r="S11"/>
    </row>
    <row r="12" s="3" customFormat="1" ht="21" customHeight="1" spans="1:19">
      <c r="A12" s="24"/>
      <c r="B12" s="24"/>
      <c r="C12" s="20" t="s">
        <v>203</v>
      </c>
      <c r="D12" s="21" t="s">
        <v>204</v>
      </c>
      <c r="E12" s="21">
        <v>26</v>
      </c>
      <c r="F12" s="21">
        <v>330</v>
      </c>
      <c r="G12" s="22">
        <f t="shared" si="0"/>
        <v>8580</v>
      </c>
      <c r="H12" s="23"/>
      <c r="L12"/>
      <c r="M12"/>
      <c r="N12"/>
      <c r="O12"/>
      <c r="P12"/>
      <c r="Q12"/>
      <c r="R12"/>
      <c r="S12"/>
    </row>
    <row r="13" s="3" customFormat="1" ht="21" customHeight="1" spans="1:19">
      <c r="A13" s="24"/>
      <c r="B13" s="24"/>
      <c r="C13" s="20" t="s">
        <v>116</v>
      </c>
      <c r="D13" s="21"/>
      <c r="E13" s="21"/>
      <c r="F13" s="21">
        <f>SUM(G11:G12)</f>
        <v>16020</v>
      </c>
      <c r="G13" s="25"/>
      <c r="H13" s="23"/>
      <c r="L13"/>
      <c r="M13"/>
      <c r="N13"/>
      <c r="O13"/>
      <c r="P13"/>
      <c r="Q13"/>
      <c r="R13"/>
      <c r="S13"/>
    </row>
    <row r="14" s="3" customFormat="1" spans="1:19">
      <c r="A14" s="24"/>
      <c r="B14" s="24"/>
      <c r="C14" s="21"/>
      <c r="D14" s="26" t="s">
        <v>117</v>
      </c>
      <c r="E14" s="27">
        <v>0.33</v>
      </c>
      <c r="F14" s="28">
        <f t="shared" ref="F14:F26" si="1">E14*$F$13</f>
        <v>5286.6</v>
      </c>
      <c r="G14" s="23"/>
      <c r="H14" s="29" t="s">
        <v>118</v>
      </c>
      <c r="L14"/>
      <c r="M14"/>
      <c r="N14"/>
      <c r="O14"/>
      <c r="P14"/>
      <c r="Q14"/>
      <c r="R14"/>
      <c r="S14"/>
    </row>
    <row r="15" s="3" customFormat="1" spans="1:19">
      <c r="A15" s="24"/>
      <c r="B15" s="24"/>
      <c r="C15" s="21"/>
      <c r="D15" s="30"/>
      <c r="E15" s="27">
        <v>0.18</v>
      </c>
      <c r="F15" s="28">
        <f t="shared" si="1"/>
        <v>2883.6</v>
      </c>
      <c r="G15" s="23"/>
      <c r="H15" s="29" t="s">
        <v>119</v>
      </c>
      <c r="L15"/>
      <c r="M15"/>
      <c r="N15"/>
      <c r="O15"/>
      <c r="P15"/>
      <c r="Q15"/>
      <c r="R15"/>
      <c r="S15"/>
    </row>
    <row r="16" s="3" customFormat="1" ht="21" spans="1:19">
      <c r="A16" s="24"/>
      <c r="B16" s="24"/>
      <c r="C16" s="21"/>
      <c r="D16" s="30"/>
      <c r="E16" s="27">
        <v>0.08</v>
      </c>
      <c r="F16" s="28">
        <f t="shared" si="1"/>
        <v>1281.6</v>
      </c>
      <c r="G16" s="23"/>
      <c r="H16" s="29" t="s">
        <v>120</v>
      </c>
      <c r="L16"/>
      <c r="M16"/>
      <c r="N16"/>
      <c r="O16"/>
      <c r="P16"/>
      <c r="Q16"/>
      <c r="R16"/>
      <c r="S16"/>
    </row>
    <row r="17" s="3" customFormat="1" spans="1:19">
      <c r="A17" s="24"/>
      <c r="B17" s="24"/>
      <c r="C17" s="21"/>
      <c r="D17" s="30"/>
      <c r="E17" s="27">
        <v>0.08</v>
      </c>
      <c r="F17" s="28">
        <f t="shared" si="1"/>
        <v>1281.6</v>
      </c>
      <c r="G17" s="23"/>
      <c r="H17" s="31" t="s">
        <v>121</v>
      </c>
      <c r="L17"/>
      <c r="M17"/>
      <c r="N17"/>
      <c r="O17"/>
      <c r="P17"/>
      <c r="Q17"/>
      <c r="R17"/>
      <c r="S17"/>
    </row>
    <row r="18" s="3" customFormat="1" ht="21" spans="1:19">
      <c r="A18" s="24"/>
      <c r="B18" s="24"/>
      <c r="C18" s="21"/>
      <c r="D18" s="30"/>
      <c r="E18" s="27">
        <v>0.04</v>
      </c>
      <c r="F18" s="28">
        <f t="shared" si="1"/>
        <v>640.8</v>
      </c>
      <c r="G18" s="23"/>
      <c r="H18" s="29" t="s">
        <v>122</v>
      </c>
      <c r="L18"/>
      <c r="M18"/>
      <c r="N18"/>
      <c r="O18"/>
      <c r="P18"/>
      <c r="Q18"/>
      <c r="R18"/>
      <c r="S18"/>
    </row>
    <row r="19" s="3" customFormat="1" spans="1:19">
      <c r="A19" s="24"/>
      <c r="B19" s="24"/>
      <c r="C19" s="21"/>
      <c r="D19" s="30"/>
      <c r="E19" s="27">
        <v>0.04</v>
      </c>
      <c r="F19" s="28">
        <f t="shared" si="1"/>
        <v>640.8</v>
      </c>
      <c r="G19" s="23"/>
      <c r="H19" s="32" t="s">
        <v>123</v>
      </c>
      <c r="L19"/>
      <c r="M19"/>
      <c r="N19"/>
      <c r="O19"/>
      <c r="P19"/>
      <c r="Q19"/>
      <c r="R19"/>
      <c r="S19"/>
    </row>
    <row r="20" s="3" customFormat="1" spans="1:19">
      <c r="A20" s="24"/>
      <c r="B20" s="24"/>
      <c r="C20" s="21"/>
      <c r="D20" s="30"/>
      <c r="E20" s="27">
        <v>0.06</v>
      </c>
      <c r="F20" s="28">
        <f t="shared" si="1"/>
        <v>961.2</v>
      </c>
      <c r="G20" s="23"/>
      <c r="H20" s="32" t="s">
        <v>124</v>
      </c>
      <c r="L20"/>
      <c r="M20"/>
      <c r="N20"/>
      <c r="O20"/>
      <c r="P20"/>
      <c r="Q20"/>
      <c r="R20"/>
      <c r="S20"/>
    </row>
    <row r="21" s="3" customFormat="1" spans="1:19">
      <c r="A21" s="24"/>
      <c r="B21" s="24"/>
      <c r="C21" s="21"/>
      <c r="D21" s="30"/>
      <c r="E21" s="27">
        <v>0.06</v>
      </c>
      <c r="F21" s="28">
        <f t="shared" si="1"/>
        <v>961.2</v>
      </c>
      <c r="G21" s="23"/>
      <c r="H21" s="33" t="s">
        <v>125</v>
      </c>
      <c r="L21"/>
      <c r="M21"/>
      <c r="N21"/>
      <c r="O21"/>
      <c r="P21"/>
      <c r="Q21"/>
      <c r="R21"/>
      <c r="S21"/>
    </row>
    <row r="22" s="3" customFormat="1" spans="1:19">
      <c r="A22" s="24"/>
      <c r="B22" s="24"/>
      <c r="C22" s="21"/>
      <c r="D22" s="30"/>
      <c r="E22" s="27">
        <v>0.03</v>
      </c>
      <c r="F22" s="28">
        <f t="shared" si="1"/>
        <v>480.6</v>
      </c>
      <c r="G22" s="23"/>
      <c r="H22" s="33" t="s">
        <v>126</v>
      </c>
      <c r="L22"/>
      <c r="M22"/>
      <c r="N22"/>
      <c r="O22"/>
      <c r="P22"/>
      <c r="Q22"/>
      <c r="R22"/>
      <c r="S22"/>
    </row>
    <row r="23" s="3" customFormat="1" spans="1:19">
      <c r="A23" s="24"/>
      <c r="B23" s="24"/>
      <c r="C23" s="21"/>
      <c r="D23" s="30"/>
      <c r="E23" s="27">
        <v>0.03</v>
      </c>
      <c r="F23" s="28">
        <f t="shared" si="1"/>
        <v>480.6</v>
      </c>
      <c r="G23" s="23"/>
      <c r="H23" s="32" t="s">
        <v>127</v>
      </c>
      <c r="L23"/>
      <c r="M23"/>
      <c r="N23"/>
      <c r="O23"/>
      <c r="P23"/>
      <c r="Q23"/>
      <c r="R23"/>
      <c r="S23"/>
    </row>
    <row r="24" s="3" customFormat="1" spans="1:19">
      <c r="A24" s="24"/>
      <c r="B24" s="24"/>
      <c r="C24" s="21"/>
      <c r="D24" s="30"/>
      <c r="E24" s="27">
        <v>0.02</v>
      </c>
      <c r="F24" s="28">
        <f t="shared" si="1"/>
        <v>320.4</v>
      </c>
      <c r="G24" s="23"/>
      <c r="H24" s="32" t="s">
        <v>128</v>
      </c>
      <c r="L24"/>
      <c r="M24"/>
      <c r="N24"/>
      <c r="O24"/>
      <c r="P24"/>
      <c r="Q24"/>
      <c r="R24"/>
      <c r="S24"/>
    </row>
    <row r="25" s="3" customFormat="1" spans="1:19">
      <c r="A25" s="24"/>
      <c r="B25" s="24"/>
      <c r="C25" s="21"/>
      <c r="D25" s="30"/>
      <c r="E25" s="27">
        <v>0.02</v>
      </c>
      <c r="F25" s="28">
        <f t="shared" si="1"/>
        <v>320.4</v>
      </c>
      <c r="G25" s="23"/>
      <c r="H25" s="33" t="s">
        <v>129</v>
      </c>
      <c r="L25"/>
      <c r="M25"/>
      <c r="N25"/>
      <c r="O25"/>
      <c r="P25"/>
      <c r="Q25"/>
      <c r="R25"/>
      <c r="S25"/>
    </row>
    <row r="26" s="3" customFormat="1" ht="21" spans="1:19">
      <c r="A26" s="34"/>
      <c r="B26" s="34"/>
      <c r="C26" s="21"/>
      <c r="D26" s="35"/>
      <c r="E26" s="27">
        <v>0.03</v>
      </c>
      <c r="F26" s="28">
        <f t="shared" si="1"/>
        <v>480.6</v>
      </c>
      <c r="G26" s="23"/>
      <c r="H26" s="32" t="s">
        <v>130</v>
      </c>
      <c r="L26"/>
      <c r="M26"/>
      <c r="N26"/>
      <c r="O26"/>
      <c r="P26"/>
      <c r="Q26"/>
      <c r="R26"/>
      <c r="S26"/>
    </row>
    <row r="27" s="3" customFormat="1" ht="24" customHeight="1" spans="1:19">
      <c r="A27" s="19">
        <v>3</v>
      </c>
      <c r="B27" s="19" t="s">
        <v>285</v>
      </c>
      <c r="C27" s="36" t="s">
        <v>286</v>
      </c>
      <c r="D27" s="13" t="s">
        <v>108</v>
      </c>
      <c r="E27" s="13">
        <v>4</v>
      </c>
      <c r="F27" s="13">
        <v>120</v>
      </c>
      <c r="G27" s="13">
        <f t="shared" ref="G27:G33" si="2">F27*E27</f>
        <v>480</v>
      </c>
      <c r="H27" s="16"/>
      <c r="L27"/>
      <c r="M27"/>
      <c r="N27"/>
      <c r="O27"/>
      <c r="P27"/>
      <c r="Q27"/>
      <c r="R27"/>
      <c r="S27"/>
    </row>
    <row r="28" s="3" customFormat="1" ht="28.5" spans="1:19">
      <c r="A28" s="24"/>
      <c r="B28" s="24"/>
      <c r="C28" s="36" t="s">
        <v>287</v>
      </c>
      <c r="D28" s="13" t="s">
        <v>159</v>
      </c>
      <c r="E28" s="13">
        <v>1</v>
      </c>
      <c r="F28" s="13">
        <v>200</v>
      </c>
      <c r="G28" s="13">
        <f t="shared" si="2"/>
        <v>200</v>
      </c>
      <c r="H28" s="16"/>
      <c r="L28"/>
      <c r="M28"/>
      <c r="N28"/>
      <c r="O28"/>
      <c r="P28"/>
      <c r="Q28"/>
      <c r="R28"/>
      <c r="S28"/>
    </row>
    <row r="29" s="3" customFormat="1" ht="38" customHeight="1" spans="1:19">
      <c r="A29" s="24"/>
      <c r="B29" s="24"/>
      <c r="C29" s="36" t="s">
        <v>288</v>
      </c>
      <c r="D29" s="13" t="s">
        <v>108</v>
      </c>
      <c r="E29" s="13">
        <v>4</v>
      </c>
      <c r="F29" s="13">
        <v>120</v>
      </c>
      <c r="G29" s="13">
        <f t="shared" si="2"/>
        <v>480</v>
      </c>
      <c r="H29" s="16" t="s">
        <v>289</v>
      </c>
      <c r="L29"/>
      <c r="M29"/>
      <c r="N29"/>
      <c r="O29"/>
      <c r="P29"/>
      <c r="Q29"/>
      <c r="R29"/>
      <c r="S29"/>
    </row>
    <row r="30" s="3" customFormat="1" ht="38" customHeight="1" spans="1:19">
      <c r="A30" s="24"/>
      <c r="B30" s="24"/>
      <c r="C30" s="36" t="s">
        <v>290</v>
      </c>
      <c r="D30" s="13" t="s">
        <v>159</v>
      </c>
      <c r="E30" s="13">
        <v>1</v>
      </c>
      <c r="F30" s="13">
        <v>200</v>
      </c>
      <c r="G30" s="13">
        <f t="shared" si="2"/>
        <v>200</v>
      </c>
      <c r="H30" s="16"/>
      <c r="L30"/>
      <c r="M30"/>
      <c r="N30"/>
      <c r="O30"/>
      <c r="P30"/>
      <c r="Q30"/>
      <c r="R30"/>
      <c r="S30"/>
    </row>
    <row r="31" s="3" customFormat="1" ht="31" customHeight="1" spans="1:19">
      <c r="A31" s="24"/>
      <c r="B31" s="24"/>
      <c r="C31" s="36" t="s">
        <v>291</v>
      </c>
      <c r="D31" s="13" t="s">
        <v>159</v>
      </c>
      <c r="E31" s="13">
        <v>1</v>
      </c>
      <c r="F31" s="13">
        <v>200</v>
      </c>
      <c r="G31" s="13">
        <f t="shared" si="2"/>
        <v>200</v>
      </c>
      <c r="H31" s="16" t="s">
        <v>292</v>
      </c>
      <c r="L31"/>
      <c r="M31"/>
      <c r="N31"/>
      <c r="O31"/>
      <c r="P31"/>
      <c r="Q31"/>
      <c r="R31"/>
      <c r="S31"/>
    </row>
    <row r="32" s="3" customFormat="1" ht="22" customHeight="1" spans="1:19">
      <c r="A32" s="24"/>
      <c r="B32" s="24"/>
      <c r="C32" s="36" t="s">
        <v>293</v>
      </c>
      <c r="D32" s="13" t="s">
        <v>159</v>
      </c>
      <c r="E32" s="13">
        <v>1</v>
      </c>
      <c r="F32" s="13">
        <v>200</v>
      </c>
      <c r="G32" s="13">
        <f t="shared" si="2"/>
        <v>200</v>
      </c>
      <c r="H32" s="16" t="s">
        <v>294</v>
      </c>
      <c r="L32"/>
      <c r="M32"/>
      <c r="N32"/>
      <c r="O32"/>
      <c r="P32"/>
      <c r="Q32"/>
      <c r="R32"/>
      <c r="S32"/>
    </row>
    <row r="33" s="3" customFormat="1" ht="22" customHeight="1" spans="1:19">
      <c r="A33" s="34"/>
      <c r="B33" s="34"/>
      <c r="C33" s="36" t="s">
        <v>295</v>
      </c>
      <c r="D33" s="13" t="s">
        <v>95</v>
      </c>
      <c r="E33" s="13">
        <v>1</v>
      </c>
      <c r="F33" s="13">
        <v>3258.36</v>
      </c>
      <c r="G33" s="13">
        <f t="shared" si="2"/>
        <v>3258.36</v>
      </c>
      <c r="H33" s="16" t="s">
        <v>182</v>
      </c>
      <c r="L33"/>
      <c r="M33"/>
      <c r="N33"/>
      <c r="O33"/>
      <c r="P33"/>
      <c r="Q33"/>
      <c r="R33"/>
      <c r="S33"/>
    </row>
    <row r="34" s="3" customFormat="1" spans="1:8">
      <c r="A34" s="13">
        <v>4</v>
      </c>
      <c r="B34" s="13" t="s">
        <v>142</v>
      </c>
      <c r="C34" s="13"/>
      <c r="D34" s="13"/>
      <c r="E34" s="13"/>
      <c r="F34" s="13"/>
      <c r="G34" s="37">
        <f>SUM(G3:G33)</f>
        <v>37765.85</v>
      </c>
      <c r="H34" s="13"/>
    </row>
    <row r="35" s="3" customFormat="1" spans="1:8">
      <c r="A35" s="13">
        <v>5</v>
      </c>
      <c r="B35" s="14" t="s">
        <v>175</v>
      </c>
      <c r="C35" s="16"/>
      <c r="D35" s="16"/>
      <c r="E35" s="16"/>
      <c r="F35" s="16"/>
      <c r="G35" s="14">
        <v>37700</v>
      </c>
      <c r="H35" s="16"/>
    </row>
    <row r="36" s="3" customFormat="1" spans="2:5">
      <c r="B36" s="3" t="s">
        <v>145</v>
      </c>
      <c r="E36" s="3" t="s">
        <v>146</v>
      </c>
    </row>
    <row r="37" s="3" customFormat="1" spans="2:5">
      <c r="B37" s="3" t="s">
        <v>176</v>
      </c>
      <c r="E37" s="3" t="s">
        <v>176</v>
      </c>
    </row>
  </sheetData>
  <mergeCells count="10">
    <mergeCell ref="A1:H1"/>
    <mergeCell ref="A3:A5"/>
    <mergeCell ref="A6:A10"/>
    <mergeCell ref="A11:A26"/>
    <mergeCell ref="A27:A33"/>
    <mergeCell ref="B3:B5"/>
    <mergeCell ref="B6:B10"/>
    <mergeCell ref="B11:B26"/>
    <mergeCell ref="B27:B33"/>
    <mergeCell ref="D14:D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2资料存档目录</vt:lpstr>
      <vt:lpstr>3、结算汇总表</vt:lpstr>
      <vt:lpstr>4、各月结算明细</vt:lpstr>
      <vt:lpstr>4 、2023年度9月份结算明细表</vt:lpstr>
      <vt:lpstr>2023年11月</vt:lpstr>
      <vt:lpstr>2023年12月</vt:lpstr>
      <vt:lpstr>2024年3月</vt:lpstr>
      <vt:lpstr>2024年5月</vt:lpstr>
      <vt:lpstr>2024年6月</vt:lpstr>
      <vt:lpstr>派发单001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岳鹏</cp:lastModifiedBy>
  <dcterms:created xsi:type="dcterms:W3CDTF">2013-11-22T07:50:00Z</dcterms:created>
  <cp:lastPrinted>2019-10-18T09:13:00Z</cp:lastPrinted>
  <dcterms:modified xsi:type="dcterms:W3CDTF">2024-08-19T01:30:30Z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266E0DD2104849DCA6370F130AB78C4C_13</vt:lpwstr>
  </property>
</Properties>
</file>