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735" tabRatio="727" activeTab="3"/>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s>
  <definedNames>
    <definedName name="_xlnm._FilterDatabase" localSheetId="8" hidden="1">工程量计算数!$A$1:$N$261</definedName>
    <definedName name="_xlnm.Print_Area" localSheetId="0">封面!$A$1:$F$15</definedName>
    <definedName name="_xlnm._FilterDatabase" localSheetId="3" hidden="1">工程量清单清单!$A$1:$AA$72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<sst xmlns="http://schemas.openxmlformats.org/spreadsheetml/2006/main" count="3283" uniqueCount="469">
  <si>
    <t>投 标 报 价</t>
  </si>
  <si>
    <t>招   标   人：</t>
  </si>
  <si>
    <t xml:space="preserve"> 河南浩德新澜置业有限公司     </t>
  </si>
  <si>
    <t>工  程 名 称：</t>
  </si>
  <si>
    <t xml:space="preserve"> 洛阳市洛龙区伊河湾项目铝合金门窗制作安装工程 </t>
  </si>
  <si>
    <t>投标报价（小写）：</t>
  </si>
  <si>
    <t>元</t>
  </si>
  <si>
    <t>(大 写 金 额）：</t>
  </si>
  <si>
    <t>壹仟零叁拾捌万</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</si>
  <si>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</si>
  <si>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</si>
  <si>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</si>
  <si>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</si>
  <si>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</si>
  <si>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</si>
  <si>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</si>
  <si>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</si>
  <si>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</si>
  <si>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</si>
  <si>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</si>
  <si>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</si>
  <si>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</si>
  <si>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</si>
  <si>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</si>
  <si>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</si>
  <si>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</si>
  <si>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</si>
  <si>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</si>
  <si>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</si>
  <si>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</si>
  <si>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</si>
  <si>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</si>
  <si>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</si>
  <si>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</si>
  <si>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</si>
  <si>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</si>
  <si>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</si>
  <si>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</si>
  <si>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</si>
  <si>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</si>
  <si>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</si>
  <si>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</si>
  <si>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含税13%金额(元)</t>
  </si>
  <si>
    <t>含税13%综合单价
(元/m2)</t>
  </si>
  <si>
    <t>备注</t>
  </si>
  <si>
    <t>①</t>
  </si>
  <si>
    <t>②</t>
  </si>
  <si>
    <t>③=②/①</t>
  </si>
  <si>
    <t xml:space="preserve">  外窗</t>
  </si>
  <si>
    <t>内平开窗</t>
  </si>
  <si>
    <t>1.型材：50系列普铝内开窗；
2.玻璃：单层钢化磨砂玻璃6mm；</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</si>
  <si>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</si>
  <si>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</si>
  <si>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</si>
  <si>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1.型材：60系列断桥铝合金外平开窗；
2.玻璃：5LOW-E单银+9A+5+9A+5低辐射中空钢化玻璃，单片玻璃≥3m2需用8mm；</t>
  </si>
  <si>
    <t xml:space="preserve">推拉窗 </t>
  </si>
  <si>
    <t>1.型材：80系列普铝推拉窗；
2.玻璃：单层钢化玻璃6mm；</t>
  </si>
  <si>
    <t>1.型材：85系列断桥铝合金推拉窗；
2.玻璃：5LOW-E单银+12A+5低辐射中空玻璃；</t>
  </si>
  <si>
    <t>上悬窗</t>
  </si>
  <si>
    <t>1.型材：60系列断桥铝合金外悬窗；
2.玻璃：5LOW-E单银+9A+5+9A+5低辐射中空钢化玻璃；</t>
  </si>
  <si>
    <t>1.型材：60系列断桥铝合金外悬窗+90隔热推拉；
2.玻璃：5LOW-E单银+9A+5低辐射中空钢化玻璃；</t>
  </si>
  <si>
    <t>固定窗</t>
  </si>
  <si>
    <t>1.型材：50系列普铝固定窗；
2.玻璃：单层钢化玻璃6mm；</t>
  </si>
  <si>
    <t>门</t>
  </si>
  <si>
    <t>外平开门</t>
  </si>
  <si>
    <t>1.型材：60系列塑钢外平开门；
2.玻璃：5+9A+5钢化双白玻；</t>
  </si>
  <si>
    <t>1.型材：60系列断桥铝合金外平开门；
2.玻璃：5LOW-E单银+9A+5+9A+6铯钾低辐射中空玻璃；</t>
  </si>
  <si>
    <t>内开门</t>
  </si>
  <si>
    <t>1.型材：60系列隔热铝合金内开门；
2.玻璃：5+9A+5中空玻璃，</t>
  </si>
  <si>
    <t>推拉门</t>
  </si>
  <si>
    <t>1.型材：60系列塑钢推拉门；
2.玻璃：5+9A+5钢化双白玻；</t>
  </si>
  <si>
    <t>1.型材：60系列塑钢推拉门；
2.玻璃：6+9A+6钢化双白玻；</t>
  </si>
  <si>
    <t>地弹门</t>
  </si>
  <si>
    <t>1.型材：100系列断桥铝合金地弹门；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</si>
  <si>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</si>
  <si>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</si>
  <si>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</si>
  <si>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</si>
  <si>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</si>
  <si>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</si>
  <si>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
2.玻璃：6mm+0.76PVB+6mm双白钢化夹胶玻璃，</t>
  </si>
  <si>
    <t>1.型材：150系列普铝幕墙窗平开门；
2.玻璃：6mm+0.76PVB+6mm双白钢化夹胶玻璃，</t>
  </si>
  <si>
    <t>五</t>
  </si>
  <si>
    <t>合计</t>
  </si>
  <si>
    <t>门窗工程量清单表</t>
  </si>
  <si>
    <t>门窗类型</t>
  </si>
  <si>
    <t>门窗编号</t>
  </si>
  <si>
    <t>门窗面积（m2）</t>
  </si>
  <si>
    <t>其中分楼栋门窗面积（m2）</t>
  </si>
  <si>
    <t>不含增值税综合单价（元/m2）</t>
  </si>
  <si>
    <t>税率</t>
  </si>
  <si>
    <t>含税9%综合单价（元/m2）</t>
  </si>
  <si>
    <t>含税9%金额
（元）</t>
  </si>
  <si>
    <t>其中分楼栋金额（元）</t>
  </si>
  <si>
    <t>1#楼</t>
  </si>
  <si>
    <t>2#楼</t>
  </si>
  <si>
    <t>3#楼</t>
  </si>
  <si>
    <t>5#楼</t>
  </si>
  <si>
    <t>6#楼</t>
  </si>
  <si>
    <t>7#楼</t>
  </si>
  <si>
    <t>8#楼</t>
  </si>
  <si>
    <t>9#楼</t>
  </si>
  <si>
    <t>11#12#13#楼</t>
  </si>
  <si>
    <t>50系列普铝外平开窗</t>
  </si>
  <si>
    <t>900*1400</t>
  </si>
  <si>
    <t>1200*1200</t>
  </si>
  <si>
    <t>1200*1400</t>
  </si>
  <si>
    <t>1500*1400</t>
  </si>
  <si>
    <t>1500*1200</t>
  </si>
  <si>
    <t>1800*1700</t>
  </si>
  <si>
    <t>50系列普铝固定</t>
  </si>
  <si>
    <t>50系列普铝内开窗</t>
  </si>
  <si>
    <t>500*1000</t>
  </si>
  <si>
    <t>600*1200</t>
  </si>
  <si>
    <t>60系列断桥铝合金外平开窗</t>
  </si>
  <si>
    <t>1500*2100</t>
  </si>
  <si>
    <t>1.60系列断桥铝合金外平开窗
2.玻璃：5LOW-E单银+9A+5+9A+5低辐射中空钢化玻璃；</t>
  </si>
  <si>
    <t>1500*1450</t>
  </si>
  <si>
    <t>1500*1700</t>
  </si>
  <si>
    <t>1500*1500</t>
  </si>
  <si>
    <t>600*1400</t>
  </si>
  <si>
    <t>900*1450</t>
  </si>
  <si>
    <t>1600*2150</t>
  </si>
  <si>
    <t>2650*2400</t>
  </si>
  <si>
    <t>2950*2400</t>
  </si>
  <si>
    <t>3100*2400</t>
  </si>
  <si>
    <t>1800*2100</t>
  </si>
  <si>
    <t>2100*2150</t>
  </si>
  <si>
    <t>2100*2100</t>
  </si>
  <si>
    <t>4900*2100</t>
  </si>
  <si>
    <t>1.型材：60系列断桥铝合金外平开窗；
2.玻璃：5LOW-E单银+9A+5+9A+5低辐射中空玻璃，单片玻璃≥3m2需用8mm；</t>
  </si>
  <si>
    <t>5000*1700</t>
  </si>
  <si>
    <t>5000*2100</t>
  </si>
  <si>
    <t>60系列断桥铝合金外悬窗</t>
  </si>
  <si>
    <t>500*1400</t>
  </si>
  <si>
    <t>500*1450</t>
  </si>
  <si>
    <t>550*1400</t>
  </si>
  <si>
    <t>600*1450</t>
  </si>
  <si>
    <t>900*700</t>
  </si>
  <si>
    <t>1500*800</t>
  </si>
  <si>
    <t>60系列外悬窗+90隔热推拉</t>
  </si>
  <si>
    <t>1800*2450</t>
  </si>
  <si>
    <t>60系列断桥铝合金耐火外平开</t>
  </si>
  <si>
    <t>1.型材：60系列断桥铝合金耐火外平开；
2.玻璃：5LOW-E单银+9A+5+9A+6铯钾低辐射中空耐火钢化玻璃，单片玻璃≥2m2需用6mm</t>
  </si>
  <si>
    <t>2100*1700</t>
  </si>
  <si>
    <t>80系列普铝推拉窗</t>
  </si>
  <si>
    <t>1100*1500</t>
  </si>
  <si>
    <t>85系列断桥铝推拉窗</t>
  </si>
  <si>
    <t>1200*1100</t>
  </si>
  <si>
    <t>1.型材：85系列断桥铝合金推拉窗；
2.玻璃：5+12A+5钢化双白玻；</t>
  </si>
  <si>
    <t>60系列塑钢外平开门</t>
  </si>
  <si>
    <t>700*2350</t>
  </si>
  <si>
    <t>60系列断桥外平开门</t>
  </si>
  <si>
    <t>1200*2300</t>
  </si>
  <si>
    <t>1200*2350</t>
  </si>
  <si>
    <t>60系列隔热铝合金内开门</t>
  </si>
  <si>
    <t>1200*2400</t>
  </si>
  <si>
    <t>60系列塑钢推拉门</t>
  </si>
  <si>
    <t>1500*2350</t>
  </si>
  <si>
    <t>1600*2300</t>
  </si>
  <si>
    <t>1600*2350</t>
  </si>
  <si>
    <t>1800*2300</t>
  </si>
  <si>
    <t>4800*2350</t>
  </si>
  <si>
    <t>2100*2300</t>
  </si>
  <si>
    <t>3600*2350</t>
  </si>
  <si>
    <t>100系列断桥铝地弹门</t>
  </si>
  <si>
    <t>1500*2750</t>
  </si>
  <si>
    <t>1800*2750</t>
  </si>
  <si>
    <t>1800*3000</t>
  </si>
  <si>
    <t>2000*3000</t>
  </si>
  <si>
    <t>2950*3000</t>
  </si>
  <si>
    <t>3000*3000</t>
  </si>
  <si>
    <t>3100*3000</t>
  </si>
  <si>
    <t>3200*3000</t>
  </si>
  <si>
    <t>4000*3000</t>
  </si>
  <si>
    <t>3600*2750</t>
  </si>
  <si>
    <t>150系列普铝幕墙窗</t>
  </si>
  <si>
    <t>顶层玻璃幕</t>
  </si>
  <si>
    <t>150系列普铝幕墙窗+平开门</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</si>
  <si>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</si>
  <si>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</si>
  <si>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</si>
  <si>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</si>
  <si>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</si>
  <si>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</si>
  <si>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</si>
  <si>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</si>
  <si>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</si>
  <si>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</si>
  <si>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</si>
  <si>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</si>
  <si>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</si>
  <si>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</si>
  <si>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</si>
  <si>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</si>
  <si>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</si>
  <si>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</si>
  <si>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</si>
  <si>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</si>
  <si>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</si>
  <si>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</si>
  <si>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</si>
  <si>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</si>
  <si>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</si>
  <si>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</si>
  <si>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</si>
  <si>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</si>
  <si>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</si>
  <si>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</si>
  <si>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</si>
  <si>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</si>
  <si>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</si>
  <si>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</si>
  <si>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</si>
  <si>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</si>
  <si>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</si>
  <si>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</si>
  <si>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</si>
  <si>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</si>
  <si>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</si>
  <si>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</si>
  <si>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</si>
  <si>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</si>
  <si>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</si>
  <si>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</si>
  <si>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</si>
  <si>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</si>
  <si>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</si>
  <si>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</si>
  <si>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</si>
  <si>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</si>
  <si>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</si>
  <si>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</si>
  <si>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不含税综合单价</t>
  </si>
  <si>
    <t>(12+13)</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</si>
  <si>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</si>
  <si>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单层钢化磨砂玻璃6mm</t>
  </si>
  <si>
    <t>门窗单价分析表</t>
  </si>
  <si>
    <t>断桥60系列外平开窗</t>
  </si>
  <si>
    <t>粉末喷涂铝型材断桥铝型材</t>
  </si>
  <si>
    <t>5LOW-E单+9A+5+9A+5三玻两腔钢化</t>
  </si>
  <si>
    <t>6LOW-E单+9A+6+9A+6三玻两腔钢化</t>
  </si>
  <si>
    <t>8LOW-E单+9A+8+9A+8三玻两腔钢化</t>
  </si>
  <si>
    <t>5LOW-E单银+9A+5钢化玻璃</t>
  </si>
  <si>
    <r>
      <rPr>
        <sz val="9"/>
        <color theme="1"/>
        <rFont val="宋体"/>
        <charset val="134"/>
        <scheme val="minor"/>
      </rPr>
      <t>(12)×</t>
    </r>
    <r>
      <rPr>
        <u/>
        <sz val="9"/>
        <color theme="1"/>
        <rFont val="宋体"/>
        <charset val="134"/>
        <scheme val="minor"/>
      </rPr>
      <t xml:space="preserve"> 12  </t>
    </r>
    <r>
      <rPr>
        <sz val="9"/>
        <color theme="1"/>
        <rFont val="宋体"/>
        <charset val="134"/>
        <scheme val="minor"/>
      </rPr>
      <t>%</t>
    </r>
  </si>
  <si>
    <t>5LOW-E单银+9A+5+9A+6铯钾低辐射中空耐火钢化玻璃</t>
  </si>
  <si>
    <t>6LOW-E单银+9A+6+9A+6铯钾低辐射中空耐火钢化玻璃</t>
  </si>
  <si>
    <t>5+12A+5钢化双白玻</t>
  </si>
  <si>
    <t>5LOW-E单银+9A+5+9A+6铯钾低辐射中空玻璃</t>
  </si>
  <si>
    <t>60系列塑钢</t>
  </si>
  <si>
    <t>5+9A+5钢化双白玻</t>
  </si>
  <si>
    <t>5+9A+5中空玻璃</t>
  </si>
  <si>
    <t>6+9A+6钢化双白玻</t>
  </si>
  <si>
    <t>钢衬等</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</si>
  <si>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</si>
  <si>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</si>
  <si>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</si>
  <si>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</si>
  <si>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</si>
  <si>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</si>
  <si>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</si>
  <si>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</si>
  <si>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</si>
  <si>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</si>
  <si>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</si>
  <si>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</si>
  <si>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</si>
  <si>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</si>
  <si>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</si>
  <si>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</si>
  <si>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</si>
  <si>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</si>
  <si>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</si>
  <si>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</si>
  <si>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</si>
  <si>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</si>
  <si>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</si>
  <si>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</si>
  <si>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</si>
  <si>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</si>
  <si>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</si>
  <si>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</si>
  <si>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</si>
  <si>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</si>
  <si>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</si>
  <si>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</si>
  <si>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</si>
  <si>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</si>
  <si>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</si>
  <si>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</si>
  <si>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</si>
  <si>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</si>
  <si>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</si>
  <si>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</si>
  <si>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</si>
  <si>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</si>
  <si>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</si>
  <si>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</si>
  <si>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</si>
  <si>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</si>
  <si>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</si>
  <si>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</si>
  <si>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</si>
  <si>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</si>
  <si>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</si>
  <si>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</si>
  <si>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</si>
  <si>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</si>
  <si>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</si>
  <si>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</si>
  <si>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</si>
  <si>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</si>
  <si>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</si>
  <si>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</si>
  <si>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</si>
  <si>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</si>
  <si>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</si>
  <si>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</si>
  <si>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</si>
  <si>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</si>
  <si>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</si>
  <si>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</si>
  <si>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</si>
  <si>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</si>
  <si>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</si>
  <si>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</si>
  <si>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</si>
  <si>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</si>
  <si>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</si>
  <si>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</si>
  <si>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</si>
  <si>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</si>
  <si>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</si>
  <si>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</si>
  <si>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</si>
  <si>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</si>
  <si>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</si>
  <si>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</si>
  <si>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</si>
  <si>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</si>
  <si>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</si>
  <si>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</si>
  <si>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</si>
  <si>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</si>
  <si>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</si>
  <si>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</si>
  <si>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</si>
  <si>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</si>
  <si>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</si>
  <si>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</si>
  <si>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</si>
  <si>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</si>
  <si>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</si>
  <si>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</si>
  <si>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</si>
  <si>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</si>
  <si>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</si>
  <si>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 xml:space="preserve">  1#楼</t>
  </si>
  <si>
    <t>原设计做法</t>
  </si>
  <si>
    <t>60系列外平开</t>
  </si>
  <si>
    <t>C-1</t>
  </si>
  <si>
    <t>1-7层</t>
  </si>
  <si>
    <t>1.型材：60系列断桥铝合金外平开窗；
2.玻璃：5LOW-E单银+9A+5+9A+5低辐射中空玻璃，单片玻璃≥2m2需用6mm；</t>
  </si>
  <si>
    <t>8-26层</t>
  </si>
  <si>
    <t>60系列耐火外平开</t>
  </si>
  <si>
    <t>2-26层</t>
  </si>
  <si>
    <t>C-2</t>
  </si>
  <si>
    <t>3-7层</t>
  </si>
  <si>
    <t>1.型材：60系列断桥铝合金外平开窗；
2.玻璃：5LOW-E单银+9A+5+9A+5低辐射中空玻璃；</t>
  </si>
  <si>
    <t>C-2a</t>
  </si>
  <si>
    <t>1.型材：60系列断桥铝合金外平开窗；
2.玻璃：5LOW-E单银+9A+5+9A+5低辐射中空钢化玻璃，</t>
  </si>
  <si>
    <t>C-3</t>
  </si>
  <si>
    <t>1-26层</t>
  </si>
  <si>
    <t>2-7层</t>
  </si>
  <si>
    <t>C-4</t>
  </si>
  <si>
    <t>60系列外悬窗</t>
  </si>
  <si>
    <t>C-5</t>
  </si>
  <si>
    <t>1.型材：60系列断桥铝合金外悬窗；
2.玻璃：5LOW-E单银+9A+5+9A+5低辐射中空玻璃；</t>
  </si>
  <si>
    <t>C-6</t>
  </si>
  <si>
    <t>C-7</t>
  </si>
  <si>
    <t>2-26层楼梯间</t>
  </si>
  <si>
    <t>1.型材：50系列普铝固定窗；
2.玻璃：单层玻璃6mm；</t>
  </si>
  <si>
    <t>C-8</t>
  </si>
  <si>
    <t>屋顶</t>
  </si>
  <si>
    <t>1.型材：80系列普铝推拉窗；
2.玻璃：单层玻璃6mm；</t>
  </si>
  <si>
    <t>C-10</t>
  </si>
  <si>
    <t>商业</t>
  </si>
  <si>
    <t>C-6a</t>
  </si>
  <si>
    <t>1.型材：断桥铝合金60系列外平开窗；
2.玻璃：5LOW-E单银+9A+5+9A+5低辐射中空钢化玻璃，单片玻璃≥3m2需用8mm；</t>
  </si>
  <si>
    <t>TLM-1</t>
  </si>
  <si>
    <t>1.型材：90系列断桥铝推拉门；
2.玻璃：5LOW-E单银+9A+5低辐射中空玻璃；</t>
  </si>
  <si>
    <t>TLM-2</t>
  </si>
  <si>
    <t>1.型材：90系列断桥铝推拉门；
2.玻璃：6LOW-E单银+9A+6低辐射中空玻璃；</t>
  </si>
  <si>
    <t>MLC-1</t>
  </si>
  <si>
    <t>1.型材：100系列断桥铝地弹门；
2.玻璃：6LOW-E单银+9A+6低辐射中空玻璃；</t>
  </si>
  <si>
    <t>MLC-2</t>
  </si>
  <si>
    <t>MLC-3</t>
  </si>
  <si>
    <t>MLC-4</t>
  </si>
  <si>
    <t>MLC-5</t>
  </si>
  <si>
    <t>MLC-6</t>
  </si>
  <si>
    <t>MLC-7</t>
  </si>
  <si>
    <t>1.型2.玻璃：6mm+0.76PVB+6mm双白钢化夹胶玻璃，</t>
  </si>
  <si>
    <t>50系列普铝外平开</t>
  </si>
  <si>
    <t>1-26层候梯厅</t>
  </si>
  <si>
    <t>1.型材：50系列普铝外平开窗；
2.玻璃：单层玻璃6mm；</t>
  </si>
  <si>
    <t>机房层</t>
  </si>
  <si>
    <t>M-4</t>
  </si>
  <si>
    <t>8-23层</t>
  </si>
  <si>
    <t>C-15</t>
  </si>
  <si>
    <t>2-23层</t>
  </si>
  <si>
    <t>C-9</t>
  </si>
  <si>
    <t>1.型材：60系列断桥铝合金耐火外平开；
2.玻璃：5LOW-E单银+9A+5+9A+6铯钾低辐射中空玻璃，单片玻璃≥2m2需用6mm；</t>
  </si>
  <si>
    <t>1-23层</t>
  </si>
  <si>
    <t>C-13</t>
  </si>
  <si>
    <t>2-23层梯间</t>
  </si>
  <si>
    <t>C-7a</t>
  </si>
  <si>
    <t>1-23层候梯厅</t>
  </si>
  <si>
    <t>C-14</t>
  </si>
  <si>
    <t>C-11</t>
  </si>
  <si>
    <t>TLM-3</t>
  </si>
  <si>
    <t>1.型材：150系列普铝幕墙窗；
2.玻璃：6mm+0.76PVB+6mm双白钢化夹胶玻璃；</t>
  </si>
  <si>
    <t>8-13层</t>
  </si>
  <si>
    <t>2-13层梯间</t>
  </si>
  <si>
    <t>C-4a</t>
  </si>
  <si>
    <t>1-13层</t>
  </si>
  <si>
    <t>1.型材：60系列断桥铝合金外平开门；
2.玻璃：5LOW-E单银+9A+5+9A+5低辐射中空玻璃，</t>
  </si>
  <si>
    <t>TLM-4</t>
  </si>
  <si>
    <t>TLM-6</t>
  </si>
  <si>
    <t>TLM-7</t>
  </si>
  <si>
    <t>TLM-5</t>
  </si>
  <si>
    <t>M-3</t>
  </si>
  <si>
    <t>M-6</t>
  </si>
  <si>
    <t>1.型材：60系列隔热铝合金内开门；
2.玻璃：5+9A+5中空玻璃；</t>
  </si>
  <si>
    <t>负一层</t>
  </si>
  <si>
    <t>M-7</t>
  </si>
  <si>
    <t>顶层</t>
  </si>
  <si>
    <t>1.型材：150系列普铝幕墙窗+46系列地弹门；
2.玻璃：6mm+0.76PVB+6mm双白钢化夹胶玻璃；</t>
  </si>
  <si>
    <t>C-9a</t>
  </si>
  <si>
    <t>C-10a</t>
  </si>
  <si>
    <t>1.型材：60系列断桥铝合金外平开窗；
2.玻璃：5LOW-E单银+9A+5+9A+5低辐射中空玻璃,单片玻璃≥3m2需用8mm；</t>
  </si>
  <si>
    <t>C-13a</t>
  </si>
  <si>
    <t>C-16</t>
  </si>
  <si>
    <t>C-17</t>
  </si>
  <si>
    <t>C-18</t>
  </si>
  <si>
    <t>1.型材：60系列断桥铝合金外悬窗+90隔热推拉；
2.玻璃：5LOW-E单银+9A+5低辐射中空玻璃；</t>
  </si>
  <si>
    <t>C-19</t>
  </si>
  <si>
    <t>C-20</t>
  </si>
  <si>
    <t>C-21</t>
  </si>
  <si>
    <t>C-22</t>
  </si>
  <si>
    <t>C-23</t>
  </si>
  <si>
    <t>XFJC-21</t>
  </si>
  <si>
    <t>XFJC-20</t>
  </si>
  <si>
    <t>M-8</t>
  </si>
  <si>
    <t>1.型材：100系列隔热铝合金地弹门；
2.玻璃：6LOW-E单银+9A+6低辐射中空玻璃；</t>
  </si>
  <si>
    <t>M-9</t>
  </si>
  <si>
    <t>M-12</t>
  </si>
  <si>
    <t>1.型材：150系列普铝幕墙窗+46系列地弹门；
2.玻璃：6mm+0.76PVB+6mm双白钢化夹胶玻璃，</t>
  </si>
  <si>
    <t>8-11层</t>
  </si>
  <si>
    <t>2-11层</t>
  </si>
  <si>
    <t>1.型材：50系列普铝平开窗；
2.玻璃：单层钢化玻璃6mm；</t>
  </si>
  <si>
    <t>1.型材：50系列普铝平开窗；
2.玻璃：单层玻璃6mm；</t>
  </si>
  <si>
    <t>1-11层</t>
  </si>
  <si>
    <t>1.型材：150系列普铝幕墙窗
2.玻璃：6mm+0.76PVB+6mm双白钢化夹胶玻璃，</t>
  </si>
  <si>
    <t>120系列普铝幕墙窗+46系列地弹门</t>
  </si>
  <si>
    <t>1.型材：120系列普铝幕墙窗+46系列地弹门；
2.玻璃：6mm+0.76PVB+6mm双白钢化夹胶玻璃，</t>
  </si>
  <si>
    <t>120系列普铝幕墙窗</t>
  </si>
  <si>
    <t>1.型材：120系列普铝幕墙窗；
2.玻璃：6mm+0.76PVB+6mm双白钢化夹胶玻璃，</t>
  </si>
  <si>
    <t>1层</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</si>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</sst>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DBNum2][$-804]General"/>
  </numFmts>
  <fonts count="49">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sz val="9"/>
      <color rgb="FFFF0000"/>
      <name val="宋体"/>
      <charset val="134"/>
      <scheme val="minor"/>
    </font>
    <font>
      <sz val="12"/>
      <name val="宋体"/>
      <charset val="134"/>
    </font>
    <font>
      <sz val="9"/>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7"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8" borderId="15" applyNumberFormat="0" applyAlignment="0" applyProtection="0">
      <alignment vertical="center"/>
    </xf>
    <xf numFmtId="0" fontId="35" fillId="9" borderId="16" applyNumberFormat="0" applyAlignment="0" applyProtection="0">
      <alignment vertical="center"/>
    </xf>
    <xf numFmtId="0" fontId="36" fillId="9" borderId="15" applyNumberFormat="0" applyAlignment="0" applyProtection="0">
      <alignment vertical="center"/>
    </xf>
    <xf numFmtId="0" fontId="37" fillId="10"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4"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5" fillId="0" borderId="0">
      <alignment vertical="center"/>
    </xf>
    <xf numFmtId="176" fontId="45" fillId="0" borderId="1">
      <alignment horizontal="right" vertical="center" wrapText="1"/>
    </xf>
    <xf numFmtId="0" fontId="0" fillId="0" borderId="0">
      <alignment vertical="center"/>
    </xf>
    <xf numFmtId="0" fontId="45" fillId="0" borderId="0" applyProtection="0">
      <alignment vertical="center"/>
    </xf>
    <xf numFmtId="0" fontId="46" fillId="0" borderId="0">
      <alignment vertical="center"/>
    </xf>
    <xf numFmtId="176" fontId="45" fillId="0" borderId="1">
      <alignment horizontal="right" vertical="center" wrapText="1"/>
    </xf>
    <xf numFmtId="0" fontId="5" fillId="0" borderId="0"/>
    <xf numFmtId="0" fontId="5" fillId="0" borderId="0"/>
    <xf numFmtId="0" fontId="5" fillId="0" borderId="0">
      <alignment vertical="center"/>
    </xf>
    <xf numFmtId="0" fontId="46" fillId="0" borderId="0">
      <alignment vertical="center"/>
    </xf>
    <xf numFmtId="0" fontId="5" fillId="0" borderId="0"/>
    <xf numFmtId="0" fontId="5" fillId="0" borderId="0">
      <alignment vertical="center"/>
    </xf>
  </cellStyleXfs>
  <cellXfs count="18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2" fillId="2" borderId="3"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3" xfId="0" applyFont="1" applyBorder="1" applyAlignment="1">
      <alignment vertical="center" wrapText="1"/>
    </xf>
    <xf numFmtId="0" fontId="0" fillId="0" borderId="3" xfId="0" applyBorder="1">
      <alignment vertical="center"/>
    </xf>
    <xf numFmtId="0" fontId="4" fillId="0" borderId="1" xfId="0" applyFont="1" applyBorder="1">
      <alignment vertical="center"/>
    </xf>
    <xf numFmtId="0" fontId="4" fillId="0" borderId="1" xfId="0" applyFont="1" applyBorder="1" applyAlignment="1">
      <alignment vertical="center"/>
    </xf>
    <xf numFmtId="0" fontId="6"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lignment vertical="center"/>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7" fillId="0" borderId="0" xfId="59" applyFont="1" applyBorder="1" applyAlignment="1">
      <alignment horizontal="center" vertical="center"/>
    </xf>
    <xf numFmtId="0" fontId="9" fillId="0" borderId="1" xfId="57" applyFont="1" applyFill="1" applyBorder="1" applyAlignment="1">
      <alignment horizontal="center" vertical="center"/>
    </xf>
    <xf numFmtId="0" fontId="9" fillId="0" borderId="1" xfId="57" applyFont="1" applyFill="1" applyBorder="1" applyAlignment="1">
      <alignment horizontal="center"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2" xfId="57" applyFont="1" applyFill="1" applyBorder="1" applyAlignment="1">
      <alignment horizontal="center" vertical="center"/>
    </xf>
    <xf numFmtId="0" fontId="9" fillId="0" borderId="6" xfId="57" applyFont="1" applyFill="1" applyBorder="1" applyAlignment="1">
      <alignment horizontal="center" vertical="center"/>
    </xf>
    <xf numFmtId="0" fontId="9" fillId="0" borderId="5" xfId="57"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11" fillId="0" borderId="0" xfId="0" applyFont="1" applyFill="1" applyBorder="1" applyAlignment="1">
      <alignment horizontal="center" vertical="center"/>
    </xf>
    <xf numFmtId="0" fontId="12" fillId="0" borderId="8" xfId="58" applyNumberFormat="1" applyFont="1" applyFill="1" applyBorder="1" applyAlignment="1" applyProtection="1">
      <alignment horizontal="left" vertical="center" wrapText="1"/>
    </xf>
    <xf numFmtId="0" fontId="12" fillId="0" borderId="8" xfId="58"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3" fillId="0" borderId="1" xfId="0" applyFont="1" applyFill="1" applyBorder="1" applyAlignment="1">
      <alignment horizontal="center" vertical="center"/>
    </xf>
    <xf numFmtId="177" fontId="13" fillId="2" borderId="1" xfId="0" applyNumberFormat="1"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178" fontId="13"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5" fillId="0" borderId="0" xfId="0" applyFont="1" applyAlignment="1">
      <alignment horizontal="center" vertical="center"/>
    </xf>
    <xf numFmtId="176" fontId="3"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5" fillId="4" borderId="1" xfId="0" applyNumberFormat="1" applyFont="1" applyFill="1" applyBorder="1">
      <alignment vertical="center"/>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8" fontId="16" fillId="0" borderId="3" xfId="49" applyNumberFormat="1" applyFont="1" applyFill="1" applyBorder="1" applyAlignment="1">
      <alignment horizontal="center" vertical="center"/>
    </xf>
    <xf numFmtId="178" fontId="16" fillId="0" borderId="9"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7" fillId="0" borderId="1" xfId="0" applyFont="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4" borderId="1" xfId="0" applyNumberFormat="1" applyFont="1" applyFill="1" applyBorder="1" applyAlignment="1" applyProtection="1">
      <alignment vertical="center"/>
    </xf>
    <xf numFmtId="0" fontId="3" fillId="0" borderId="0" xfId="0" applyFont="1" applyAlignment="1">
      <alignment horizontal="center" vertical="center" wrapText="1"/>
    </xf>
    <xf numFmtId="176" fontId="3" fillId="0" borderId="0" xfId="0" applyNumberFormat="1" applyFont="1">
      <alignment vertical="center"/>
    </xf>
    <xf numFmtId="0" fontId="15" fillId="0" borderId="0" xfId="0" applyFont="1" applyAlignment="1">
      <alignment horizontal="center" vertical="center" wrapText="1"/>
    </xf>
    <xf numFmtId="178" fontId="2" fillId="2"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176" fontId="15" fillId="0" borderId="0" xfId="0" applyNumberFormat="1" applyFont="1" applyAlignment="1">
      <alignment horizontal="center" vertical="center"/>
    </xf>
    <xf numFmtId="176" fontId="2" fillId="2" borderId="1" xfId="0" applyNumberFormat="1"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9" fontId="2" fillId="2" borderId="5" xfId="3" applyNumberFormat="1" applyFont="1" applyFill="1" applyBorder="1" applyAlignment="1">
      <alignment horizontal="center" vertical="center" wrapText="1"/>
    </xf>
    <xf numFmtId="9" fontId="3" fillId="0" borderId="1" xfId="3" applyNumberFormat="1" applyFont="1" applyBorder="1" applyAlignment="1">
      <alignment horizontal="center" vertical="center"/>
    </xf>
    <xf numFmtId="0" fontId="4"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18" fillId="0" borderId="0" xfId="0" applyFont="1" applyFill="1">
      <alignment vertical="center"/>
    </xf>
    <xf numFmtId="0" fontId="18" fillId="0" borderId="0" xfId="0" applyFont="1" applyAlignment="1">
      <alignment horizontal="center" vertical="center"/>
    </xf>
    <xf numFmtId="0" fontId="18" fillId="0" borderId="0" xfId="0" applyFont="1">
      <alignment vertical="center"/>
    </xf>
    <xf numFmtId="176" fontId="18" fillId="0" borderId="0" xfId="0" applyNumberFormat="1" applyFont="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6" xfId="0" applyFont="1" applyFill="1" applyBorder="1" applyAlignment="1">
      <alignment horizontal="center" vertical="center" wrapText="1"/>
    </xf>
    <xf numFmtId="176" fontId="16" fillId="3" borderId="1" xfId="0" applyNumberFormat="1"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5" xfId="0" applyNumberFormat="1" applyFont="1" applyFill="1" applyBorder="1" applyAlignment="1">
      <alignment horizontal="center" vertical="center" wrapText="1"/>
    </xf>
    <xf numFmtId="176" fontId="18" fillId="0" borderId="1" xfId="0" applyNumberFormat="1" applyFont="1" applyBorder="1" applyAlignment="1">
      <alignment horizontal="center" vertical="center"/>
    </xf>
    <xf numFmtId="179" fontId="16"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6" fillId="2" borderId="1" xfId="0" applyNumberFormat="1" applyFont="1" applyFill="1" applyBorder="1" applyAlignment="1">
      <alignment vertical="center" wrapText="1"/>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 xfId="0" applyFont="1" applyFill="1" applyBorder="1" applyAlignment="1">
      <alignment horizontal="center" vertical="center"/>
    </xf>
    <xf numFmtId="176" fontId="16" fillId="2"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18" fillId="0" borderId="6" xfId="0" applyFont="1" applyFill="1" applyBorder="1" applyAlignment="1">
      <alignment horizontal="center" vertical="center"/>
    </xf>
    <xf numFmtId="0" fontId="20" fillId="0" borderId="0" xfId="52" applyFont="1" applyFill="1" applyBorder="1" applyAlignment="1" applyProtection="1">
      <alignment horizontal="center" vertical="center" wrapText="1"/>
    </xf>
    <xf numFmtId="49" fontId="16" fillId="6" borderId="1" xfId="50" applyNumberFormat="1" applyFont="1" applyFill="1" applyBorder="1" applyAlignment="1" applyProtection="1">
      <alignment horizontal="center" vertical="center"/>
    </xf>
    <xf numFmtId="176" fontId="16" fillId="6" borderId="1" xfId="50" applyFont="1" applyFill="1" applyBorder="1" applyAlignment="1" applyProtection="1">
      <alignment horizontal="left" vertical="center" wrapText="1"/>
    </xf>
    <xf numFmtId="0" fontId="16" fillId="0" borderId="1" xfId="51" applyFont="1" applyFill="1" applyBorder="1" applyAlignment="1" applyProtection="1">
      <alignment horizontal="center" vertical="center"/>
    </xf>
    <xf numFmtId="176" fontId="16" fillId="0" borderId="1" xfId="50" applyFont="1" applyFill="1" applyBorder="1" applyAlignment="1" applyProtection="1">
      <alignment horizontal="left" vertical="center" wrapText="1"/>
    </xf>
    <xf numFmtId="0" fontId="9" fillId="0" borderId="1" xfId="56" applyFont="1" applyFill="1" applyBorder="1" applyAlignment="1" applyProtection="1">
      <alignment horizontal="justify" vertical="center" wrapText="1"/>
    </xf>
    <xf numFmtId="0" fontId="16" fillId="0" borderId="1" xfId="52" applyFont="1" applyFill="1" applyBorder="1" applyAlignment="1" applyProtection="1">
      <alignment horizontal="center" vertical="center"/>
    </xf>
    <xf numFmtId="0" fontId="16" fillId="0" borderId="1" xfId="53" applyFont="1" applyFill="1" applyBorder="1" applyAlignment="1" applyProtection="1">
      <alignment vertical="center" wrapText="1"/>
    </xf>
    <xf numFmtId="0" fontId="16" fillId="0" borderId="1" xfId="53" applyFont="1" applyFill="1" applyBorder="1" applyAlignment="1" applyProtection="1">
      <alignment horizontal="left" vertical="center" wrapText="1"/>
    </xf>
    <xf numFmtId="176" fontId="16" fillId="0" borderId="1" xfId="54" applyFont="1" applyFill="1" applyBorder="1" applyAlignment="1" applyProtection="1">
      <alignment horizontal="left" vertical="center" wrapText="1"/>
    </xf>
    <xf numFmtId="176" fontId="16" fillId="0" borderId="1" xfId="50" applyFont="1" applyFill="1" applyBorder="1" applyAlignment="1" applyProtection="1">
      <alignment horizontal="left" vertical="top" wrapText="1"/>
    </xf>
    <xf numFmtId="0" fontId="16" fillId="0" borderId="1" xfId="0" applyFont="1" applyFill="1" applyBorder="1" applyAlignment="1">
      <alignment vertical="center"/>
    </xf>
    <xf numFmtId="0" fontId="16" fillId="0" borderId="0" xfId="0" applyFont="1" applyFill="1" applyBorder="1" applyAlignment="1">
      <alignment horizontal="center" vertical="center"/>
    </xf>
    <xf numFmtId="0" fontId="21" fillId="0" borderId="0" xfId="0" applyFont="1" applyFill="1" applyAlignment="1">
      <alignment horizontal="center" vertical="center"/>
    </xf>
    <xf numFmtId="0" fontId="0"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0" fontId="22" fillId="0" borderId="0" xfId="0" applyFont="1" applyFill="1" applyAlignment="1">
      <alignment horizontal="left" vertical="center"/>
    </xf>
    <xf numFmtId="0" fontId="24" fillId="0" borderId="0" xfId="0" applyFont="1" applyFill="1" applyAlignment="1">
      <alignment horizontal="center" vertical="center"/>
    </xf>
    <xf numFmtId="0" fontId="25" fillId="0" borderId="0" xfId="0" applyFont="1" applyFill="1" applyAlignment="1">
      <alignment horizontal="left" vertical="center"/>
    </xf>
    <xf numFmtId="177" fontId="25" fillId="0" borderId="8" xfId="0" applyNumberFormat="1" applyFont="1" applyFill="1" applyBorder="1" applyAlignment="1">
      <alignment horizontal="center" vertical="center"/>
    </xf>
    <xf numFmtId="0" fontId="25" fillId="0" borderId="8" xfId="0" applyFont="1" applyFill="1" applyBorder="1" applyAlignment="1">
      <alignment horizontal="center" vertical="center"/>
    </xf>
    <xf numFmtId="180" fontId="25" fillId="0" borderId="8" xfId="0" applyNumberFormat="1" applyFont="1" applyFill="1" applyBorder="1" applyAlignment="1">
      <alignment horizontal="center" vertical="center"/>
    </xf>
    <xf numFmtId="0" fontId="25"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5539105" y="596265"/>
          <a:ext cx="709295"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224780" y="9010650"/>
          <a:ext cx="862965"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32">
          <cell r="K32">
            <v>22.8</v>
          </cell>
        </row>
        <row r="33">
          <cell r="K33">
            <v>103.6</v>
          </cell>
        </row>
        <row r="50">
          <cell r="K50">
            <v>64.6</v>
          </cell>
        </row>
        <row r="51">
          <cell r="K51">
            <v>114</v>
          </cell>
        </row>
        <row r="83">
          <cell r="K83">
            <v>45.6</v>
          </cell>
        </row>
        <row r="84">
          <cell r="K84">
            <v>58.4</v>
          </cell>
        </row>
        <row r="85">
          <cell r="K85">
            <v>123.3</v>
          </cell>
        </row>
        <row r="114">
          <cell r="K114">
            <v>28.42</v>
          </cell>
        </row>
        <row r="115">
          <cell r="K115">
            <v>29.29</v>
          </cell>
        </row>
        <row r="116">
          <cell r="K116">
            <v>125.425</v>
          </cell>
        </row>
        <row r="167">
          <cell r="K167">
            <v>48.4</v>
          </cell>
        </row>
        <row r="168">
          <cell r="K168">
            <v>58.8</v>
          </cell>
        </row>
        <row r="169">
          <cell r="K169">
            <v>88.8</v>
          </cell>
        </row>
        <row r="195">
          <cell r="K195">
            <v>30.305</v>
          </cell>
        </row>
        <row r="196">
          <cell r="K196">
            <v>28.13</v>
          </cell>
        </row>
        <row r="197">
          <cell r="K197">
            <v>89.9</v>
          </cell>
        </row>
        <row r="198">
          <cell r="K198">
            <v>13.92</v>
          </cell>
        </row>
        <row r="199">
          <cell r="K199">
            <v>18.705</v>
          </cell>
        </row>
        <row r="225">
          <cell r="K225">
            <v>126.295</v>
          </cell>
        </row>
        <row r="226">
          <cell r="K226">
            <v>30.305</v>
          </cell>
        </row>
        <row r="227">
          <cell r="K227">
            <v>28.42</v>
          </cell>
        </row>
        <row r="253">
          <cell r="K253">
            <v>30.45</v>
          </cell>
        </row>
        <row r="254">
          <cell r="K254">
            <v>25.085</v>
          </cell>
        </row>
        <row r="255">
          <cell r="K255">
            <v>88.74</v>
          </cell>
        </row>
        <row r="256">
          <cell r="K256">
            <v>13.92</v>
          </cell>
        </row>
        <row r="257">
          <cell r="K257">
            <v>18.705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4" workbookViewId="0">
      <selection activeCell="H7" sqref="H7"/>
    </sheetView>
  </sheetViews>
  <sheetFormatPr defaultColWidth="9" defaultRowHeight="35.1" customHeight="1" outlineLevelCol="5"/>
  <cols>
    <col min="1" max="1" width="5.5" customWidth="1"/>
    <col min="2" max="2" width="29.25" customWidth="1"/>
    <col min="3" max="3" width="17.6296296296296" customWidth="1"/>
    <col min="4" max="4" width="11.75" customWidth="1"/>
    <col min="6" max="6" width="20.6296296296296" customWidth="1"/>
  </cols>
  <sheetData>
    <row r="1" ht="108" customHeight="1" spans="1:6">
      <c r="A1" s="169" t="s">
        <v>0</v>
      </c>
      <c r="B1" s="169"/>
      <c r="C1" s="169"/>
      <c r="D1" s="169"/>
      <c r="E1" s="169"/>
      <c r="F1" s="169"/>
    </row>
    <row r="2" ht="50.1" customHeight="1" spans="1:6">
      <c r="A2" s="170"/>
      <c r="B2" s="171" t="s">
        <v>1</v>
      </c>
      <c r="C2" s="172" t="s">
        <v>2</v>
      </c>
      <c r="D2" s="172"/>
      <c r="E2" s="172"/>
      <c r="F2" s="172"/>
    </row>
    <row r="3" ht="50.1" customHeight="1" spans="1:6">
      <c r="A3" s="170"/>
      <c r="B3" s="171" t="s">
        <v>3</v>
      </c>
      <c r="C3" s="172" t="s">
        <v>4</v>
      </c>
      <c r="D3" s="173"/>
      <c r="E3" s="173"/>
      <c r="F3" s="173"/>
    </row>
    <row r="4" ht="50.1" customHeight="1" spans="1:6">
      <c r="A4" s="170"/>
      <c r="B4" s="171"/>
      <c r="C4" s="171"/>
      <c r="D4" s="171"/>
      <c r="E4" s="171"/>
      <c r="F4" s="171"/>
    </row>
    <row r="5" ht="50.1" customHeight="1" spans="1:6">
      <c r="A5" s="170"/>
      <c r="B5" s="171"/>
      <c r="C5" s="171"/>
      <c r="D5" s="171"/>
      <c r="E5" s="171"/>
      <c r="F5" s="171"/>
    </row>
    <row r="6" ht="50.1" customHeight="1" spans="1:6">
      <c r="A6" s="174"/>
      <c r="B6" s="175" t="s">
        <v>5</v>
      </c>
      <c r="C6" s="176">
        <v>10380000</v>
      </c>
      <c r="D6" s="176"/>
      <c r="E6" s="176"/>
      <c r="F6" s="177" t="s">
        <v>6</v>
      </c>
    </row>
    <row r="7" ht="50.1" customHeight="1" spans="1:6">
      <c r="A7" s="174"/>
      <c r="B7" s="175" t="s">
        <v>7</v>
      </c>
      <c r="C7" s="178" t="s">
        <v>8</v>
      </c>
      <c r="D7" s="178"/>
      <c r="E7" s="178"/>
      <c r="F7" s="178"/>
    </row>
    <row r="8" ht="50.1" customHeight="1" spans="1:6">
      <c r="A8" s="174"/>
      <c r="B8" s="179"/>
      <c r="C8" s="179"/>
      <c r="D8" s="179"/>
      <c r="E8" s="179"/>
      <c r="F8" s="179"/>
    </row>
    <row r="9" ht="50.1" customHeight="1" spans="1:6">
      <c r="A9" s="174"/>
      <c r="B9" s="179"/>
      <c r="C9" s="179"/>
      <c r="D9" s="179"/>
      <c r="E9" s="179"/>
      <c r="F9" s="179"/>
    </row>
    <row r="10" ht="50.1" customHeight="1" spans="1:6">
      <c r="A10" s="174"/>
      <c r="B10" s="175" t="s">
        <v>9</v>
      </c>
      <c r="C10" s="172" t="s">
        <v>10</v>
      </c>
      <c r="D10" s="172"/>
      <c r="E10" s="172"/>
      <c r="F10" s="172"/>
    </row>
    <row r="11" ht="50.1" customHeight="1" spans="1:6">
      <c r="A11" s="174"/>
      <c r="B11" s="175" t="s">
        <v>11</v>
      </c>
      <c r="C11" s="172" t="s">
        <v>12</v>
      </c>
      <c r="D11" s="172"/>
      <c r="E11" s="172"/>
      <c r="F11" s="172"/>
    </row>
    <row r="12" ht="50.1" customHeight="1" spans="1:6">
      <c r="A12" s="174"/>
      <c r="B12" s="175" t="s">
        <v>13</v>
      </c>
      <c r="C12" s="172" t="s">
        <v>14</v>
      </c>
      <c r="D12" s="172"/>
      <c r="E12" s="172"/>
      <c r="F12" s="172"/>
    </row>
    <row r="13" customHeight="1" spans="1:1">
      <c r="A13" s="174"/>
    </row>
    <row r="14" ht="6" customHeight="1" spans="1:6">
      <c r="A14" s="170"/>
      <c r="B14" s="170"/>
      <c r="C14" s="170"/>
      <c r="D14" s="170"/>
      <c r="E14" s="170"/>
      <c r="F14" s="170"/>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1" workbookViewId="0">
      <selection activeCell="B17" sqref="B17"/>
    </sheetView>
  </sheetViews>
  <sheetFormatPr defaultColWidth="9" defaultRowHeight="24.95" customHeight="1" outlineLevelCol="1"/>
  <cols>
    <col min="2" max="2" width="91.8796296296296" customWidth="1"/>
  </cols>
  <sheetData>
    <row r="1" customHeight="1" spans="1:2">
      <c r="A1" s="156" t="s">
        <v>15</v>
      </c>
      <c r="B1" s="156"/>
    </row>
    <row r="2" customHeight="1" spans="1:2">
      <c r="A2" s="157" t="s">
        <v>16</v>
      </c>
      <c r="B2" s="158" t="s">
        <v>17</v>
      </c>
    </row>
    <row r="3" customHeight="1" spans="1:2">
      <c r="A3" s="159">
        <v>1.1</v>
      </c>
      <c r="B3" s="160" t="s">
        <v>18</v>
      </c>
    </row>
    <row r="4" customHeight="1" spans="1:2">
      <c r="A4" s="159">
        <v>1.2</v>
      </c>
      <c r="B4" s="160" t="s">
        <v>19</v>
      </c>
    </row>
    <row r="5" customHeight="1" spans="1:2">
      <c r="A5" s="159">
        <v>1.3</v>
      </c>
      <c r="B5" s="161" t="s">
        <v>20</v>
      </c>
    </row>
    <row r="6" customHeight="1" spans="1:2">
      <c r="A6" s="157" t="s">
        <v>21</v>
      </c>
      <c r="B6" s="158" t="s">
        <v>22</v>
      </c>
    </row>
    <row r="7" ht="45" customHeight="1" spans="1:2">
      <c r="A7" s="162">
        <v>2.1</v>
      </c>
      <c r="B7" s="160" t="s">
        <v>23</v>
      </c>
    </row>
    <row r="8" ht="45" customHeight="1" spans="1:2">
      <c r="A8" s="162">
        <v>2.2</v>
      </c>
      <c r="B8" s="160" t="s">
        <v>24</v>
      </c>
    </row>
    <row r="9" ht="72" customHeight="1" spans="1:2">
      <c r="A9" s="162">
        <v>2.3</v>
      </c>
      <c r="B9" s="163" t="s">
        <v>25</v>
      </c>
    </row>
    <row r="10" ht="63" customHeight="1" spans="1:2">
      <c r="A10" s="162">
        <v>2.4</v>
      </c>
      <c r="B10" s="163" t="s">
        <v>26</v>
      </c>
    </row>
    <row r="11" ht="45" customHeight="1" spans="1:2">
      <c r="A11" s="162">
        <v>2.5</v>
      </c>
      <c r="B11" s="163" t="s">
        <v>27</v>
      </c>
    </row>
    <row r="12" ht="42" customHeight="1" spans="1:2">
      <c r="A12" s="162">
        <v>2.6</v>
      </c>
      <c r="B12" s="163" t="s">
        <v>28</v>
      </c>
    </row>
    <row r="13" ht="54" customHeight="1" spans="1:2">
      <c r="A13" s="162">
        <v>2.7</v>
      </c>
      <c r="B13" s="164" t="s">
        <v>29</v>
      </c>
    </row>
    <row r="14" ht="30" customHeight="1" spans="1:2">
      <c r="A14" s="162">
        <v>2.8</v>
      </c>
      <c r="B14" s="165" t="s">
        <v>30</v>
      </c>
    </row>
    <row r="15" ht="32.1" customHeight="1" spans="1:2">
      <c r="A15" s="162">
        <v>2.9</v>
      </c>
      <c r="B15" s="163" t="s">
        <v>31</v>
      </c>
    </row>
    <row r="16" ht="24" customHeight="1" spans="1:2">
      <c r="A16" s="157" t="s">
        <v>32</v>
      </c>
      <c r="B16" s="158" t="s">
        <v>33</v>
      </c>
    </row>
    <row r="17" ht="282" customHeight="1" spans="1:2">
      <c r="A17" s="1">
        <v>3.1</v>
      </c>
      <c r="B17" s="166" t="s">
        <v>34</v>
      </c>
    </row>
    <row r="18" ht="32.1" customHeight="1" spans="1:2">
      <c r="A18" s="162">
        <v>3.2</v>
      </c>
      <c r="B18" s="160" t="s">
        <v>35</v>
      </c>
    </row>
    <row r="19" ht="29.1" customHeight="1" spans="1:2">
      <c r="A19" s="162">
        <v>3.3</v>
      </c>
      <c r="B19" s="167" t="s">
        <v>36</v>
      </c>
    </row>
    <row r="20" customHeight="1" spans="1:1">
      <c r="A20" s="168"/>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F5" sqref="F5"/>
    </sheetView>
  </sheetViews>
  <sheetFormatPr defaultColWidth="9" defaultRowHeight="30" customHeight="1"/>
  <cols>
    <col min="1" max="1" width="6.87962962962963" style="121" customWidth="1"/>
    <col min="2" max="2" width="12.1296296296296" style="122" customWidth="1"/>
    <col min="3" max="3" width="29.6296296296296" style="122" customWidth="1"/>
    <col min="4" max="4" width="12.75" style="123" customWidth="1"/>
    <col min="5" max="5" width="16.25" style="122" customWidth="1"/>
    <col min="6" max="6" width="19" style="122" customWidth="1"/>
    <col min="7" max="8" width="9" style="122"/>
    <col min="9" max="9" width="9.66666666666667" style="122"/>
    <col min="10" max="10" width="9" style="122"/>
    <col min="11" max="11" width="11.7777777777778" style="122"/>
    <col min="12" max="12" width="12.8888888888889" style="122"/>
    <col min="13" max="16384" width="9" style="122"/>
  </cols>
  <sheetData>
    <row r="1" customHeight="1" spans="1:7">
      <c r="A1" s="124" t="s">
        <v>37</v>
      </c>
      <c r="B1" s="124"/>
      <c r="C1" s="124"/>
      <c r="D1" s="125"/>
      <c r="E1" s="124"/>
      <c r="F1" s="124"/>
      <c r="G1" s="124"/>
    </row>
    <row r="2" customHeight="1" spans="1:7">
      <c r="A2" s="126" t="s">
        <v>38</v>
      </c>
      <c r="B2" s="126" t="s">
        <v>39</v>
      </c>
      <c r="C2" s="126" t="s">
        <v>40</v>
      </c>
      <c r="D2" s="127" t="s">
        <v>41</v>
      </c>
      <c r="E2" s="128" t="s">
        <v>42</v>
      </c>
      <c r="F2" s="128" t="s">
        <v>43</v>
      </c>
      <c r="G2" s="128" t="s">
        <v>44</v>
      </c>
    </row>
    <row r="3" customHeight="1" spans="1:7">
      <c r="A3" s="129"/>
      <c r="B3" s="129"/>
      <c r="C3" s="129"/>
      <c r="D3" s="130" t="s">
        <v>45</v>
      </c>
      <c r="E3" s="131" t="s">
        <v>46</v>
      </c>
      <c r="F3" s="131" t="s">
        <v>47</v>
      </c>
      <c r="G3" s="128"/>
    </row>
    <row r="4" customHeight="1" spans="1:7">
      <c r="A4" s="132" t="s">
        <v>16</v>
      </c>
      <c r="B4" s="132" t="s">
        <v>48</v>
      </c>
      <c r="C4" s="133"/>
      <c r="D4" s="132">
        <f>SUM(D5:D14)</f>
        <v>7435.205</v>
      </c>
      <c r="E4" s="132">
        <f>SUM(E5:E14)</f>
        <v>5811468.25916576</v>
      </c>
      <c r="F4" s="132">
        <f t="shared" ref="F4:F17" si="0">E4/D4</f>
        <v>781.615067663335</v>
      </c>
      <c r="G4" s="133"/>
    </row>
    <row r="5" ht="38" customHeight="1" spans="1:7">
      <c r="A5" s="128">
        <v>1.1</v>
      </c>
      <c r="B5" s="134" t="s">
        <v>49</v>
      </c>
      <c r="C5" s="12" t="s">
        <v>50</v>
      </c>
      <c r="D5" s="127">
        <f>工程量清单清单!E11+工程量清单清单!E12</f>
        <v>530.38</v>
      </c>
      <c r="E5" s="127">
        <f>工程量清单清单!R11+工程量清单清单!R12</f>
        <v>443331.54828618</v>
      </c>
      <c r="F5" s="127">
        <f t="shared" si="0"/>
        <v>835.87531258</v>
      </c>
      <c r="G5" s="135"/>
    </row>
    <row r="6" customHeight="1" spans="1:7">
      <c r="A6" s="136"/>
      <c r="B6" s="134"/>
      <c r="C6" s="12" t="s">
        <v>51</v>
      </c>
      <c r="D6" s="127">
        <f>工程量清单清单!E4+工程量清单清单!E5+工程量清单清单!E6+工程量清单清单!E7+工程量清单清单!E8+工程量清单清单!E9</f>
        <v>508.14</v>
      </c>
      <c r="E6" s="127">
        <f>工程量清单清单!R4+工程量清单清单!R5+工程量清单清单!R6+工程量清单清单!R7+工程量清单清单!R8+工程量清单清单!R9</f>
        <v>332280.864030412</v>
      </c>
      <c r="F6" s="137">
        <f t="shared" si="0"/>
        <v>653.915975972</v>
      </c>
      <c r="G6" s="128"/>
    </row>
    <row r="7" ht="40" customHeight="1" spans="1:7">
      <c r="A7" s="136"/>
      <c r="B7" s="134"/>
      <c r="C7" s="12" t="s">
        <v>52</v>
      </c>
      <c r="D7" s="127">
        <f>工程量清单清单!E13+工程量清单清单!E14+工程量清单清单!E15+工程量清单清单!E16+工程量清单清单!E17+工程量清单清单!E18+工程量清单清单!E19+工程量清单清单!E20+工程量清单清单!E21+工程量清单清单!E22+工程量清单清单!E23+工程量清单清单!E24</f>
        <v>2060.645</v>
      </c>
      <c r="E7" s="128">
        <f>工程量清单清单!R13+工程量清单清单!R14+工程量清单清单!R15+工程量清单清单!R16+工程量清单清单!R17+工程量清单清单!R18+工程量清单清单!R19+工程量清单清单!R20+工程量清单清单!R21+工程量清单清单!R22+工程量清单清单!R23+工程量清单清单!R24</f>
        <v>1526839.65342571</v>
      </c>
      <c r="F7" s="137">
        <f t="shared" si="0"/>
        <v>740.95230057856</v>
      </c>
      <c r="G7" s="128"/>
    </row>
    <row r="8" ht="45" customHeight="1" spans="1:7">
      <c r="A8" s="136"/>
      <c r="B8" s="134"/>
      <c r="C8" s="12" t="s">
        <v>53</v>
      </c>
      <c r="D8" s="127">
        <f>+工程量清单清单!E25+工程量清单清单!E26+工程量清单清单!E27</f>
        <v>1596.21</v>
      </c>
      <c r="E8" s="127">
        <f>+工程量清单清单!R25+工程量清单清单!R26+工程量清单清单!R27</f>
        <v>1182715.4717065</v>
      </c>
      <c r="F8" s="137">
        <f t="shared" si="0"/>
        <v>740.95230057856</v>
      </c>
      <c r="G8" s="128"/>
    </row>
    <row r="9" ht="48" customHeight="1" spans="1:7">
      <c r="A9" s="129"/>
      <c r="B9" s="134"/>
      <c r="C9" s="12" t="s">
        <v>54</v>
      </c>
      <c r="D9" s="127">
        <f>工程量清单清单!E28+工程量清单清单!E29+工程量清单清单!E30</f>
        <v>757.88</v>
      </c>
      <c r="E9" s="127">
        <f>工程量清单清单!R28+工程量清单清单!R29+工程量清单清单!R30</f>
        <v>561552.929562479</v>
      </c>
      <c r="F9" s="137">
        <f t="shared" si="0"/>
        <v>740.95230057856</v>
      </c>
      <c r="G9" s="128"/>
    </row>
    <row r="10" customHeight="1" spans="1:7">
      <c r="A10" s="138">
        <v>1.3</v>
      </c>
      <c r="B10" s="128" t="s">
        <v>55</v>
      </c>
      <c r="C10" s="12" t="s">
        <v>56</v>
      </c>
      <c r="D10" s="127">
        <f>工程量清单清单!E44+工程量清单清单!E45+工程量清单清单!E46</f>
        <v>358.92</v>
      </c>
      <c r="E10" s="127">
        <f>工程量清单清单!R44+工程量清单清单!R45+工程量清单清单!R46</f>
        <v>217620.266482806</v>
      </c>
      <c r="F10" s="137">
        <f t="shared" si="0"/>
        <v>606.319699328</v>
      </c>
      <c r="G10" s="128"/>
    </row>
    <row r="11" ht="40" customHeight="1" spans="1:7">
      <c r="A11" s="139"/>
      <c r="B11" s="128"/>
      <c r="C11" s="15" t="s">
        <v>57</v>
      </c>
      <c r="D11" s="127">
        <f>工程量清单清单!E47</f>
        <v>4.8</v>
      </c>
      <c r="E11" s="127">
        <f>工程量清单清单!R47</f>
        <v>3485.3072524247</v>
      </c>
      <c r="F11" s="137">
        <f t="shared" si="0"/>
        <v>726.10567758848</v>
      </c>
      <c r="G11" s="128"/>
    </row>
    <row r="12" ht="51" customHeight="1" spans="1:7">
      <c r="A12" s="138">
        <v>1.4</v>
      </c>
      <c r="B12" s="128" t="s">
        <v>58</v>
      </c>
      <c r="C12" s="12" t="s">
        <v>59</v>
      </c>
      <c r="D12" s="140">
        <f>工程量清单清单!E31+工程量清单清单!E32+工程量清单清单!E33+工程量清单清单!E34+工程量清单清单!E35+工程量清单清单!E36+工程量清单清单!E37+工程量清单清单!E38+工程量清单清单!E39</f>
        <v>1410.33</v>
      </c>
      <c r="E12" s="140">
        <f>工程量清单清单!R31+工程量清单清单!R32+工程量清单清单!R33+工程量清单清单!R34+工程量清单清单!R35+工程量清单清单!R36+工程量清单清单!R37+工程量清单清单!R38+工程量清单清单!R39</f>
        <v>1429691.76070254</v>
      </c>
      <c r="F12" s="137">
        <f t="shared" si="0"/>
        <v>1013.7285321184</v>
      </c>
      <c r="G12" s="135"/>
    </row>
    <row r="13" ht="48" customHeight="1" spans="1:7">
      <c r="A13" s="139"/>
      <c r="B13" s="128"/>
      <c r="C13" s="12" t="s">
        <v>60</v>
      </c>
      <c r="D13" s="140">
        <f>工程量清单清单!E40</f>
        <v>8.82</v>
      </c>
      <c r="E13" s="140">
        <f>工程量清单清单!R40</f>
        <v>6155.78466880339</v>
      </c>
      <c r="F13" s="127">
        <f t="shared" si="0"/>
        <v>697.9347697056</v>
      </c>
      <c r="G13" s="135"/>
    </row>
    <row r="14" customHeight="1" spans="1:7">
      <c r="A14" s="141">
        <v>1.5</v>
      </c>
      <c r="B14" s="128" t="s">
        <v>61</v>
      </c>
      <c r="C14" s="12" t="s">
        <v>62</v>
      </c>
      <c r="D14" s="127">
        <f>工程量清单清单!E10</f>
        <v>199.08</v>
      </c>
      <c r="E14" s="127">
        <f>工程量清单清单!R10</f>
        <v>107794.673047908</v>
      </c>
      <c r="F14" s="127">
        <f t="shared" si="0"/>
        <v>541.4641001</v>
      </c>
      <c r="G14" s="135"/>
    </row>
    <row r="15" customHeight="1" spans="1:7">
      <c r="A15" s="142" t="s">
        <v>21</v>
      </c>
      <c r="B15" s="132" t="s">
        <v>63</v>
      </c>
      <c r="C15" s="143"/>
      <c r="D15" s="142">
        <f>SUM(D16:D21)</f>
        <v>8835.49</v>
      </c>
      <c r="E15" s="142">
        <f>SUM(E16:E21)</f>
        <v>4959924.67494591</v>
      </c>
      <c r="F15" s="142">
        <f t="shared" si="0"/>
        <v>561.363849084307</v>
      </c>
      <c r="G15" s="133"/>
    </row>
    <row r="16" ht="42" customHeight="1" spans="1:7">
      <c r="A16" s="144">
        <v>2.1</v>
      </c>
      <c r="B16" s="144" t="s">
        <v>64</v>
      </c>
      <c r="C16" s="15" t="s">
        <v>65</v>
      </c>
      <c r="D16" s="127">
        <f>工程量清单清单!E48+工程量清单清单!E50</f>
        <v>985.02</v>
      </c>
      <c r="E16" s="127">
        <f>工程量清单清单!R48+工程量清单清单!R50</f>
        <v>556964.45717769</v>
      </c>
      <c r="F16" s="137">
        <f t="shared" si="0"/>
        <v>565.434668512</v>
      </c>
      <c r="G16" s="135"/>
    </row>
    <row r="17" ht="42" customHeight="1" spans="1:7">
      <c r="A17" s="145"/>
      <c r="B17" s="145"/>
      <c r="C17" s="24" t="s">
        <v>66</v>
      </c>
      <c r="D17" s="127">
        <f>工程量清单清单!E49</f>
        <v>253.92</v>
      </c>
      <c r="E17" s="127">
        <f>工程量清单清单!R49</f>
        <v>255404.386804177</v>
      </c>
      <c r="F17" s="137">
        <f t="shared" si="0"/>
        <v>1005.84588375936</v>
      </c>
      <c r="G17" s="135"/>
    </row>
    <row r="18" ht="42" customHeight="1" spans="1:7">
      <c r="A18" s="146">
        <v>2.2</v>
      </c>
      <c r="B18" s="145" t="s">
        <v>67</v>
      </c>
      <c r="C18" s="12" t="s">
        <v>68</v>
      </c>
      <c r="D18" s="127">
        <f>工程量清单清单!E51</f>
        <v>23.04</v>
      </c>
      <c r="E18" s="127">
        <f>工程量清单清单!R51</f>
        <v>55020.054464041</v>
      </c>
      <c r="F18" s="137">
        <f t="shared" ref="F18:F23" si="1">E18/D18</f>
        <v>2388.023197224</v>
      </c>
      <c r="G18" s="135"/>
    </row>
    <row r="19" customHeight="1" spans="1:7">
      <c r="A19" s="144">
        <v>2.3</v>
      </c>
      <c r="B19" s="147" t="s">
        <v>69</v>
      </c>
      <c r="C19" s="15" t="s">
        <v>70</v>
      </c>
      <c r="D19" s="140">
        <f>工程量清单清单!E52+工程量清单清单!E53+工程量清单清单!E54+工程量清单清单!E55+工程量清单清单!E56</f>
        <v>3956.905</v>
      </c>
      <c r="E19" s="140">
        <f>工程量清单清单!R52+工程量清单清单!R53+工程量清单清单!R54+工程量清单清单!R55+工程量清单清单!R56</f>
        <v>2109559.38838385</v>
      </c>
      <c r="F19" s="137">
        <f t="shared" si="1"/>
        <v>533.133696256</v>
      </c>
      <c r="G19" s="148"/>
    </row>
    <row r="20" customHeight="1" spans="1:7">
      <c r="A20" s="145"/>
      <c r="B20" s="149"/>
      <c r="C20" s="15" t="s">
        <v>71</v>
      </c>
      <c r="D20" s="127">
        <f>工程量清单清单!E57+工程量清单清单!E58</f>
        <v>3462.33</v>
      </c>
      <c r="E20" s="127">
        <f>工程量清单清单!R57+工程量清单清单!R58</f>
        <v>1845884.79055804</v>
      </c>
      <c r="F20" s="137">
        <f t="shared" si="1"/>
        <v>533.133696256</v>
      </c>
      <c r="G20" s="135"/>
    </row>
    <row r="21" customHeight="1" spans="1:7">
      <c r="A21" s="147">
        <v>2.4</v>
      </c>
      <c r="B21" s="128" t="s">
        <v>72</v>
      </c>
      <c r="C21" s="15" t="s">
        <v>73</v>
      </c>
      <c r="D21" s="127">
        <f>工程量清单清单!E59+工程量清单清单!E60+工程量清单清单!E61+工程量清单清单!E62+工程量清单清单!E63+工程量清单清单!E64+工程量清单清单!E65+工程量清单清单!E66+工程量清单清单!E67+工程量清单清单!E68</f>
        <v>154.275</v>
      </c>
      <c r="E21" s="127">
        <f>工程量清单清单!R59+工程量清单清单!R60+工程量清单清单!R61+工程量清单清单!R62+工程量清单清单!R63+工程量清单清单!R64+工程量清单清单!R65+工程量清单清单!R66+工程量清单清单!R67+工程量清单清单!R68</f>
        <v>137091.597558115</v>
      </c>
      <c r="F21" s="137">
        <f t="shared" si="1"/>
        <v>888.618360448</v>
      </c>
      <c r="G21" s="127"/>
    </row>
    <row r="22" customHeight="1" spans="1:7">
      <c r="A22" s="142" t="s">
        <v>32</v>
      </c>
      <c r="B22" s="132" t="s">
        <v>74</v>
      </c>
      <c r="C22" s="143"/>
      <c r="D22" s="150">
        <f>SUM(D23:D24)</f>
        <v>2036.79</v>
      </c>
      <c r="E22" s="150">
        <f>SUM(E23:E24)</f>
        <v>1866823.62580051</v>
      </c>
      <c r="F22" s="150">
        <f t="shared" si="1"/>
        <v>916.55184177088</v>
      </c>
      <c r="G22" s="150"/>
    </row>
    <row r="23" s="120" customFormat="1" ht="41.1" customHeight="1" spans="1:7">
      <c r="A23" s="151">
        <v>3.1</v>
      </c>
      <c r="B23" s="126" t="s">
        <v>75</v>
      </c>
      <c r="C23" s="12" t="s">
        <v>76</v>
      </c>
      <c r="D23" s="127">
        <f>工程量清单清单!E43</f>
        <v>640.5</v>
      </c>
      <c r="E23" s="127">
        <f>工程量清单清单!R43</f>
        <v>587051.454654249</v>
      </c>
      <c r="F23" s="137">
        <f t="shared" si="1"/>
        <v>916.55184177088</v>
      </c>
      <c r="G23" s="127"/>
    </row>
    <row r="24" s="120" customFormat="1" ht="50" customHeight="1" spans="1:7">
      <c r="A24" s="152"/>
      <c r="B24" s="129"/>
      <c r="C24" s="12" t="s">
        <v>77</v>
      </c>
      <c r="D24" s="127">
        <f>工程量清单清单!E41+工程量清单清单!E42</f>
        <v>1396.29</v>
      </c>
      <c r="E24" s="127">
        <f>工程量清单清单!R41+工程量清单清单!R42</f>
        <v>1279772.17114626</v>
      </c>
      <c r="F24" s="137">
        <f t="shared" ref="F24:F28" si="2">E24/D24</f>
        <v>916.55184177088</v>
      </c>
      <c r="G24" s="127"/>
    </row>
    <row r="25" s="120" customFormat="1" ht="44.1" customHeight="1" spans="1:7">
      <c r="A25" s="142" t="s">
        <v>78</v>
      </c>
      <c r="B25" s="153" t="s">
        <v>79</v>
      </c>
      <c r="C25" s="154"/>
      <c r="D25" s="150">
        <f>SUM(D26:D27)</f>
        <v>1454.315</v>
      </c>
      <c r="E25" s="150">
        <f>SUM(E26:E27)</f>
        <v>1350970.43808374</v>
      </c>
      <c r="F25" s="150">
        <f t="shared" si="2"/>
        <v>928.939355011633</v>
      </c>
      <c r="G25" s="150"/>
    </row>
    <row r="26" s="120" customFormat="1" ht="44.1" customHeight="1" spans="1:7">
      <c r="A26" s="155">
        <v>4.1</v>
      </c>
      <c r="B26" s="136" t="s">
        <v>79</v>
      </c>
      <c r="C26" s="12" t="s">
        <v>80</v>
      </c>
      <c r="D26" s="127">
        <f>工程量清单清单!E69</f>
        <v>27.84</v>
      </c>
      <c r="E26" s="127">
        <f>工程量清单清单!R69</f>
        <v>23323.7673847665</v>
      </c>
      <c r="F26" s="127">
        <f t="shared" si="2"/>
        <v>837.7790008896</v>
      </c>
      <c r="G26" s="127"/>
    </row>
    <row r="27" s="120" customFormat="1" ht="44.1" customHeight="1" spans="1:7">
      <c r="A27" s="152"/>
      <c r="B27" s="129"/>
      <c r="C27" s="115" t="s">
        <v>81</v>
      </c>
      <c r="D27" s="127">
        <f>工程量清单清单!E70</f>
        <v>1426.475</v>
      </c>
      <c r="E27" s="127">
        <f>工程量清单清单!R70</f>
        <v>1327646.67069898</v>
      </c>
      <c r="F27" s="127">
        <f t="shared" si="2"/>
        <v>930.7184988864</v>
      </c>
      <c r="G27" s="127"/>
    </row>
    <row r="28" customHeight="1" spans="1:12">
      <c r="A28" s="132" t="s">
        <v>82</v>
      </c>
      <c r="B28" s="132" t="s">
        <v>83</v>
      </c>
      <c r="C28" s="132"/>
      <c r="D28" s="150">
        <f>D15+D4+D22+D25</f>
        <v>19761.8</v>
      </c>
      <c r="E28" s="150">
        <f>E15+E4+E22+E25</f>
        <v>13989186.9979959</v>
      </c>
      <c r="F28" s="150">
        <f t="shared" si="2"/>
        <v>707.890323654522</v>
      </c>
      <c r="G28" s="133"/>
      <c r="I28" s="122">
        <v>10380000</v>
      </c>
      <c r="K28" s="122">
        <f>I28/1.09</f>
        <v>9522935.77981651</v>
      </c>
      <c r="L28" s="122">
        <f>K28*1.13*1.3</f>
        <v>13989192.6605505</v>
      </c>
    </row>
  </sheetData>
  <mergeCells count="18">
    <mergeCell ref="A1:G1"/>
    <mergeCell ref="A2:A3"/>
    <mergeCell ref="A6:A9"/>
    <mergeCell ref="A10:A11"/>
    <mergeCell ref="A12:A13"/>
    <mergeCell ref="A16:A17"/>
    <mergeCell ref="A19:A20"/>
    <mergeCell ref="A23:A24"/>
    <mergeCell ref="A26:A27"/>
    <mergeCell ref="B2:B3"/>
    <mergeCell ref="B6:B9"/>
    <mergeCell ref="B10:B11"/>
    <mergeCell ref="B12:B13"/>
    <mergeCell ref="B16:B17"/>
    <mergeCell ref="B19:B20"/>
    <mergeCell ref="B23:B24"/>
    <mergeCell ref="B26:B27"/>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2"/>
  <sheetViews>
    <sheetView tabSelected="1" topLeftCell="F1" workbookViewId="0">
      <pane ySplit="3" topLeftCell="A23" activePane="bottomLeft" state="frozen"/>
      <selection/>
      <selection pane="bottomLeft" activeCell="O9" sqref="O9"/>
    </sheetView>
  </sheetViews>
  <sheetFormatPr defaultColWidth="9" defaultRowHeight="35" customHeight="1"/>
  <cols>
    <col min="1" max="1" width="5.25" style="57" customWidth="1"/>
    <col min="2" max="2" width="14.3796296296296" style="104" customWidth="1"/>
    <col min="3" max="3" width="8.37962962962963" style="57" customWidth="1"/>
    <col min="4" max="4" width="30.25" style="57" customWidth="1"/>
    <col min="5" max="5" width="8.75" style="57" customWidth="1"/>
    <col min="6" max="13" width="9.75" style="57" customWidth="1" outlineLevel="1"/>
    <col min="14" max="14" width="7.75" style="57" customWidth="1" outlineLevel="1"/>
    <col min="15" max="15" width="13" style="105" customWidth="1"/>
    <col min="16" max="16" width="10.5" style="57" customWidth="1"/>
    <col min="17" max="17" width="13" style="57" customWidth="1"/>
    <col min="18" max="18" width="12.3796296296296" style="57" customWidth="1"/>
    <col min="19" max="27" width="7.62962962962963" style="57" customWidth="1" outlineLevel="1"/>
    <col min="28" max="16384" width="9" style="57"/>
  </cols>
  <sheetData>
    <row r="1" customHeight="1" spans="1:27">
      <c r="A1" s="76" t="s">
        <v>84</v>
      </c>
      <c r="B1" s="106"/>
      <c r="C1" s="76"/>
      <c r="D1" s="76"/>
      <c r="E1" s="76"/>
      <c r="F1" s="76"/>
      <c r="G1" s="76"/>
      <c r="H1" s="76"/>
      <c r="I1" s="76"/>
      <c r="J1" s="76"/>
      <c r="K1" s="76"/>
      <c r="L1" s="76"/>
      <c r="M1" s="76"/>
      <c r="N1" s="76"/>
      <c r="O1" s="110"/>
      <c r="P1" s="76"/>
      <c r="Q1" s="76"/>
      <c r="R1" s="76"/>
      <c r="S1" s="76"/>
      <c r="T1" s="76"/>
      <c r="U1" s="76"/>
      <c r="V1" s="76"/>
      <c r="W1" s="76"/>
      <c r="X1" s="76"/>
      <c r="Y1" s="76"/>
      <c r="Z1" s="76"/>
      <c r="AA1" s="76"/>
    </row>
    <row r="2" customHeight="1" spans="1:27">
      <c r="A2" s="4" t="s">
        <v>38</v>
      </c>
      <c r="B2" s="4" t="s">
        <v>85</v>
      </c>
      <c r="C2" s="5" t="s">
        <v>86</v>
      </c>
      <c r="D2" s="5" t="s">
        <v>40</v>
      </c>
      <c r="E2" s="107" t="s">
        <v>87</v>
      </c>
      <c r="F2" s="107" t="s">
        <v>88</v>
      </c>
      <c r="G2" s="107"/>
      <c r="H2" s="107"/>
      <c r="I2" s="107"/>
      <c r="J2" s="107"/>
      <c r="K2" s="107"/>
      <c r="L2" s="107"/>
      <c r="M2" s="107"/>
      <c r="N2" s="107"/>
      <c r="O2" s="111" t="s">
        <v>89</v>
      </c>
      <c r="P2" s="112" t="s">
        <v>90</v>
      </c>
      <c r="Q2" s="107" t="s">
        <v>91</v>
      </c>
      <c r="R2" s="107" t="s">
        <v>92</v>
      </c>
      <c r="S2" s="107" t="s">
        <v>93</v>
      </c>
      <c r="T2" s="107"/>
      <c r="U2" s="107"/>
      <c r="V2" s="107"/>
      <c r="W2" s="107"/>
      <c r="X2" s="107"/>
      <c r="Y2" s="107"/>
      <c r="Z2" s="107"/>
      <c r="AA2" s="107"/>
    </row>
    <row r="3" customHeight="1" spans="1:27">
      <c r="A3" s="4"/>
      <c r="B3" s="4"/>
      <c r="C3" s="5"/>
      <c r="D3" s="5"/>
      <c r="E3" s="107"/>
      <c r="F3" s="107" t="s">
        <v>94</v>
      </c>
      <c r="G3" s="107" t="s">
        <v>95</v>
      </c>
      <c r="H3" s="107" t="s">
        <v>96</v>
      </c>
      <c r="I3" s="107" t="s">
        <v>97</v>
      </c>
      <c r="J3" s="107" t="s">
        <v>98</v>
      </c>
      <c r="K3" s="107" t="s">
        <v>99</v>
      </c>
      <c r="L3" s="107" t="s">
        <v>100</v>
      </c>
      <c r="M3" s="107" t="s">
        <v>101</v>
      </c>
      <c r="N3" s="107" t="s">
        <v>102</v>
      </c>
      <c r="O3" s="111"/>
      <c r="P3" s="113">
        <v>0.13</v>
      </c>
      <c r="Q3" s="107"/>
      <c r="R3" s="107"/>
      <c r="S3" s="107" t="s">
        <v>94</v>
      </c>
      <c r="T3" s="107" t="s">
        <v>95</v>
      </c>
      <c r="U3" s="107" t="s">
        <v>96</v>
      </c>
      <c r="V3" s="107" t="s">
        <v>97</v>
      </c>
      <c r="W3" s="107" t="s">
        <v>98</v>
      </c>
      <c r="X3" s="107" t="s">
        <v>99</v>
      </c>
      <c r="Y3" s="107" t="s">
        <v>100</v>
      </c>
      <c r="Z3" s="107" t="s">
        <v>101</v>
      </c>
      <c r="AA3" s="107" t="s">
        <v>102</v>
      </c>
    </row>
    <row r="4" customHeight="1" spans="1:27">
      <c r="A4" s="9">
        <v>1</v>
      </c>
      <c r="B4" s="13" t="s">
        <v>103</v>
      </c>
      <c r="C4" s="12" t="s">
        <v>104</v>
      </c>
      <c r="D4" s="12" t="s">
        <v>51</v>
      </c>
      <c r="E4" s="9">
        <f t="shared" ref="E4:E12" si="0">SUM(F4:N4)</f>
        <v>131.04</v>
      </c>
      <c r="F4" s="9"/>
      <c r="G4" s="9"/>
      <c r="H4" s="9">
        <f>工程量计算数!K78+工程量计算数!K77</f>
        <v>57.96</v>
      </c>
      <c r="I4" s="9"/>
      <c r="J4" s="9">
        <f>工程量计算数!K144+工程量计算数!K143</f>
        <v>65.52</v>
      </c>
      <c r="K4" s="9">
        <f>工程量计算数!K186</f>
        <v>2.52</v>
      </c>
      <c r="L4" s="9">
        <f>工程量计算数!K216</f>
        <v>2.52</v>
      </c>
      <c r="M4" s="9">
        <f>工程量计算数!K244</f>
        <v>2.52</v>
      </c>
      <c r="N4" s="9"/>
      <c r="O4" s="77">
        <f>综合单价分析!I34</f>
        <v>578.6867044</v>
      </c>
      <c r="P4" s="114">
        <f t="shared" ref="P4:P13" si="1">$P$3</f>
        <v>0.13</v>
      </c>
      <c r="Q4" s="9">
        <f t="shared" ref="Q4:Q39" si="2">O4*(1+P4)</f>
        <v>653.915975972</v>
      </c>
      <c r="R4" s="9">
        <f t="shared" ref="R4:R39" si="3">E4*Q4</f>
        <v>85689.1494913709</v>
      </c>
      <c r="S4" s="11">
        <f>F4*Q4</f>
        <v>0</v>
      </c>
      <c r="T4" s="11">
        <f>G4*Q4</f>
        <v>0</v>
      </c>
      <c r="U4" s="11">
        <f>H4*Q4</f>
        <v>37900.9699673371</v>
      </c>
      <c r="V4" s="11">
        <f>I4*Q4</f>
        <v>0</v>
      </c>
      <c r="W4" s="11">
        <f>J4*Q4</f>
        <v>42844.5747456854</v>
      </c>
      <c r="X4" s="11">
        <f>K4*Q4</f>
        <v>1647.86825944944</v>
      </c>
      <c r="Y4" s="11">
        <f>L4*Q4</f>
        <v>1647.86825944944</v>
      </c>
      <c r="Z4" s="11">
        <f>M4*Q4</f>
        <v>1647.86825944944</v>
      </c>
      <c r="AA4" s="11">
        <f>N4*Q4</f>
        <v>0</v>
      </c>
    </row>
    <row r="5" customHeight="1" spans="1:27">
      <c r="A5" s="9">
        <v>2</v>
      </c>
      <c r="B5" s="13" t="s">
        <v>103</v>
      </c>
      <c r="C5" s="12" t="s">
        <v>105</v>
      </c>
      <c r="D5" s="12" t="s">
        <v>51</v>
      </c>
      <c r="E5" s="9">
        <f t="shared" si="0"/>
        <v>2.88</v>
      </c>
      <c r="F5" s="9"/>
      <c r="G5" s="9"/>
      <c r="H5" s="9"/>
      <c r="I5" s="9">
        <f>工程量计算数!K103</f>
        <v>2.88</v>
      </c>
      <c r="J5" s="9"/>
      <c r="K5" s="9"/>
      <c r="L5" s="9"/>
      <c r="M5" s="9"/>
      <c r="N5" s="9"/>
      <c r="O5" s="77">
        <f>综合单价分析!H34</f>
        <v>578.6867044</v>
      </c>
      <c r="P5" s="114">
        <f t="shared" si="1"/>
        <v>0.13</v>
      </c>
      <c r="Q5" s="9">
        <f t="shared" si="2"/>
        <v>653.915975972</v>
      </c>
      <c r="R5" s="9">
        <f t="shared" si="3"/>
        <v>1883.27801079936</v>
      </c>
      <c r="S5" s="11">
        <f t="shared" ref="S5:S39" si="4">F5*Q5</f>
        <v>0</v>
      </c>
      <c r="T5" s="11">
        <f t="shared" ref="T5:T39" si="5">G5*Q5</f>
        <v>0</v>
      </c>
      <c r="U5" s="11">
        <f t="shared" ref="U5:U39" si="6">H5*Q5</f>
        <v>0</v>
      </c>
      <c r="V5" s="11">
        <f t="shared" ref="V5:V39" si="7">I5*Q5</f>
        <v>1883.27801079936</v>
      </c>
      <c r="W5" s="11">
        <f t="shared" ref="W5:W39" si="8">J5*Q5</f>
        <v>0</v>
      </c>
      <c r="X5" s="11">
        <f t="shared" ref="X5:X39" si="9">K5*Q5</f>
        <v>0</v>
      </c>
      <c r="Y5" s="11">
        <f t="shared" ref="Y5:Y39" si="10">L5*Q5</f>
        <v>0</v>
      </c>
      <c r="Z5" s="11">
        <f t="shared" ref="Z5:Z39" si="11">M5*Q5</f>
        <v>0</v>
      </c>
      <c r="AA5" s="11">
        <f t="shared" ref="AA5:AA39" si="12">N5*Q5</f>
        <v>0</v>
      </c>
    </row>
    <row r="6" customHeight="1" spans="1:27">
      <c r="A6" s="9">
        <v>3</v>
      </c>
      <c r="B6" s="13" t="s">
        <v>103</v>
      </c>
      <c r="C6" s="12" t="s">
        <v>106</v>
      </c>
      <c r="D6" s="12" t="s">
        <v>51</v>
      </c>
      <c r="E6" s="9">
        <f t="shared" si="0"/>
        <v>102.48</v>
      </c>
      <c r="F6" s="9"/>
      <c r="G6" s="9">
        <f>工程量计算数!K44</f>
        <v>87.36</v>
      </c>
      <c r="H6" s="9">
        <f>工程量计算数!K74</f>
        <v>3.36</v>
      </c>
      <c r="I6" s="9"/>
      <c r="J6" s="9">
        <f>工程量计算数!K140</f>
        <v>11.76</v>
      </c>
      <c r="K6" s="9"/>
      <c r="L6" s="9"/>
      <c r="M6" s="9"/>
      <c r="N6" s="9"/>
      <c r="O6" s="77">
        <f>综合单价分析!H34</f>
        <v>578.6867044</v>
      </c>
      <c r="P6" s="114">
        <f t="shared" si="1"/>
        <v>0.13</v>
      </c>
      <c r="Q6" s="9">
        <f t="shared" si="2"/>
        <v>653.915975972</v>
      </c>
      <c r="R6" s="9">
        <f t="shared" si="3"/>
        <v>67013.3092176105</v>
      </c>
      <c r="S6" s="11">
        <f t="shared" si="4"/>
        <v>0</v>
      </c>
      <c r="T6" s="11">
        <f t="shared" si="5"/>
        <v>57126.0996609139</v>
      </c>
      <c r="U6" s="11">
        <f t="shared" si="6"/>
        <v>2197.15767926592</v>
      </c>
      <c r="V6" s="11">
        <f t="shared" si="7"/>
        <v>0</v>
      </c>
      <c r="W6" s="11">
        <f t="shared" si="8"/>
        <v>7690.05187743072</v>
      </c>
      <c r="X6" s="11">
        <f t="shared" si="9"/>
        <v>0</v>
      </c>
      <c r="Y6" s="11">
        <f t="shared" si="10"/>
        <v>0</v>
      </c>
      <c r="Z6" s="11">
        <f t="shared" si="11"/>
        <v>0</v>
      </c>
      <c r="AA6" s="11">
        <f t="shared" si="12"/>
        <v>0</v>
      </c>
    </row>
    <row r="7" customHeight="1" spans="1:27">
      <c r="A7" s="9">
        <v>4</v>
      </c>
      <c r="B7" s="13" t="s">
        <v>103</v>
      </c>
      <c r="C7" s="12" t="s">
        <v>107</v>
      </c>
      <c r="D7" s="12" t="s">
        <v>51</v>
      </c>
      <c r="E7" s="9">
        <f t="shared" si="0"/>
        <v>102.9</v>
      </c>
      <c r="F7" s="9"/>
      <c r="G7" s="9"/>
      <c r="H7" s="9">
        <f>工程量计算数!K76</f>
        <v>48.3</v>
      </c>
      <c r="I7" s="9">
        <v>0</v>
      </c>
      <c r="J7" s="9">
        <f>工程量计算数!K142</f>
        <v>54.6</v>
      </c>
      <c r="K7" s="9"/>
      <c r="L7" s="9"/>
      <c r="M7" s="9"/>
      <c r="N7" s="9"/>
      <c r="O7" s="77">
        <f>综合单价分析!H34</f>
        <v>578.6867044</v>
      </c>
      <c r="P7" s="114">
        <f t="shared" si="1"/>
        <v>0.13</v>
      </c>
      <c r="Q7" s="9">
        <f t="shared" si="2"/>
        <v>653.915975972</v>
      </c>
      <c r="R7" s="9">
        <f t="shared" si="3"/>
        <v>67287.9539275188</v>
      </c>
      <c r="S7" s="11">
        <f t="shared" si="4"/>
        <v>0</v>
      </c>
      <c r="T7" s="11">
        <f t="shared" si="5"/>
        <v>0</v>
      </c>
      <c r="U7" s="11">
        <f t="shared" si="6"/>
        <v>31584.1416394476</v>
      </c>
      <c r="V7" s="11">
        <f t="shared" si="7"/>
        <v>0</v>
      </c>
      <c r="W7" s="11">
        <f t="shared" si="8"/>
        <v>35703.8122880712</v>
      </c>
      <c r="X7" s="11">
        <f t="shared" si="9"/>
        <v>0</v>
      </c>
      <c r="Y7" s="11">
        <f t="shared" si="10"/>
        <v>0</v>
      </c>
      <c r="Z7" s="11">
        <f t="shared" si="11"/>
        <v>0</v>
      </c>
      <c r="AA7" s="11">
        <f t="shared" si="12"/>
        <v>0</v>
      </c>
    </row>
    <row r="8" customHeight="1" spans="1:27">
      <c r="A8" s="9">
        <v>5</v>
      </c>
      <c r="B8" s="13" t="s">
        <v>103</v>
      </c>
      <c r="C8" s="12" t="s">
        <v>108</v>
      </c>
      <c r="D8" s="12" t="s">
        <v>51</v>
      </c>
      <c r="E8" s="9">
        <f t="shared" si="0"/>
        <v>3.6</v>
      </c>
      <c r="F8" s="9"/>
      <c r="G8" s="9"/>
      <c r="H8" s="9"/>
      <c r="I8" s="9">
        <f>工程量计算数!K104</f>
        <v>3.6</v>
      </c>
      <c r="J8" s="9"/>
      <c r="K8" s="9"/>
      <c r="L8" s="9"/>
      <c r="M8" s="9"/>
      <c r="N8" s="9"/>
      <c r="O8" s="77">
        <f>综合单价分析!H34</f>
        <v>578.6867044</v>
      </c>
      <c r="P8" s="114">
        <f t="shared" si="1"/>
        <v>0.13</v>
      </c>
      <c r="Q8" s="9">
        <f t="shared" si="2"/>
        <v>653.915975972</v>
      </c>
      <c r="R8" s="9">
        <f t="shared" si="3"/>
        <v>2354.0975134992</v>
      </c>
      <c r="S8" s="11">
        <f t="shared" si="4"/>
        <v>0</v>
      </c>
      <c r="T8" s="11">
        <f t="shared" si="5"/>
        <v>0</v>
      </c>
      <c r="U8" s="11">
        <f t="shared" si="6"/>
        <v>0</v>
      </c>
      <c r="V8" s="11">
        <f t="shared" si="7"/>
        <v>2354.0975134992</v>
      </c>
      <c r="W8" s="11">
        <f t="shared" si="8"/>
        <v>0</v>
      </c>
      <c r="X8" s="11">
        <f t="shared" si="9"/>
        <v>0</v>
      </c>
      <c r="Y8" s="11">
        <f t="shared" si="10"/>
        <v>0</v>
      </c>
      <c r="Z8" s="11">
        <f t="shared" si="11"/>
        <v>0</v>
      </c>
      <c r="AA8" s="11">
        <f t="shared" si="12"/>
        <v>0</v>
      </c>
    </row>
    <row r="9" customHeight="1" spans="1:27">
      <c r="A9" s="9">
        <v>6</v>
      </c>
      <c r="B9" s="13" t="s">
        <v>103</v>
      </c>
      <c r="C9" s="12" t="s">
        <v>109</v>
      </c>
      <c r="D9" s="12" t="s">
        <v>51</v>
      </c>
      <c r="E9" s="9">
        <f t="shared" si="0"/>
        <v>165.24</v>
      </c>
      <c r="F9" s="9"/>
      <c r="G9" s="9"/>
      <c r="H9" s="9">
        <f>工程量计算数!K75</f>
        <v>73.44</v>
      </c>
      <c r="I9" s="9"/>
      <c r="J9" s="9">
        <f>工程量计算数!K141</f>
        <v>91.8</v>
      </c>
      <c r="K9" s="9"/>
      <c r="L9" s="9"/>
      <c r="M9" s="9"/>
      <c r="N9" s="9"/>
      <c r="O9" s="77">
        <f>综合单价分析!H34</f>
        <v>578.6867044</v>
      </c>
      <c r="P9" s="114">
        <f t="shared" si="1"/>
        <v>0.13</v>
      </c>
      <c r="Q9" s="9">
        <f t="shared" si="2"/>
        <v>653.915975972</v>
      </c>
      <c r="R9" s="9">
        <f t="shared" si="3"/>
        <v>108053.075869613</v>
      </c>
      <c r="S9" s="11">
        <f t="shared" si="4"/>
        <v>0</v>
      </c>
      <c r="T9" s="11">
        <f t="shared" si="5"/>
        <v>0</v>
      </c>
      <c r="U9" s="11">
        <f t="shared" si="6"/>
        <v>48023.5892753837</v>
      </c>
      <c r="V9" s="11">
        <f t="shared" si="7"/>
        <v>0</v>
      </c>
      <c r="W9" s="11">
        <f t="shared" si="8"/>
        <v>60029.4865942296</v>
      </c>
      <c r="X9" s="11">
        <f t="shared" si="9"/>
        <v>0</v>
      </c>
      <c r="Y9" s="11">
        <f t="shared" si="10"/>
        <v>0</v>
      </c>
      <c r="Z9" s="11">
        <f t="shared" si="11"/>
        <v>0</v>
      </c>
      <c r="AA9" s="11">
        <f t="shared" si="12"/>
        <v>0</v>
      </c>
    </row>
    <row r="10" customHeight="1" spans="1:27">
      <c r="A10" s="9">
        <v>7</v>
      </c>
      <c r="B10" s="13" t="s">
        <v>110</v>
      </c>
      <c r="C10" s="11" t="s">
        <v>104</v>
      </c>
      <c r="D10" s="12" t="s">
        <v>62</v>
      </c>
      <c r="E10" s="9">
        <f t="shared" si="0"/>
        <v>199.08</v>
      </c>
      <c r="F10" s="9">
        <f>工程量计算数!K19</f>
        <v>65.52</v>
      </c>
      <c r="G10" s="9">
        <f>工程量计算数!K45</f>
        <v>131.04</v>
      </c>
      <c r="H10" s="9"/>
      <c r="I10" s="9">
        <f>工程量计算数!K102</f>
        <v>2.52</v>
      </c>
      <c r="J10" s="9"/>
      <c r="K10" s="9"/>
      <c r="L10" s="9"/>
      <c r="M10" s="9"/>
      <c r="N10" s="9"/>
      <c r="O10" s="77">
        <f>综合单价分析!H67</f>
        <v>479.17177</v>
      </c>
      <c r="P10" s="114">
        <f t="shared" si="1"/>
        <v>0.13</v>
      </c>
      <c r="Q10" s="9">
        <f t="shared" si="2"/>
        <v>541.4641001</v>
      </c>
      <c r="R10" s="9">
        <f t="shared" si="3"/>
        <v>107794.673047908</v>
      </c>
      <c r="S10" s="11">
        <f t="shared" si="4"/>
        <v>35476.727838552</v>
      </c>
      <c r="T10" s="11">
        <f t="shared" si="5"/>
        <v>70953.455677104</v>
      </c>
      <c r="U10" s="11">
        <f t="shared" si="6"/>
        <v>0</v>
      </c>
      <c r="V10" s="11">
        <f t="shared" si="7"/>
        <v>1364.489532252</v>
      </c>
      <c r="W10" s="11">
        <f t="shared" si="8"/>
        <v>0</v>
      </c>
      <c r="X10" s="11">
        <f t="shared" si="9"/>
        <v>0</v>
      </c>
      <c r="Y10" s="11">
        <f t="shared" si="10"/>
        <v>0</v>
      </c>
      <c r="Z10" s="11">
        <f t="shared" si="11"/>
        <v>0</v>
      </c>
      <c r="AA10" s="11">
        <f t="shared" si="12"/>
        <v>0</v>
      </c>
    </row>
    <row r="11" customHeight="1" spans="1:27">
      <c r="A11" s="9">
        <v>8</v>
      </c>
      <c r="B11" s="13" t="s">
        <v>111</v>
      </c>
      <c r="C11" s="11" t="s">
        <v>112</v>
      </c>
      <c r="D11" s="12" t="s">
        <v>50</v>
      </c>
      <c r="E11" s="9">
        <f t="shared" si="0"/>
        <v>527.5</v>
      </c>
      <c r="F11" s="9"/>
      <c r="G11" s="9">
        <f>工程量计算数!K47</f>
        <v>180.5</v>
      </c>
      <c r="H11" s="9">
        <f>工程量计算数!K79</f>
        <v>138</v>
      </c>
      <c r="I11" s="9">
        <f>工程量计算数!K105</f>
        <v>26</v>
      </c>
      <c r="J11" s="9">
        <f>工程量计算数!K145</f>
        <v>128</v>
      </c>
      <c r="K11" s="9">
        <f>工程量计算数!K187</f>
        <v>16.5</v>
      </c>
      <c r="L11" s="9">
        <f>工程量计算数!K217</f>
        <v>16.5</v>
      </c>
      <c r="M11" s="9">
        <f>工程量计算数!K245</f>
        <v>22</v>
      </c>
      <c r="N11" s="9"/>
      <c r="O11" s="77">
        <f>综合单价分析!H100</f>
        <v>739.712666</v>
      </c>
      <c r="P11" s="114">
        <f t="shared" si="1"/>
        <v>0.13</v>
      </c>
      <c r="Q11" s="9">
        <f t="shared" si="2"/>
        <v>835.87531258</v>
      </c>
      <c r="R11" s="9">
        <f t="shared" si="3"/>
        <v>440924.22738595</v>
      </c>
      <c r="S11" s="11">
        <f t="shared" si="4"/>
        <v>0</v>
      </c>
      <c r="T11" s="11">
        <f t="shared" si="5"/>
        <v>150875.49392069</v>
      </c>
      <c r="U11" s="11">
        <f t="shared" si="6"/>
        <v>115350.79313604</v>
      </c>
      <c r="V11" s="11">
        <f t="shared" si="7"/>
        <v>21732.75812708</v>
      </c>
      <c r="W11" s="11">
        <f t="shared" si="8"/>
        <v>106992.04001024</v>
      </c>
      <c r="X11" s="11">
        <f t="shared" si="9"/>
        <v>13791.94265757</v>
      </c>
      <c r="Y11" s="11">
        <f t="shared" si="10"/>
        <v>13791.94265757</v>
      </c>
      <c r="Z11" s="11">
        <f t="shared" si="11"/>
        <v>18389.25687676</v>
      </c>
      <c r="AA11" s="11">
        <f t="shared" si="12"/>
        <v>0</v>
      </c>
    </row>
    <row r="12" customHeight="1" spans="1:27">
      <c r="A12" s="9">
        <v>9</v>
      </c>
      <c r="B12" s="13" t="s">
        <v>111</v>
      </c>
      <c r="C12" s="11" t="s">
        <v>113</v>
      </c>
      <c r="D12" s="12" t="s">
        <v>50</v>
      </c>
      <c r="E12" s="9">
        <f t="shared" si="0"/>
        <v>2.88</v>
      </c>
      <c r="F12" s="9"/>
      <c r="G12" s="9"/>
      <c r="H12" s="9"/>
      <c r="I12" s="9">
        <f>工程量计算数!K113</f>
        <v>2.88</v>
      </c>
      <c r="J12" s="9"/>
      <c r="K12" s="9"/>
      <c r="L12" s="9"/>
      <c r="M12" s="9"/>
      <c r="N12" s="9"/>
      <c r="O12" s="77">
        <f>综合单价分析!H100</f>
        <v>739.712666</v>
      </c>
      <c r="P12" s="114">
        <f t="shared" si="1"/>
        <v>0.13</v>
      </c>
      <c r="Q12" s="9">
        <f t="shared" si="2"/>
        <v>835.87531258</v>
      </c>
      <c r="R12" s="9">
        <f t="shared" si="3"/>
        <v>2407.3209002304</v>
      </c>
      <c r="S12" s="11">
        <f t="shared" si="4"/>
        <v>0</v>
      </c>
      <c r="T12" s="11">
        <f t="shared" si="5"/>
        <v>0</v>
      </c>
      <c r="U12" s="11">
        <f t="shared" si="6"/>
        <v>0</v>
      </c>
      <c r="V12" s="11">
        <f t="shared" si="7"/>
        <v>2407.3209002304</v>
      </c>
      <c r="W12" s="11">
        <f t="shared" si="8"/>
        <v>0</v>
      </c>
      <c r="X12" s="11">
        <f t="shared" si="9"/>
        <v>0</v>
      </c>
      <c r="Y12" s="11">
        <f t="shared" si="10"/>
        <v>0</v>
      </c>
      <c r="Z12" s="11">
        <f t="shared" si="11"/>
        <v>0</v>
      </c>
      <c r="AA12" s="11">
        <f t="shared" si="12"/>
        <v>0</v>
      </c>
    </row>
    <row r="13" customHeight="1" spans="1:27">
      <c r="A13" s="9">
        <v>10</v>
      </c>
      <c r="B13" s="13" t="s">
        <v>114</v>
      </c>
      <c r="C13" s="11" t="s">
        <v>115</v>
      </c>
      <c r="D13" s="12" t="s">
        <v>116</v>
      </c>
      <c r="E13" s="9">
        <f t="shared" ref="E13:E30" si="13">SUM(F13:N13)</f>
        <v>220.5</v>
      </c>
      <c r="F13" s="9">
        <f>工程量计算数!K7+工程量计算数!K8</f>
        <v>75.6</v>
      </c>
      <c r="G13" s="9"/>
      <c r="H13" s="9">
        <f>工程量计算数!K71+工程量计算数!K72</f>
        <v>69.3</v>
      </c>
      <c r="I13" s="9"/>
      <c r="J13" s="9">
        <f>工程量计算数!K136+工程量计算数!K137</f>
        <v>75.6</v>
      </c>
      <c r="K13" s="9"/>
      <c r="L13" s="9"/>
      <c r="M13" s="9"/>
      <c r="N13" s="9"/>
      <c r="O13" s="77">
        <f>综合单价分析!H138</f>
        <v>655.710000512</v>
      </c>
      <c r="P13" s="114">
        <f t="shared" si="1"/>
        <v>0.13</v>
      </c>
      <c r="Q13" s="9">
        <f t="shared" si="2"/>
        <v>740.95230057856</v>
      </c>
      <c r="R13" s="9">
        <f t="shared" si="3"/>
        <v>163379.982277572</v>
      </c>
      <c r="S13" s="11">
        <f t="shared" si="4"/>
        <v>56015.9939237391</v>
      </c>
      <c r="T13" s="11">
        <f t="shared" si="5"/>
        <v>0</v>
      </c>
      <c r="U13" s="11">
        <f t="shared" si="6"/>
        <v>51347.9944300942</v>
      </c>
      <c r="V13" s="11">
        <f t="shared" si="7"/>
        <v>0</v>
      </c>
      <c r="W13" s="11">
        <f t="shared" si="8"/>
        <v>56015.9939237391</v>
      </c>
      <c r="X13" s="11">
        <f t="shared" si="9"/>
        <v>0</v>
      </c>
      <c r="Y13" s="11">
        <f t="shared" si="10"/>
        <v>0</v>
      </c>
      <c r="Z13" s="11">
        <f t="shared" si="11"/>
        <v>0</v>
      </c>
      <c r="AA13" s="11">
        <f t="shared" si="12"/>
        <v>0</v>
      </c>
    </row>
    <row r="14" customHeight="1" spans="1:27">
      <c r="A14" s="9">
        <v>11</v>
      </c>
      <c r="B14" s="13" t="s">
        <v>114</v>
      </c>
      <c r="C14" s="11" t="s">
        <v>107</v>
      </c>
      <c r="D14" s="108" t="s">
        <v>116</v>
      </c>
      <c r="E14" s="9">
        <f t="shared" si="13"/>
        <v>163.8</v>
      </c>
      <c r="F14" s="9">
        <f>工程量计算数!K11+工程量计算数!K12</f>
        <v>52.5</v>
      </c>
      <c r="G14" s="9"/>
      <c r="H14" s="9">
        <f>工程量计算数!K67+工程量计算数!K68</f>
        <v>96.6</v>
      </c>
      <c r="I14" s="9"/>
      <c r="J14" s="9">
        <f>工程量计算数!K146</f>
        <v>14.7</v>
      </c>
      <c r="K14" s="9"/>
      <c r="L14" s="9"/>
      <c r="M14" s="9"/>
      <c r="N14" s="9"/>
      <c r="O14" s="77">
        <f>综合单价分析!H138</f>
        <v>655.710000512</v>
      </c>
      <c r="P14" s="114">
        <f t="shared" ref="P14:P31" si="14">$P$3</f>
        <v>0.13</v>
      </c>
      <c r="Q14" s="9">
        <f t="shared" si="2"/>
        <v>740.95230057856</v>
      </c>
      <c r="R14" s="9">
        <f t="shared" si="3"/>
        <v>121367.986834768</v>
      </c>
      <c r="S14" s="11">
        <f t="shared" si="4"/>
        <v>38899.9957803744</v>
      </c>
      <c r="T14" s="11">
        <f t="shared" si="5"/>
        <v>0</v>
      </c>
      <c r="U14" s="11">
        <f t="shared" si="6"/>
        <v>71575.9922358889</v>
      </c>
      <c r="V14" s="11">
        <f t="shared" si="7"/>
        <v>0</v>
      </c>
      <c r="W14" s="11">
        <f t="shared" si="8"/>
        <v>10891.9988185048</v>
      </c>
      <c r="X14" s="11">
        <f t="shared" si="9"/>
        <v>0</v>
      </c>
      <c r="Y14" s="11">
        <f t="shared" si="10"/>
        <v>0</v>
      </c>
      <c r="Z14" s="11">
        <f t="shared" si="11"/>
        <v>0</v>
      </c>
      <c r="AA14" s="11">
        <f t="shared" si="12"/>
        <v>0</v>
      </c>
    </row>
    <row r="15" customHeight="1" spans="1:27">
      <c r="A15" s="9">
        <v>12</v>
      </c>
      <c r="B15" s="13" t="s">
        <v>114</v>
      </c>
      <c r="C15" s="11" t="s">
        <v>117</v>
      </c>
      <c r="D15" s="12" t="s">
        <v>116</v>
      </c>
      <c r="E15" s="77">
        <f t="shared" si="13"/>
        <v>276.225</v>
      </c>
      <c r="F15" s="9"/>
      <c r="G15" s="9"/>
      <c r="H15" s="9"/>
      <c r="I15" s="9">
        <f>工程量计算数!K95+工程量计算数!K96</f>
        <v>84.825</v>
      </c>
      <c r="J15" s="9"/>
      <c r="K15" s="9">
        <f>工程量计算数!K179+工程量计算数!K180</f>
        <v>71.775</v>
      </c>
      <c r="L15" s="9">
        <f>工程量计算数!K209+工程量计算数!K210</f>
        <v>71.775</v>
      </c>
      <c r="M15" s="9">
        <f>工程量计算数!K237+工程量计算数!K238</f>
        <v>47.85</v>
      </c>
      <c r="N15" s="9"/>
      <c r="O15" s="77">
        <f>O14</f>
        <v>655.710000512</v>
      </c>
      <c r="P15" s="114">
        <f t="shared" si="14"/>
        <v>0.13</v>
      </c>
      <c r="Q15" s="9">
        <f t="shared" si="2"/>
        <v>740.95230057856</v>
      </c>
      <c r="R15" s="9">
        <f t="shared" si="3"/>
        <v>204669.549227313</v>
      </c>
      <c r="S15" s="11">
        <f t="shared" si="4"/>
        <v>0</v>
      </c>
      <c r="T15" s="11">
        <f t="shared" si="5"/>
        <v>0</v>
      </c>
      <c r="U15" s="11">
        <f t="shared" si="6"/>
        <v>0</v>
      </c>
      <c r="V15" s="11">
        <f t="shared" si="7"/>
        <v>62851.2788965763</v>
      </c>
      <c r="W15" s="11">
        <f t="shared" si="8"/>
        <v>0</v>
      </c>
      <c r="X15" s="11">
        <f t="shared" si="9"/>
        <v>53181.8513740261</v>
      </c>
      <c r="Y15" s="11">
        <f t="shared" si="10"/>
        <v>53181.8513740261</v>
      </c>
      <c r="Z15" s="11">
        <f t="shared" si="11"/>
        <v>35454.5675826841</v>
      </c>
      <c r="AA15" s="11">
        <f t="shared" si="12"/>
        <v>0</v>
      </c>
    </row>
    <row r="16" customHeight="1" spans="1:27">
      <c r="A16" s="9">
        <v>13</v>
      </c>
      <c r="B16" s="13" t="s">
        <v>114</v>
      </c>
      <c r="C16" s="11" t="s">
        <v>118</v>
      </c>
      <c r="D16" s="12" t="s">
        <v>116</v>
      </c>
      <c r="E16" s="9">
        <f t="shared" si="13"/>
        <v>5.1</v>
      </c>
      <c r="F16" s="9">
        <f>工程量计算数!K9</f>
        <v>2.55</v>
      </c>
      <c r="G16" s="9"/>
      <c r="H16" s="9"/>
      <c r="I16" s="9"/>
      <c r="J16" s="9">
        <f>工程量计算数!K138</f>
        <v>2.55</v>
      </c>
      <c r="K16" s="9"/>
      <c r="L16" s="9"/>
      <c r="M16" s="9"/>
      <c r="N16" s="9"/>
      <c r="O16" s="77">
        <f t="shared" ref="O16:O30" si="15">O15</f>
        <v>655.710000512</v>
      </c>
      <c r="P16" s="114">
        <f t="shared" si="14"/>
        <v>0.13</v>
      </c>
      <c r="Q16" s="9">
        <f t="shared" si="2"/>
        <v>740.95230057856</v>
      </c>
      <c r="R16" s="9">
        <f t="shared" si="3"/>
        <v>3778.85673295065</v>
      </c>
      <c r="S16" s="11">
        <f t="shared" si="4"/>
        <v>1889.42836647533</v>
      </c>
      <c r="T16" s="11">
        <f t="shared" si="5"/>
        <v>0</v>
      </c>
      <c r="U16" s="11">
        <f t="shared" si="6"/>
        <v>0</v>
      </c>
      <c r="V16" s="11">
        <f t="shared" si="7"/>
        <v>0</v>
      </c>
      <c r="W16" s="11">
        <f t="shared" si="8"/>
        <v>1889.42836647533</v>
      </c>
      <c r="X16" s="11">
        <f t="shared" si="9"/>
        <v>0</v>
      </c>
      <c r="Y16" s="11">
        <f t="shared" si="10"/>
        <v>0</v>
      </c>
      <c r="Z16" s="11">
        <f t="shared" si="11"/>
        <v>0</v>
      </c>
      <c r="AA16" s="11">
        <f t="shared" si="12"/>
        <v>0</v>
      </c>
    </row>
    <row r="17" customHeight="1" spans="1:27">
      <c r="A17" s="9">
        <v>14</v>
      </c>
      <c r="B17" s="13" t="s">
        <v>114</v>
      </c>
      <c r="C17" s="11" t="s">
        <v>119</v>
      </c>
      <c r="D17" s="12" t="s">
        <v>116</v>
      </c>
      <c r="E17" s="9">
        <f t="shared" si="13"/>
        <v>13.5</v>
      </c>
      <c r="F17" s="9"/>
      <c r="G17" s="9"/>
      <c r="H17" s="9"/>
      <c r="I17" s="9"/>
      <c r="J17" s="9"/>
      <c r="K17" s="9"/>
      <c r="L17" s="9"/>
      <c r="M17" s="9"/>
      <c r="N17" s="9">
        <f>工程量计算数!K259</f>
        <v>13.5</v>
      </c>
      <c r="O17" s="77">
        <f t="shared" si="15"/>
        <v>655.710000512</v>
      </c>
      <c r="P17" s="114">
        <f t="shared" si="14"/>
        <v>0.13</v>
      </c>
      <c r="Q17" s="9">
        <f t="shared" si="2"/>
        <v>740.95230057856</v>
      </c>
      <c r="R17" s="9">
        <f t="shared" si="3"/>
        <v>10002.8560578106</v>
      </c>
      <c r="S17" s="11">
        <f t="shared" si="4"/>
        <v>0</v>
      </c>
      <c r="T17" s="11">
        <f t="shared" si="5"/>
        <v>0</v>
      </c>
      <c r="U17" s="11">
        <f t="shared" si="6"/>
        <v>0</v>
      </c>
      <c r="V17" s="11">
        <f t="shared" si="7"/>
        <v>0</v>
      </c>
      <c r="W17" s="11">
        <f t="shared" si="8"/>
        <v>0</v>
      </c>
      <c r="X17" s="11">
        <f t="shared" si="9"/>
        <v>0</v>
      </c>
      <c r="Y17" s="11">
        <f t="shared" si="10"/>
        <v>0</v>
      </c>
      <c r="Z17" s="11">
        <f t="shared" si="11"/>
        <v>0</v>
      </c>
      <c r="AA17" s="11">
        <f t="shared" si="12"/>
        <v>10002.8560578106</v>
      </c>
    </row>
    <row r="18" customHeight="1" spans="1:27">
      <c r="A18" s="9">
        <v>15</v>
      </c>
      <c r="B18" s="13" t="s">
        <v>114</v>
      </c>
      <c r="C18" s="11" t="s">
        <v>120</v>
      </c>
      <c r="D18" s="12" t="s">
        <v>116</v>
      </c>
      <c r="E18" s="9">
        <f t="shared" si="13"/>
        <v>121.8</v>
      </c>
      <c r="F18" s="9"/>
      <c r="G18" s="9"/>
      <c r="H18" s="9">
        <f>工程量计算数!K63+工程量计算数!K64</f>
        <v>57.12</v>
      </c>
      <c r="I18" s="9"/>
      <c r="J18" s="9">
        <f>工程量计算数!K128+工程量计算数!K129</f>
        <v>64.68</v>
      </c>
      <c r="K18" s="9"/>
      <c r="L18" s="9"/>
      <c r="M18" s="9"/>
      <c r="N18" s="9"/>
      <c r="O18" s="77">
        <f t="shared" si="15"/>
        <v>655.710000512</v>
      </c>
      <c r="P18" s="114">
        <f t="shared" si="14"/>
        <v>0.13</v>
      </c>
      <c r="Q18" s="9">
        <f t="shared" si="2"/>
        <v>740.95230057856</v>
      </c>
      <c r="R18" s="9">
        <f t="shared" si="3"/>
        <v>90247.9902104686</v>
      </c>
      <c r="S18" s="11">
        <f t="shared" si="4"/>
        <v>0</v>
      </c>
      <c r="T18" s="11">
        <f t="shared" si="5"/>
        <v>0</v>
      </c>
      <c r="U18" s="11">
        <f t="shared" si="6"/>
        <v>42323.1954090473</v>
      </c>
      <c r="V18" s="11">
        <f t="shared" si="7"/>
        <v>0</v>
      </c>
      <c r="W18" s="11">
        <f t="shared" si="8"/>
        <v>47924.7948014213</v>
      </c>
      <c r="X18" s="11">
        <f t="shared" si="9"/>
        <v>0</v>
      </c>
      <c r="Y18" s="11">
        <f t="shared" si="10"/>
        <v>0</v>
      </c>
      <c r="Z18" s="11">
        <f t="shared" si="11"/>
        <v>0</v>
      </c>
      <c r="AA18" s="11">
        <f t="shared" si="12"/>
        <v>0</v>
      </c>
    </row>
    <row r="19" customHeight="1" spans="1:27">
      <c r="A19" s="9">
        <v>16</v>
      </c>
      <c r="B19" s="13" t="s">
        <v>114</v>
      </c>
      <c r="C19" s="11" t="s">
        <v>104</v>
      </c>
      <c r="D19" s="12" t="s">
        <v>116</v>
      </c>
      <c r="E19" s="9">
        <f t="shared" si="13"/>
        <v>601.02</v>
      </c>
      <c r="F19" s="9">
        <f>工程量计算数!K13+工程量计算数!K14</f>
        <v>95.76</v>
      </c>
      <c r="G19" s="9">
        <f>工程量计算数!K40+工程量计算数!K41</f>
        <v>195.3</v>
      </c>
      <c r="H19" s="9">
        <f>工程量计算数!K61+工程量计算数!K62</f>
        <v>115.92</v>
      </c>
      <c r="I19" s="9">
        <f>工程量计算数!K93+工程量计算数!K94</f>
        <v>65.52</v>
      </c>
      <c r="J19" s="9">
        <f>工程量计算数!K126+工程量计算数!K127</f>
        <v>128.52</v>
      </c>
      <c r="K19" s="9"/>
      <c r="L19" s="9"/>
      <c r="M19" s="9"/>
      <c r="N19" s="9"/>
      <c r="O19" s="77">
        <f t="shared" si="15"/>
        <v>655.710000512</v>
      </c>
      <c r="P19" s="114">
        <f t="shared" si="14"/>
        <v>0.13</v>
      </c>
      <c r="Q19" s="9">
        <f t="shared" si="2"/>
        <v>740.95230057856</v>
      </c>
      <c r="R19" s="9">
        <f t="shared" si="3"/>
        <v>445327.151693726</v>
      </c>
      <c r="S19" s="11">
        <f t="shared" si="4"/>
        <v>70953.5923034029</v>
      </c>
      <c r="T19" s="11">
        <f t="shared" si="5"/>
        <v>144707.984302993</v>
      </c>
      <c r="U19" s="11">
        <f t="shared" si="6"/>
        <v>85891.1906830667</v>
      </c>
      <c r="V19" s="11">
        <f t="shared" si="7"/>
        <v>48547.1947339072</v>
      </c>
      <c r="W19" s="11">
        <f t="shared" si="8"/>
        <v>95227.1896703565</v>
      </c>
      <c r="X19" s="11">
        <f t="shared" si="9"/>
        <v>0</v>
      </c>
      <c r="Y19" s="11">
        <f t="shared" si="10"/>
        <v>0</v>
      </c>
      <c r="Z19" s="11">
        <f t="shared" si="11"/>
        <v>0</v>
      </c>
      <c r="AA19" s="11">
        <f t="shared" si="12"/>
        <v>0</v>
      </c>
    </row>
    <row r="20" customHeight="1" spans="1:27">
      <c r="A20" s="9">
        <v>17</v>
      </c>
      <c r="B20" s="13" t="s">
        <v>114</v>
      </c>
      <c r="C20" s="11" t="s">
        <v>121</v>
      </c>
      <c r="D20" s="12" t="s">
        <v>116</v>
      </c>
      <c r="E20" s="9">
        <f t="shared" si="13"/>
        <v>172.26</v>
      </c>
      <c r="F20" s="9"/>
      <c r="G20" s="9"/>
      <c r="H20" s="9"/>
      <c r="I20" s="9"/>
      <c r="J20" s="9"/>
      <c r="K20" s="9">
        <f>工程量计算数!K177+工程量计算数!K178</f>
        <v>57.42</v>
      </c>
      <c r="L20" s="9">
        <f>工程量计算数!K207+工程量计算数!K208</f>
        <v>57.42</v>
      </c>
      <c r="M20" s="9">
        <f>工程量计算数!K235+工程量计算数!K236</f>
        <v>57.42</v>
      </c>
      <c r="N20" s="9"/>
      <c r="O20" s="77">
        <f t="shared" si="15"/>
        <v>655.710000512</v>
      </c>
      <c r="P20" s="114">
        <f t="shared" si="14"/>
        <v>0.13</v>
      </c>
      <c r="Q20" s="9">
        <f t="shared" si="2"/>
        <v>740.95230057856</v>
      </c>
      <c r="R20" s="9">
        <f t="shared" si="3"/>
        <v>127636.443297663</v>
      </c>
      <c r="S20" s="11">
        <f t="shared" si="4"/>
        <v>0</v>
      </c>
      <c r="T20" s="11">
        <f t="shared" si="5"/>
        <v>0</v>
      </c>
      <c r="U20" s="11">
        <f t="shared" si="6"/>
        <v>0</v>
      </c>
      <c r="V20" s="11">
        <f t="shared" si="7"/>
        <v>0</v>
      </c>
      <c r="W20" s="11">
        <f t="shared" si="8"/>
        <v>0</v>
      </c>
      <c r="X20" s="11">
        <f t="shared" si="9"/>
        <v>42545.4810992209</v>
      </c>
      <c r="Y20" s="11">
        <f t="shared" si="10"/>
        <v>42545.4810992209</v>
      </c>
      <c r="Z20" s="11">
        <f t="shared" si="11"/>
        <v>42545.4810992209</v>
      </c>
      <c r="AA20" s="11">
        <f t="shared" si="12"/>
        <v>0</v>
      </c>
    </row>
    <row r="21" customHeight="1" spans="1:27">
      <c r="A21" s="9">
        <v>18</v>
      </c>
      <c r="B21" s="13" t="s">
        <v>114</v>
      </c>
      <c r="C21" s="11" t="s">
        <v>122</v>
      </c>
      <c r="D21" s="12" t="s">
        <v>116</v>
      </c>
      <c r="E21" s="9">
        <f t="shared" si="13"/>
        <v>436.88</v>
      </c>
      <c r="F21" s="9"/>
      <c r="G21" s="9"/>
      <c r="H21" s="9"/>
      <c r="I21" s="9">
        <f>工程量计算数!K97+工程量计算数!K98</f>
        <v>134.16</v>
      </c>
      <c r="J21" s="9"/>
      <c r="K21" s="9">
        <f>工程量计算数!K181+工程量计算数!K182</f>
        <v>113.52</v>
      </c>
      <c r="L21" s="9">
        <f>工程量计算数!K211+工程量计算数!K212</f>
        <v>113.52</v>
      </c>
      <c r="M21" s="9">
        <f>工程量计算数!K239+工程量计算数!K240</f>
        <v>75.68</v>
      </c>
      <c r="N21" s="9"/>
      <c r="O21" s="77">
        <f t="shared" si="15"/>
        <v>655.710000512</v>
      </c>
      <c r="P21" s="114">
        <f t="shared" si="14"/>
        <v>0.13</v>
      </c>
      <c r="Q21" s="9">
        <f t="shared" si="2"/>
        <v>740.95230057856</v>
      </c>
      <c r="R21" s="9">
        <f t="shared" si="3"/>
        <v>323707.241076761</v>
      </c>
      <c r="S21" s="11">
        <f t="shared" si="4"/>
        <v>0</v>
      </c>
      <c r="T21" s="11">
        <f t="shared" si="5"/>
        <v>0</v>
      </c>
      <c r="U21" s="11">
        <f t="shared" si="6"/>
        <v>0</v>
      </c>
      <c r="V21" s="11">
        <f t="shared" si="7"/>
        <v>99406.1606456196</v>
      </c>
      <c r="W21" s="11">
        <f t="shared" si="8"/>
        <v>0</v>
      </c>
      <c r="X21" s="11">
        <f t="shared" si="9"/>
        <v>84112.9051616781</v>
      </c>
      <c r="Y21" s="11">
        <f t="shared" si="10"/>
        <v>84112.9051616781</v>
      </c>
      <c r="Z21" s="11">
        <f t="shared" si="11"/>
        <v>56075.2701077854</v>
      </c>
      <c r="AA21" s="11">
        <f t="shared" si="12"/>
        <v>0</v>
      </c>
    </row>
    <row r="22" customHeight="1" spans="1:27">
      <c r="A22" s="9">
        <v>19</v>
      </c>
      <c r="B22" s="13" t="s">
        <v>114</v>
      </c>
      <c r="C22" s="11" t="s">
        <v>123</v>
      </c>
      <c r="D22" s="12" t="s">
        <v>116</v>
      </c>
      <c r="E22" s="9">
        <f t="shared" si="13"/>
        <v>6.36</v>
      </c>
      <c r="F22" s="9"/>
      <c r="G22" s="9"/>
      <c r="H22" s="9"/>
      <c r="I22" s="9"/>
      <c r="J22" s="9">
        <f>工程量计算数!K149</f>
        <v>6.36</v>
      </c>
      <c r="K22" s="9"/>
      <c r="L22" s="9"/>
      <c r="M22" s="9"/>
      <c r="N22" s="9"/>
      <c r="O22" s="77">
        <f t="shared" si="15"/>
        <v>655.710000512</v>
      </c>
      <c r="P22" s="114">
        <f t="shared" si="14"/>
        <v>0.13</v>
      </c>
      <c r="Q22" s="9">
        <f t="shared" si="2"/>
        <v>740.95230057856</v>
      </c>
      <c r="R22" s="9">
        <f t="shared" si="3"/>
        <v>4712.45663167964</v>
      </c>
      <c r="S22" s="11">
        <f t="shared" si="4"/>
        <v>0</v>
      </c>
      <c r="T22" s="11">
        <f t="shared" si="5"/>
        <v>0</v>
      </c>
      <c r="U22" s="11">
        <f t="shared" si="6"/>
        <v>0</v>
      </c>
      <c r="V22" s="11">
        <f t="shared" si="7"/>
        <v>0</v>
      </c>
      <c r="W22" s="11">
        <f t="shared" si="8"/>
        <v>4712.45663167964</v>
      </c>
      <c r="X22" s="11">
        <f t="shared" si="9"/>
        <v>0</v>
      </c>
      <c r="Y22" s="11">
        <f t="shared" si="10"/>
        <v>0</v>
      </c>
      <c r="Z22" s="11">
        <f t="shared" si="11"/>
        <v>0</v>
      </c>
      <c r="AA22" s="11">
        <f t="shared" si="12"/>
        <v>0</v>
      </c>
    </row>
    <row r="23" customHeight="1" spans="1:27">
      <c r="A23" s="9">
        <v>20</v>
      </c>
      <c r="B23" s="13" t="s">
        <v>114</v>
      </c>
      <c r="C23" s="11" t="s">
        <v>124</v>
      </c>
      <c r="D23" s="12" t="s">
        <v>116</v>
      </c>
      <c r="E23" s="9">
        <f t="shared" si="13"/>
        <v>28.32</v>
      </c>
      <c r="F23" s="9"/>
      <c r="G23" s="9"/>
      <c r="H23" s="9"/>
      <c r="I23" s="9"/>
      <c r="J23" s="9">
        <f>工程量计算数!K150+工程量计算数!K155</f>
        <v>28.32</v>
      </c>
      <c r="K23" s="9"/>
      <c r="L23" s="9"/>
      <c r="M23" s="9"/>
      <c r="N23" s="9"/>
      <c r="O23" s="77">
        <f t="shared" si="15"/>
        <v>655.710000512</v>
      </c>
      <c r="P23" s="114">
        <f t="shared" si="14"/>
        <v>0.13</v>
      </c>
      <c r="Q23" s="9">
        <f t="shared" si="2"/>
        <v>740.95230057856</v>
      </c>
      <c r="R23" s="9">
        <f t="shared" si="3"/>
        <v>20983.7691523848</v>
      </c>
      <c r="S23" s="11">
        <f t="shared" si="4"/>
        <v>0</v>
      </c>
      <c r="T23" s="11">
        <f t="shared" si="5"/>
        <v>0</v>
      </c>
      <c r="U23" s="11">
        <f t="shared" si="6"/>
        <v>0</v>
      </c>
      <c r="V23" s="11">
        <f t="shared" si="7"/>
        <v>0</v>
      </c>
      <c r="W23" s="11">
        <f t="shared" si="8"/>
        <v>20983.7691523848</v>
      </c>
      <c r="X23" s="11">
        <f t="shared" si="9"/>
        <v>0</v>
      </c>
      <c r="Y23" s="11">
        <f t="shared" si="10"/>
        <v>0</v>
      </c>
      <c r="Z23" s="11">
        <f t="shared" si="11"/>
        <v>0</v>
      </c>
      <c r="AA23" s="11">
        <f t="shared" si="12"/>
        <v>0</v>
      </c>
    </row>
    <row r="24" customHeight="1" spans="1:27">
      <c r="A24" s="9">
        <v>21</v>
      </c>
      <c r="B24" s="13" t="s">
        <v>114</v>
      </c>
      <c r="C24" s="11" t="s">
        <v>125</v>
      </c>
      <c r="D24" s="12" t="s">
        <v>116</v>
      </c>
      <c r="E24" s="9">
        <f t="shared" si="13"/>
        <v>14.88</v>
      </c>
      <c r="F24" s="9"/>
      <c r="G24" s="9"/>
      <c r="H24" s="9"/>
      <c r="I24" s="9"/>
      <c r="J24" s="9">
        <f>工程量计算数!K151+工程量计算数!K154</f>
        <v>14.88</v>
      </c>
      <c r="K24" s="9"/>
      <c r="L24" s="9"/>
      <c r="M24" s="9"/>
      <c r="N24" s="9"/>
      <c r="O24" s="77">
        <f t="shared" si="15"/>
        <v>655.710000512</v>
      </c>
      <c r="P24" s="114">
        <f t="shared" si="14"/>
        <v>0.13</v>
      </c>
      <c r="Q24" s="9">
        <f t="shared" si="2"/>
        <v>740.95230057856</v>
      </c>
      <c r="R24" s="9">
        <f t="shared" si="3"/>
        <v>11025.370232609</v>
      </c>
      <c r="S24" s="11">
        <f t="shared" si="4"/>
        <v>0</v>
      </c>
      <c r="T24" s="11">
        <f t="shared" si="5"/>
        <v>0</v>
      </c>
      <c r="U24" s="11">
        <f t="shared" si="6"/>
        <v>0</v>
      </c>
      <c r="V24" s="11">
        <f t="shared" si="7"/>
        <v>0</v>
      </c>
      <c r="W24" s="11">
        <f t="shared" si="8"/>
        <v>11025.370232609</v>
      </c>
      <c r="X24" s="11">
        <f t="shared" si="9"/>
        <v>0</v>
      </c>
      <c r="Y24" s="11">
        <f t="shared" si="10"/>
        <v>0</v>
      </c>
      <c r="Z24" s="11">
        <f t="shared" si="11"/>
        <v>0</v>
      </c>
      <c r="AA24" s="11">
        <f t="shared" si="12"/>
        <v>0</v>
      </c>
    </row>
    <row r="25" customHeight="1" spans="1:27">
      <c r="A25" s="9">
        <v>22</v>
      </c>
      <c r="B25" s="13" t="s">
        <v>114</v>
      </c>
      <c r="C25" s="11" t="s">
        <v>126</v>
      </c>
      <c r="D25" s="12" t="s">
        <v>53</v>
      </c>
      <c r="E25" s="9">
        <f t="shared" si="13"/>
        <v>196.56</v>
      </c>
      <c r="F25" s="9"/>
      <c r="G25" s="9">
        <f>工程量计算数!K37+工程量计算数!K38</f>
        <v>196.56</v>
      </c>
      <c r="H25" s="9"/>
      <c r="I25" s="9"/>
      <c r="J25" s="9"/>
      <c r="K25" s="9"/>
      <c r="L25" s="9"/>
      <c r="M25" s="9"/>
      <c r="N25" s="9"/>
      <c r="O25" s="77">
        <f t="shared" si="15"/>
        <v>655.710000512</v>
      </c>
      <c r="P25" s="114">
        <f t="shared" si="14"/>
        <v>0.13</v>
      </c>
      <c r="Q25" s="9">
        <f t="shared" si="2"/>
        <v>740.95230057856</v>
      </c>
      <c r="R25" s="9">
        <f t="shared" si="3"/>
        <v>145641.584201722</v>
      </c>
      <c r="S25" s="11">
        <f t="shared" si="4"/>
        <v>0</v>
      </c>
      <c r="T25" s="11">
        <f t="shared" si="5"/>
        <v>145641.584201722</v>
      </c>
      <c r="U25" s="11">
        <f t="shared" si="6"/>
        <v>0</v>
      </c>
      <c r="V25" s="11">
        <f t="shared" si="7"/>
        <v>0</v>
      </c>
      <c r="W25" s="11">
        <f t="shared" si="8"/>
        <v>0</v>
      </c>
      <c r="X25" s="11">
        <f t="shared" si="9"/>
        <v>0</v>
      </c>
      <c r="Y25" s="11">
        <f t="shared" si="10"/>
        <v>0</v>
      </c>
      <c r="Z25" s="11">
        <f t="shared" si="11"/>
        <v>0</v>
      </c>
      <c r="AA25" s="11">
        <f t="shared" si="12"/>
        <v>0</v>
      </c>
    </row>
    <row r="26" customHeight="1" spans="1:27">
      <c r="A26" s="9">
        <v>23</v>
      </c>
      <c r="B26" s="13" t="s">
        <v>114</v>
      </c>
      <c r="C26" s="11" t="s">
        <v>127</v>
      </c>
      <c r="D26" s="12" t="s">
        <v>53</v>
      </c>
      <c r="E26" s="9">
        <f t="shared" si="13"/>
        <v>830.76</v>
      </c>
      <c r="F26" s="9"/>
      <c r="G26" s="9"/>
      <c r="H26" s="9"/>
      <c r="I26" s="9">
        <f>工程量计算数!K99+工程量计算数!K100</f>
        <v>234.78</v>
      </c>
      <c r="J26" s="9"/>
      <c r="K26" s="9">
        <f>工程量计算数!K183+工程量计算数!K184</f>
        <v>198.66</v>
      </c>
      <c r="L26" s="9">
        <f>工程量计算数!K213+工程量计算数!K214</f>
        <v>198.66</v>
      </c>
      <c r="M26" s="9">
        <f>工程量计算数!K241+工程量计算数!K242</f>
        <v>198.66</v>
      </c>
      <c r="N26" s="9"/>
      <c r="O26" s="77">
        <f t="shared" si="15"/>
        <v>655.710000512</v>
      </c>
      <c r="P26" s="114">
        <f t="shared" si="14"/>
        <v>0.13</v>
      </c>
      <c r="Q26" s="9">
        <f t="shared" si="2"/>
        <v>740.95230057856</v>
      </c>
      <c r="R26" s="9">
        <f t="shared" si="3"/>
        <v>615553.533228644</v>
      </c>
      <c r="S26" s="11">
        <f t="shared" si="4"/>
        <v>0</v>
      </c>
      <c r="T26" s="11">
        <f t="shared" si="5"/>
        <v>0</v>
      </c>
      <c r="U26" s="11">
        <f t="shared" si="6"/>
        <v>0</v>
      </c>
      <c r="V26" s="11">
        <f t="shared" si="7"/>
        <v>173960.781129834</v>
      </c>
      <c r="W26" s="11">
        <f t="shared" si="8"/>
        <v>0</v>
      </c>
      <c r="X26" s="11">
        <f t="shared" si="9"/>
        <v>147197.584032937</v>
      </c>
      <c r="Y26" s="11">
        <f t="shared" si="10"/>
        <v>147197.584032937</v>
      </c>
      <c r="Z26" s="11">
        <f t="shared" si="11"/>
        <v>147197.584032937</v>
      </c>
      <c r="AA26" s="11">
        <f t="shared" si="12"/>
        <v>0</v>
      </c>
    </row>
    <row r="27" customHeight="1" spans="1:27">
      <c r="A27" s="9">
        <v>24</v>
      </c>
      <c r="B27" s="13" t="s">
        <v>114</v>
      </c>
      <c r="C27" s="11" t="s">
        <v>128</v>
      </c>
      <c r="D27" s="12" t="s">
        <v>53</v>
      </c>
      <c r="E27" s="9">
        <f t="shared" si="13"/>
        <v>568.89</v>
      </c>
      <c r="F27" s="9">
        <f>工程量计算数!K5+工程量计算数!K4</f>
        <v>114.66</v>
      </c>
      <c r="G27" s="9">
        <f>工程量计算数!K36+工程量计算数!K35</f>
        <v>454.23</v>
      </c>
      <c r="H27" s="9"/>
      <c r="I27" s="9"/>
      <c r="J27" s="9"/>
      <c r="K27" s="9"/>
      <c r="L27" s="9"/>
      <c r="M27" s="9"/>
      <c r="N27" s="9"/>
      <c r="O27" s="77">
        <f t="shared" si="15"/>
        <v>655.710000512</v>
      </c>
      <c r="P27" s="114">
        <f t="shared" si="14"/>
        <v>0.13</v>
      </c>
      <c r="Q27" s="9">
        <f t="shared" si="2"/>
        <v>740.95230057856</v>
      </c>
      <c r="R27" s="9">
        <f t="shared" si="3"/>
        <v>421520.354276137</v>
      </c>
      <c r="S27" s="11">
        <f t="shared" si="4"/>
        <v>84957.5907843377</v>
      </c>
      <c r="T27" s="11">
        <f t="shared" si="5"/>
        <v>336562.763491799</v>
      </c>
      <c r="U27" s="11">
        <f t="shared" si="6"/>
        <v>0</v>
      </c>
      <c r="V27" s="11">
        <f t="shared" si="7"/>
        <v>0</v>
      </c>
      <c r="W27" s="11">
        <f t="shared" si="8"/>
        <v>0</v>
      </c>
      <c r="X27" s="11">
        <f t="shared" si="9"/>
        <v>0</v>
      </c>
      <c r="Y27" s="11">
        <f t="shared" si="10"/>
        <v>0</v>
      </c>
      <c r="Z27" s="11">
        <f t="shared" si="11"/>
        <v>0</v>
      </c>
      <c r="AA27" s="11">
        <f t="shared" si="12"/>
        <v>0</v>
      </c>
    </row>
    <row r="28" customHeight="1" spans="1:27">
      <c r="A28" s="9">
        <v>25</v>
      </c>
      <c r="B28" s="13" t="s">
        <v>114</v>
      </c>
      <c r="C28" s="11" t="s">
        <v>129</v>
      </c>
      <c r="D28" s="12" t="s">
        <v>130</v>
      </c>
      <c r="E28" s="9">
        <f t="shared" si="13"/>
        <v>226.38</v>
      </c>
      <c r="F28" s="9"/>
      <c r="G28" s="9"/>
      <c r="H28" s="9">
        <f>工程量计算数!K69+工程量计算数!K70</f>
        <v>226.38</v>
      </c>
      <c r="I28" s="9"/>
      <c r="J28" s="9"/>
      <c r="K28" s="9"/>
      <c r="L28" s="9"/>
      <c r="M28" s="9"/>
      <c r="N28" s="9"/>
      <c r="O28" s="77">
        <f t="shared" si="15"/>
        <v>655.710000512</v>
      </c>
      <c r="P28" s="114">
        <f t="shared" si="14"/>
        <v>0.13</v>
      </c>
      <c r="Q28" s="9">
        <f t="shared" si="2"/>
        <v>740.95230057856</v>
      </c>
      <c r="R28" s="9">
        <f t="shared" si="3"/>
        <v>167736.781804974</v>
      </c>
      <c r="S28" s="11">
        <f t="shared" si="4"/>
        <v>0</v>
      </c>
      <c r="T28" s="11">
        <f t="shared" si="5"/>
        <v>0</v>
      </c>
      <c r="U28" s="11">
        <f t="shared" si="6"/>
        <v>167736.781804974</v>
      </c>
      <c r="V28" s="11">
        <f t="shared" si="7"/>
        <v>0</v>
      </c>
      <c r="W28" s="11">
        <f t="shared" si="8"/>
        <v>0</v>
      </c>
      <c r="X28" s="11">
        <f t="shared" si="9"/>
        <v>0</v>
      </c>
      <c r="Y28" s="11">
        <f t="shared" si="10"/>
        <v>0</v>
      </c>
      <c r="Z28" s="11">
        <f t="shared" si="11"/>
        <v>0</v>
      </c>
      <c r="AA28" s="11">
        <f t="shared" si="12"/>
        <v>0</v>
      </c>
    </row>
    <row r="29" customHeight="1" spans="1:27">
      <c r="A29" s="9">
        <v>26</v>
      </c>
      <c r="B29" s="13" t="s">
        <v>114</v>
      </c>
      <c r="C29" s="11" t="s">
        <v>131</v>
      </c>
      <c r="D29" s="12" t="s">
        <v>54</v>
      </c>
      <c r="E29" s="9">
        <f t="shared" si="13"/>
        <v>17</v>
      </c>
      <c r="F29" s="9">
        <f>工程量计算数!K22</f>
        <v>8.5</v>
      </c>
      <c r="G29" s="9"/>
      <c r="H29" s="9"/>
      <c r="I29" s="9"/>
      <c r="J29" s="9">
        <f>工程量计算数!K133</f>
        <v>8.5</v>
      </c>
      <c r="K29" s="9"/>
      <c r="L29" s="9"/>
      <c r="M29" s="9"/>
      <c r="N29" s="9"/>
      <c r="O29" s="77">
        <f t="shared" si="15"/>
        <v>655.710000512</v>
      </c>
      <c r="P29" s="114">
        <f t="shared" si="14"/>
        <v>0.13</v>
      </c>
      <c r="Q29" s="9">
        <f t="shared" si="2"/>
        <v>740.95230057856</v>
      </c>
      <c r="R29" s="9">
        <f t="shared" si="3"/>
        <v>12596.1891098355</v>
      </c>
      <c r="S29" s="11">
        <f t="shared" si="4"/>
        <v>6298.09455491776</v>
      </c>
      <c r="T29" s="11">
        <f t="shared" si="5"/>
        <v>0</v>
      </c>
      <c r="U29" s="11">
        <f t="shared" si="6"/>
        <v>0</v>
      </c>
      <c r="V29" s="11">
        <f t="shared" si="7"/>
        <v>0</v>
      </c>
      <c r="W29" s="11">
        <f t="shared" si="8"/>
        <v>6298.09455491776</v>
      </c>
      <c r="X29" s="11">
        <f t="shared" si="9"/>
        <v>0</v>
      </c>
      <c r="Y29" s="11">
        <f t="shared" si="10"/>
        <v>0</v>
      </c>
      <c r="Z29" s="11">
        <f t="shared" si="11"/>
        <v>0</v>
      </c>
      <c r="AA29" s="11">
        <f t="shared" si="12"/>
        <v>0</v>
      </c>
    </row>
    <row r="30" customHeight="1" spans="1:27">
      <c r="A30" s="9">
        <v>27</v>
      </c>
      <c r="B30" s="13" t="s">
        <v>114</v>
      </c>
      <c r="C30" s="11" t="s">
        <v>132</v>
      </c>
      <c r="D30" s="12" t="s">
        <v>54</v>
      </c>
      <c r="E30" s="9">
        <f t="shared" si="13"/>
        <v>514.5</v>
      </c>
      <c r="F30" s="9">
        <f>工程量计算数!K17+工程量计算数!K18</f>
        <v>252</v>
      </c>
      <c r="G30" s="9"/>
      <c r="H30" s="9"/>
      <c r="I30" s="9"/>
      <c r="J30" s="9">
        <f>工程量计算数!K134+工程量计算数!K135</f>
        <v>262.5</v>
      </c>
      <c r="K30" s="9"/>
      <c r="L30" s="9"/>
      <c r="M30" s="9"/>
      <c r="N30" s="9"/>
      <c r="O30" s="77">
        <f t="shared" si="15"/>
        <v>655.710000512</v>
      </c>
      <c r="P30" s="114">
        <f t="shared" si="14"/>
        <v>0.13</v>
      </c>
      <c r="Q30" s="9">
        <f t="shared" si="2"/>
        <v>740.95230057856</v>
      </c>
      <c r="R30" s="9">
        <f t="shared" si="3"/>
        <v>381219.958647669</v>
      </c>
      <c r="S30" s="11">
        <f t="shared" si="4"/>
        <v>186719.979745797</v>
      </c>
      <c r="T30" s="11">
        <f t="shared" si="5"/>
        <v>0</v>
      </c>
      <c r="U30" s="11">
        <f t="shared" si="6"/>
        <v>0</v>
      </c>
      <c r="V30" s="11">
        <f t="shared" si="7"/>
        <v>0</v>
      </c>
      <c r="W30" s="11">
        <f t="shared" si="8"/>
        <v>194499.978901872</v>
      </c>
      <c r="X30" s="11">
        <f t="shared" si="9"/>
        <v>0</v>
      </c>
      <c r="Y30" s="11">
        <f t="shared" si="10"/>
        <v>0</v>
      </c>
      <c r="Z30" s="11">
        <f t="shared" si="11"/>
        <v>0</v>
      </c>
      <c r="AA30" s="11">
        <f t="shared" si="12"/>
        <v>0</v>
      </c>
    </row>
    <row r="31" customHeight="1" spans="1:27">
      <c r="A31" s="9">
        <v>28</v>
      </c>
      <c r="B31" s="13" t="s">
        <v>133</v>
      </c>
      <c r="C31" s="11" t="s">
        <v>134</v>
      </c>
      <c r="D31" s="12" t="s">
        <v>59</v>
      </c>
      <c r="E31" s="9">
        <f t="shared" ref="E31:E45" si="16">SUM(F31:N31)</f>
        <v>33.6</v>
      </c>
      <c r="F31" s="9"/>
      <c r="G31" s="9"/>
      <c r="H31" s="9">
        <f>工程量计算数!K57+工程量计算数!K58</f>
        <v>16.1</v>
      </c>
      <c r="I31" s="9"/>
      <c r="J31" s="9">
        <f>工程量计算数!K122+工程量计算数!K123</f>
        <v>17.5</v>
      </c>
      <c r="K31" s="9"/>
      <c r="L31" s="9"/>
      <c r="M31" s="9"/>
      <c r="N31" s="9"/>
      <c r="O31" s="77">
        <f>综合单价分析!H174</f>
        <v>897.10489568</v>
      </c>
      <c r="P31" s="114">
        <f t="shared" si="14"/>
        <v>0.13</v>
      </c>
      <c r="Q31" s="9">
        <f t="shared" si="2"/>
        <v>1013.7285321184</v>
      </c>
      <c r="R31" s="9">
        <f t="shared" si="3"/>
        <v>34061.2786791782</v>
      </c>
      <c r="S31" s="11">
        <f t="shared" si="4"/>
        <v>0</v>
      </c>
      <c r="T31" s="11">
        <f t="shared" si="5"/>
        <v>0</v>
      </c>
      <c r="U31" s="11">
        <f t="shared" si="6"/>
        <v>16321.0293671062</v>
      </c>
      <c r="V31" s="11">
        <f t="shared" si="7"/>
        <v>0</v>
      </c>
      <c r="W31" s="11">
        <f t="shared" si="8"/>
        <v>17740.249312072</v>
      </c>
      <c r="X31" s="11">
        <f t="shared" si="9"/>
        <v>0</v>
      </c>
      <c r="Y31" s="11">
        <f t="shared" si="10"/>
        <v>0</v>
      </c>
      <c r="Z31" s="11">
        <f t="shared" si="11"/>
        <v>0</v>
      </c>
      <c r="AA31" s="11">
        <f t="shared" si="12"/>
        <v>0</v>
      </c>
    </row>
    <row r="32" customHeight="1" spans="1:27">
      <c r="A32" s="9">
        <v>29</v>
      </c>
      <c r="B32" s="13" t="s">
        <v>133</v>
      </c>
      <c r="C32" s="11" t="s">
        <v>135</v>
      </c>
      <c r="D32" s="12" t="s">
        <v>59</v>
      </c>
      <c r="E32" s="9">
        <f t="shared" si="16"/>
        <v>100.05</v>
      </c>
      <c r="F32" s="9"/>
      <c r="G32" s="9"/>
      <c r="H32" s="9"/>
      <c r="I32" s="9">
        <f>工程量计算数!K87+工程量计算数!K88</f>
        <v>28.275</v>
      </c>
      <c r="J32" s="9"/>
      <c r="K32" s="9">
        <f>工程量计算数!K171+工程量计算数!K172</f>
        <v>23.925</v>
      </c>
      <c r="L32" s="9">
        <f>工程量计算数!K201+工程量计算数!K202</f>
        <v>23.925</v>
      </c>
      <c r="M32" s="9">
        <f>工程量计算数!K229+工程量计算数!K230</f>
        <v>23.925</v>
      </c>
      <c r="N32" s="9"/>
      <c r="O32" s="77">
        <f>O31</f>
        <v>897.10489568</v>
      </c>
      <c r="P32" s="114">
        <f t="shared" ref="P32:P44" si="17">$P$3</f>
        <v>0.13</v>
      </c>
      <c r="Q32" s="9">
        <f t="shared" si="2"/>
        <v>1013.7285321184</v>
      </c>
      <c r="R32" s="9">
        <f t="shared" si="3"/>
        <v>101423.539638446</v>
      </c>
      <c r="S32" s="11">
        <f t="shared" si="4"/>
        <v>0</v>
      </c>
      <c r="T32" s="11">
        <f t="shared" si="5"/>
        <v>0</v>
      </c>
      <c r="U32" s="11">
        <f t="shared" si="6"/>
        <v>0</v>
      </c>
      <c r="V32" s="11">
        <f t="shared" si="7"/>
        <v>28663.1742456478</v>
      </c>
      <c r="W32" s="11">
        <f t="shared" si="8"/>
        <v>0</v>
      </c>
      <c r="X32" s="11">
        <f t="shared" si="9"/>
        <v>24253.4551309327</v>
      </c>
      <c r="Y32" s="11">
        <f t="shared" si="10"/>
        <v>24253.4551309327</v>
      </c>
      <c r="Z32" s="11">
        <f t="shared" si="11"/>
        <v>24253.4551309327</v>
      </c>
      <c r="AA32" s="11">
        <f t="shared" si="12"/>
        <v>0</v>
      </c>
    </row>
    <row r="33" customHeight="1" spans="1:27">
      <c r="A33" s="9">
        <v>30</v>
      </c>
      <c r="B33" s="13" t="s">
        <v>133</v>
      </c>
      <c r="C33" s="11" t="s">
        <v>136</v>
      </c>
      <c r="D33" s="12" t="s">
        <v>59</v>
      </c>
      <c r="E33" s="9">
        <f t="shared" si="16"/>
        <v>36.96</v>
      </c>
      <c r="F33" s="9"/>
      <c r="G33" s="9"/>
      <c r="H33" s="9">
        <f>工程量计算数!K59+工程量计算数!K60</f>
        <v>17.71</v>
      </c>
      <c r="I33" s="9"/>
      <c r="J33" s="9">
        <f>工程量计算数!K124+工程量计算数!K125</f>
        <v>19.25</v>
      </c>
      <c r="K33" s="9"/>
      <c r="L33" s="9"/>
      <c r="M33" s="9"/>
      <c r="N33" s="9"/>
      <c r="O33" s="77">
        <f t="shared" ref="O33:O39" si="18">O32</f>
        <v>897.10489568</v>
      </c>
      <c r="P33" s="114">
        <f t="shared" si="17"/>
        <v>0.13</v>
      </c>
      <c r="Q33" s="9">
        <f t="shared" si="2"/>
        <v>1013.7285321184</v>
      </c>
      <c r="R33" s="9">
        <f t="shared" si="3"/>
        <v>37467.4065470961</v>
      </c>
      <c r="S33" s="11">
        <f t="shared" si="4"/>
        <v>0</v>
      </c>
      <c r="T33" s="11">
        <f t="shared" si="5"/>
        <v>0</v>
      </c>
      <c r="U33" s="11">
        <f t="shared" si="6"/>
        <v>17953.1323038169</v>
      </c>
      <c r="V33" s="11">
        <f t="shared" si="7"/>
        <v>0</v>
      </c>
      <c r="W33" s="11">
        <f t="shared" si="8"/>
        <v>19514.2742432792</v>
      </c>
      <c r="X33" s="11">
        <f t="shared" si="9"/>
        <v>0</v>
      </c>
      <c r="Y33" s="11">
        <f t="shared" si="10"/>
        <v>0</v>
      </c>
      <c r="Z33" s="11">
        <f t="shared" si="11"/>
        <v>0</v>
      </c>
      <c r="AA33" s="11">
        <f t="shared" si="12"/>
        <v>0</v>
      </c>
    </row>
    <row r="34" customHeight="1" spans="1:27">
      <c r="A34" s="9">
        <v>31</v>
      </c>
      <c r="B34" s="13" t="s">
        <v>133</v>
      </c>
      <c r="C34" s="11" t="s">
        <v>120</v>
      </c>
      <c r="D34" s="12" t="s">
        <v>59</v>
      </c>
      <c r="E34" s="9">
        <f t="shared" si="16"/>
        <v>433.44</v>
      </c>
      <c r="F34" s="9">
        <f>工程量计算数!K15+工程量计算数!K16</f>
        <v>127.68</v>
      </c>
      <c r="G34" s="9"/>
      <c r="H34" s="9">
        <f>工程量计算数!K55+工程量计算数!K56</f>
        <v>133.56</v>
      </c>
      <c r="I34" s="9"/>
      <c r="J34" s="9">
        <f>工程量计算数!K120+工程量计算数!K121</f>
        <v>172.2</v>
      </c>
      <c r="K34" s="9"/>
      <c r="L34" s="9"/>
      <c r="M34" s="9"/>
      <c r="N34" s="9"/>
      <c r="O34" s="77">
        <f t="shared" si="18"/>
        <v>897.10489568</v>
      </c>
      <c r="P34" s="114">
        <f t="shared" si="17"/>
        <v>0.13</v>
      </c>
      <c r="Q34" s="9">
        <f t="shared" si="2"/>
        <v>1013.7285321184</v>
      </c>
      <c r="R34" s="9">
        <f t="shared" si="3"/>
        <v>439390.494961399</v>
      </c>
      <c r="S34" s="11">
        <f t="shared" si="4"/>
        <v>129432.858980877</v>
      </c>
      <c r="T34" s="11">
        <f t="shared" si="5"/>
        <v>0</v>
      </c>
      <c r="U34" s="11">
        <f t="shared" si="6"/>
        <v>135393.582749733</v>
      </c>
      <c r="V34" s="11">
        <f t="shared" si="7"/>
        <v>0</v>
      </c>
      <c r="W34" s="11">
        <f t="shared" si="8"/>
        <v>174564.053230788</v>
      </c>
      <c r="X34" s="11">
        <f t="shared" si="9"/>
        <v>0</v>
      </c>
      <c r="Y34" s="11">
        <f t="shared" si="10"/>
        <v>0</v>
      </c>
      <c r="Z34" s="11">
        <f t="shared" si="11"/>
        <v>0</v>
      </c>
      <c r="AA34" s="11">
        <f t="shared" si="12"/>
        <v>0</v>
      </c>
    </row>
    <row r="35" customHeight="1" spans="1:27">
      <c r="A35" s="9">
        <v>32</v>
      </c>
      <c r="B35" s="13" t="s">
        <v>133</v>
      </c>
      <c r="C35" s="11" t="s">
        <v>137</v>
      </c>
      <c r="D35" s="12" t="s">
        <v>59</v>
      </c>
      <c r="E35" s="9">
        <f t="shared" si="16"/>
        <v>80.04</v>
      </c>
      <c r="F35" s="9"/>
      <c r="G35" s="9"/>
      <c r="H35" s="9"/>
      <c r="I35" s="9">
        <f>工程量计算数!K89+工程量计算数!K90</f>
        <v>22.62</v>
      </c>
      <c r="J35" s="9"/>
      <c r="K35" s="9">
        <f>工程量计算数!K173+工程量计算数!K174</f>
        <v>19.14</v>
      </c>
      <c r="L35" s="9">
        <f>工程量计算数!K203+工程量计算数!K204</f>
        <v>19.14</v>
      </c>
      <c r="M35" s="9">
        <f>工程量计算数!K231+工程量计算数!K232</f>
        <v>19.14</v>
      </c>
      <c r="N35" s="9"/>
      <c r="O35" s="77">
        <f t="shared" si="18"/>
        <v>897.10489568</v>
      </c>
      <c r="P35" s="114">
        <f t="shared" si="17"/>
        <v>0.13</v>
      </c>
      <c r="Q35" s="9">
        <f t="shared" si="2"/>
        <v>1013.7285321184</v>
      </c>
      <c r="R35" s="9">
        <f t="shared" si="3"/>
        <v>81138.8317107567</v>
      </c>
      <c r="S35" s="11">
        <f t="shared" si="4"/>
        <v>0</v>
      </c>
      <c r="T35" s="11">
        <f t="shared" si="5"/>
        <v>0</v>
      </c>
      <c r="U35" s="11">
        <f t="shared" si="6"/>
        <v>0</v>
      </c>
      <c r="V35" s="11">
        <f t="shared" si="7"/>
        <v>22930.5393965182</v>
      </c>
      <c r="W35" s="11">
        <f t="shared" si="8"/>
        <v>0</v>
      </c>
      <c r="X35" s="11">
        <f t="shared" si="9"/>
        <v>19402.7641047462</v>
      </c>
      <c r="Y35" s="11">
        <f t="shared" si="10"/>
        <v>19402.7641047462</v>
      </c>
      <c r="Z35" s="11">
        <f t="shared" si="11"/>
        <v>19402.7641047462</v>
      </c>
      <c r="AA35" s="11">
        <f t="shared" si="12"/>
        <v>0</v>
      </c>
    </row>
    <row r="36" customHeight="1" spans="1:27">
      <c r="A36" s="9">
        <v>33</v>
      </c>
      <c r="B36" s="13" t="s">
        <v>133</v>
      </c>
      <c r="C36" s="11" t="s">
        <v>138</v>
      </c>
      <c r="D36" s="12" t="s">
        <v>59</v>
      </c>
      <c r="E36" s="9">
        <f t="shared" si="16"/>
        <v>3.15</v>
      </c>
      <c r="F36" s="9"/>
      <c r="G36" s="9"/>
      <c r="H36" s="9"/>
      <c r="I36" s="9"/>
      <c r="J36" s="9">
        <f>工程量计算数!K147+工程量计算数!K152</f>
        <v>3.15</v>
      </c>
      <c r="K36" s="9"/>
      <c r="L36" s="9"/>
      <c r="M36" s="9"/>
      <c r="N36" s="9"/>
      <c r="O36" s="77">
        <f t="shared" si="18"/>
        <v>897.10489568</v>
      </c>
      <c r="P36" s="114">
        <f t="shared" si="17"/>
        <v>0.13</v>
      </c>
      <c r="Q36" s="9">
        <f t="shared" si="2"/>
        <v>1013.7285321184</v>
      </c>
      <c r="R36" s="9">
        <f t="shared" si="3"/>
        <v>3193.24487617296</v>
      </c>
      <c r="S36" s="11">
        <f t="shared" si="4"/>
        <v>0</v>
      </c>
      <c r="T36" s="11">
        <f t="shared" si="5"/>
        <v>0</v>
      </c>
      <c r="U36" s="11">
        <f t="shared" si="6"/>
        <v>0</v>
      </c>
      <c r="V36" s="11">
        <f t="shared" si="7"/>
        <v>0</v>
      </c>
      <c r="W36" s="11">
        <f t="shared" si="8"/>
        <v>3193.24487617296</v>
      </c>
      <c r="X36" s="11">
        <f t="shared" si="9"/>
        <v>0</v>
      </c>
      <c r="Y36" s="11">
        <f t="shared" si="10"/>
        <v>0</v>
      </c>
      <c r="Z36" s="11">
        <f t="shared" si="11"/>
        <v>0</v>
      </c>
      <c r="AA36" s="11">
        <f t="shared" si="12"/>
        <v>0</v>
      </c>
    </row>
    <row r="37" customHeight="1" spans="1:27">
      <c r="A37" s="9">
        <v>34</v>
      </c>
      <c r="B37" s="13" t="s">
        <v>133</v>
      </c>
      <c r="C37" s="11" t="s">
        <v>104</v>
      </c>
      <c r="D37" s="12" t="s">
        <v>59</v>
      </c>
      <c r="E37" s="9">
        <f t="shared" si="16"/>
        <v>541.8</v>
      </c>
      <c r="F37" s="9"/>
      <c r="G37" s="9">
        <f>工程量计算数!K42+工程量计算数!K43</f>
        <v>390.6</v>
      </c>
      <c r="H37" s="9">
        <f>工程量计算数!K53+工程量计算数!K54</f>
        <v>86.94</v>
      </c>
      <c r="I37" s="9"/>
      <c r="J37" s="9">
        <f>工程量计算数!K118+工程量计算数!K119</f>
        <v>64.26</v>
      </c>
      <c r="K37" s="9"/>
      <c r="L37" s="9"/>
      <c r="M37" s="9"/>
      <c r="N37" s="9"/>
      <c r="O37" s="77">
        <f t="shared" si="18"/>
        <v>897.10489568</v>
      </c>
      <c r="P37" s="114">
        <f t="shared" si="17"/>
        <v>0.13</v>
      </c>
      <c r="Q37" s="9">
        <f t="shared" si="2"/>
        <v>1013.7285321184</v>
      </c>
      <c r="R37" s="9">
        <f t="shared" si="3"/>
        <v>549238.118701749</v>
      </c>
      <c r="S37" s="11">
        <f t="shared" si="4"/>
        <v>0</v>
      </c>
      <c r="T37" s="11">
        <f t="shared" si="5"/>
        <v>395962.364645447</v>
      </c>
      <c r="U37" s="11">
        <f t="shared" si="6"/>
        <v>88133.5585823737</v>
      </c>
      <c r="V37" s="11">
        <f t="shared" si="7"/>
        <v>0</v>
      </c>
      <c r="W37" s="11">
        <f t="shared" si="8"/>
        <v>65142.1954739284</v>
      </c>
      <c r="X37" s="11">
        <f t="shared" si="9"/>
        <v>0</v>
      </c>
      <c r="Y37" s="11">
        <f t="shared" si="10"/>
        <v>0</v>
      </c>
      <c r="Z37" s="11">
        <f t="shared" si="11"/>
        <v>0</v>
      </c>
      <c r="AA37" s="11">
        <f t="shared" si="12"/>
        <v>0</v>
      </c>
    </row>
    <row r="38" customHeight="1" spans="1:27">
      <c r="A38" s="9">
        <v>35</v>
      </c>
      <c r="B38" s="13" t="s">
        <v>133</v>
      </c>
      <c r="C38" s="11" t="s">
        <v>121</v>
      </c>
      <c r="D38" s="12" t="s">
        <v>59</v>
      </c>
      <c r="E38" s="9">
        <f t="shared" si="16"/>
        <v>180.09</v>
      </c>
      <c r="F38" s="9"/>
      <c r="G38" s="9"/>
      <c r="H38" s="9"/>
      <c r="I38" s="9">
        <f>工程量计算数!K91+工程量计算数!K92</f>
        <v>50.895</v>
      </c>
      <c r="J38" s="9"/>
      <c r="K38" s="9">
        <f>工程量计算数!K175+工程量计算数!K176</f>
        <v>43.065</v>
      </c>
      <c r="L38" s="9">
        <f>工程量计算数!K205+工程量计算数!K206</f>
        <v>43.065</v>
      </c>
      <c r="M38" s="9">
        <f>工程量计算数!K233+工程量计算数!K234</f>
        <v>43.065</v>
      </c>
      <c r="N38" s="9"/>
      <c r="O38" s="77">
        <f t="shared" si="18"/>
        <v>897.10489568</v>
      </c>
      <c r="P38" s="114">
        <f t="shared" si="17"/>
        <v>0.13</v>
      </c>
      <c r="Q38" s="9">
        <f t="shared" si="2"/>
        <v>1013.7285321184</v>
      </c>
      <c r="R38" s="9">
        <f t="shared" si="3"/>
        <v>182562.371349203</v>
      </c>
      <c r="S38" s="11">
        <f t="shared" si="4"/>
        <v>0</v>
      </c>
      <c r="T38" s="11">
        <f t="shared" si="5"/>
        <v>0</v>
      </c>
      <c r="U38" s="11">
        <f t="shared" si="6"/>
        <v>0</v>
      </c>
      <c r="V38" s="11">
        <f t="shared" si="7"/>
        <v>51593.713642166</v>
      </c>
      <c r="W38" s="11">
        <f t="shared" si="8"/>
        <v>0</v>
      </c>
      <c r="X38" s="11">
        <f t="shared" si="9"/>
        <v>43656.2192356789</v>
      </c>
      <c r="Y38" s="11">
        <f t="shared" si="10"/>
        <v>43656.2192356789</v>
      </c>
      <c r="Z38" s="11">
        <f t="shared" si="11"/>
        <v>43656.2192356789</v>
      </c>
      <c r="AA38" s="11">
        <f t="shared" si="12"/>
        <v>0</v>
      </c>
    </row>
    <row r="39" customHeight="1" spans="1:27">
      <c r="A39" s="9">
        <v>36</v>
      </c>
      <c r="B39" s="13" t="s">
        <v>133</v>
      </c>
      <c r="C39" s="11" t="s">
        <v>139</v>
      </c>
      <c r="D39" s="12" t="s">
        <v>59</v>
      </c>
      <c r="E39" s="9">
        <f t="shared" si="16"/>
        <v>1.2</v>
      </c>
      <c r="F39" s="9"/>
      <c r="G39" s="9"/>
      <c r="H39" s="9"/>
      <c r="I39" s="9"/>
      <c r="J39" s="9">
        <f>工程量计算数!K153</f>
        <v>1.2</v>
      </c>
      <c r="K39" s="9"/>
      <c r="L39" s="9"/>
      <c r="M39" s="9"/>
      <c r="N39" s="9"/>
      <c r="O39" s="77">
        <f t="shared" si="18"/>
        <v>897.10489568</v>
      </c>
      <c r="P39" s="114">
        <f t="shared" si="17"/>
        <v>0.13</v>
      </c>
      <c r="Q39" s="9">
        <f t="shared" si="2"/>
        <v>1013.7285321184</v>
      </c>
      <c r="R39" s="9">
        <f t="shared" si="3"/>
        <v>1216.47423854208</v>
      </c>
      <c r="S39" s="11">
        <f t="shared" si="4"/>
        <v>0</v>
      </c>
      <c r="T39" s="11">
        <f t="shared" si="5"/>
        <v>0</v>
      </c>
      <c r="U39" s="11">
        <f t="shared" si="6"/>
        <v>0</v>
      </c>
      <c r="V39" s="11">
        <f t="shared" si="7"/>
        <v>0</v>
      </c>
      <c r="W39" s="11">
        <f t="shared" si="8"/>
        <v>1216.47423854208</v>
      </c>
      <c r="X39" s="11">
        <f t="shared" si="9"/>
        <v>0</v>
      </c>
      <c r="Y39" s="11">
        <f t="shared" si="10"/>
        <v>0</v>
      </c>
      <c r="Z39" s="11">
        <f t="shared" si="11"/>
        <v>0</v>
      </c>
      <c r="AA39" s="11">
        <f t="shared" si="12"/>
        <v>0</v>
      </c>
    </row>
    <row r="40" customHeight="1" spans="1:27">
      <c r="A40" s="9">
        <v>37</v>
      </c>
      <c r="B40" s="109" t="s">
        <v>140</v>
      </c>
      <c r="C40" s="11" t="s">
        <v>141</v>
      </c>
      <c r="D40" s="12" t="s">
        <v>60</v>
      </c>
      <c r="E40" s="9">
        <f t="shared" ref="E40:E60" si="19">SUM(F40:N40)</f>
        <v>8.82</v>
      </c>
      <c r="F40" s="9"/>
      <c r="G40" s="9"/>
      <c r="H40" s="9"/>
      <c r="I40" s="9"/>
      <c r="J40" s="9">
        <f>工程量计算数!K148</f>
        <v>8.82</v>
      </c>
      <c r="K40" s="9"/>
      <c r="L40" s="9"/>
      <c r="M40" s="9"/>
      <c r="N40" s="9"/>
      <c r="O40" s="77">
        <f>综合单价分析!H209</f>
        <v>617.64138912</v>
      </c>
      <c r="P40" s="114">
        <f t="shared" si="17"/>
        <v>0.13</v>
      </c>
      <c r="Q40" s="9">
        <f t="shared" ref="Q40:Q48" si="20">O40*(1+P40)</f>
        <v>697.9347697056</v>
      </c>
      <c r="R40" s="9">
        <f t="shared" ref="R40:R48" si="21">E40*Q40</f>
        <v>6155.78466880339</v>
      </c>
      <c r="S40" s="11">
        <f t="shared" ref="S40:S49" si="22">F40*Q40</f>
        <v>0</v>
      </c>
      <c r="T40" s="11">
        <f t="shared" ref="T40:T49" si="23">G40*Q40</f>
        <v>0</v>
      </c>
      <c r="U40" s="11">
        <f t="shared" ref="U40:U49" si="24">H40*Q40</f>
        <v>0</v>
      </c>
      <c r="V40" s="11">
        <f t="shared" ref="V40:V49" si="25">I40*Q40</f>
        <v>0</v>
      </c>
      <c r="W40" s="11">
        <f t="shared" ref="W40:W49" si="26">J40*Q40</f>
        <v>6155.78466880339</v>
      </c>
      <c r="X40" s="11">
        <f t="shared" ref="X40:X49" si="27">K40*Q40</f>
        <v>0</v>
      </c>
      <c r="Y40" s="11">
        <f t="shared" ref="Y40:Y49" si="28">L40*Q40</f>
        <v>0</v>
      </c>
      <c r="Z40" s="11">
        <f t="shared" ref="Z40:Z49" si="29">M40*Q40</f>
        <v>0</v>
      </c>
      <c r="AA40" s="11">
        <f t="shared" ref="AA40:AA49" si="30">N40*Q40</f>
        <v>0</v>
      </c>
    </row>
    <row r="41" customHeight="1" spans="1:27">
      <c r="A41" s="9">
        <v>38</v>
      </c>
      <c r="B41" s="13" t="s">
        <v>142</v>
      </c>
      <c r="C41" s="11" t="s">
        <v>128</v>
      </c>
      <c r="D41" s="12" t="s">
        <v>143</v>
      </c>
      <c r="E41" s="9">
        <f t="shared" si="19"/>
        <v>1389.15</v>
      </c>
      <c r="F41" s="9">
        <f>工程量计算数!K6</f>
        <v>110.25</v>
      </c>
      <c r="G41" s="9"/>
      <c r="H41" s="9">
        <f>工程量计算数!K66</f>
        <v>608.58</v>
      </c>
      <c r="I41" s="9"/>
      <c r="J41" s="9">
        <f>工程量计算数!K131</f>
        <v>670.32</v>
      </c>
      <c r="K41" s="9"/>
      <c r="L41" s="9"/>
      <c r="M41" s="9"/>
      <c r="N41" s="9"/>
      <c r="O41" s="77">
        <f>综合单价分析!H245</f>
        <v>811.107824576</v>
      </c>
      <c r="P41" s="114">
        <f t="shared" si="17"/>
        <v>0.13</v>
      </c>
      <c r="Q41" s="9">
        <f t="shared" si="20"/>
        <v>916.55184177088</v>
      </c>
      <c r="R41" s="9">
        <f t="shared" si="21"/>
        <v>1273227.99099602</v>
      </c>
      <c r="S41" s="11">
        <f t="shared" si="22"/>
        <v>101049.84055524</v>
      </c>
      <c r="T41" s="11">
        <f t="shared" si="23"/>
        <v>0</v>
      </c>
      <c r="U41" s="11">
        <f t="shared" si="24"/>
        <v>557795.119864922</v>
      </c>
      <c r="V41" s="11">
        <f t="shared" si="25"/>
        <v>0</v>
      </c>
      <c r="W41" s="11">
        <f t="shared" si="26"/>
        <v>614383.030575856</v>
      </c>
      <c r="X41" s="11">
        <f t="shared" si="27"/>
        <v>0</v>
      </c>
      <c r="Y41" s="11">
        <f t="shared" si="28"/>
        <v>0</v>
      </c>
      <c r="Z41" s="11">
        <f t="shared" si="29"/>
        <v>0</v>
      </c>
      <c r="AA41" s="11">
        <f t="shared" si="30"/>
        <v>0</v>
      </c>
    </row>
    <row r="42" customHeight="1" spans="1:27">
      <c r="A42" s="9">
        <v>39</v>
      </c>
      <c r="B42" s="13" t="s">
        <v>142</v>
      </c>
      <c r="C42" s="11" t="s">
        <v>144</v>
      </c>
      <c r="D42" s="12" t="s">
        <v>143</v>
      </c>
      <c r="E42" s="9">
        <f t="shared" si="19"/>
        <v>7.14</v>
      </c>
      <c r="F42" s="9"/>
      <c r="G42" s="9"/>
      <c r="H42" s="9"/>
      <c r="I42" s="9"/>
      <c r="J42" s="9">
        <f>+工程量计算数!K132</f>
        <v>7.14</v>
      </c>
      <c r="K42" s="9"/>
      <c r="L42" s="9"/>
      <c r="M42" s="9"/>
      <c r="N42" s="9"/>
      <c r="O42" s="77">
        <f>O41</f>
        <v>811.107824576</v>
      </c>
      <c r="P42" s="114">
        <f t="shared" si="17"/>
        <v>0.13</v>
      </c>
      <c r="Q42" s="9">
        <f t="shared" si="20"/>
        <v>916.55184177088</v>
      </c>
      <c r="R42" s="9">
        <f t="shared" si="21"/>
        <v>6544.18015024408</v>
      </c>
      <c r="S42" s="11">
        <f t="shared" si="22"/>
        <v>0</v>
      </c>
      <c r="T42" s="11">
        <f t="shared" si="23"/>
        <v>0</v>
      </c>
      <c r="U42" s="11">
        <f t="shared" si="24"/>
        <v>0</v>
      </c>
      <c r="V42" s="11">
        <f t="shared" si="25"/>
        <v>0</v>
      </c>
      <c r="W42" s="11">
        <f t="shared" si="26"/>
        <v>6544.18015024408</v>
      </c>
      <c r="X42" s="11">
        <f t="shared" si="27"/>
        <v>0</v>
      </c>
      <c r="Y42" s="11">
        <f t="shared" si="28"/>
        <v>0</v>
      </c>
      <c r="Z42" s="11">
        <f t="shared" si="29"/>
        <v>0</v>
      </c>
      <c r="AA42" s="11">
        <f t="shared" si="30"/>
        <v>0</v>
      </c>
    </row>
    <row r="43" customHeight="1" spans="1:27">
      <c r="A43" s="9">
        <v>40</v>
      </c>
      <c r="B43" s="13" t="s">
        <v>142</v>
      </c>
      <c r="C43" s="11" t="s">
        <v>107</v>
      </c>
      <c r="D43" s="12" t="s">
        <v>76</v>
      </c>
      <c r="E43" s="9">
        <f t="shared" si="19"/>
        <v>640.5</v>
      </c>
      <c r="F43" s="9">
        <f>工程量计算数!K10</f>
        <v>107.1</v>
      </c>
      <c r="G43" s="9">
        <f>工程量计算数!K39</f>
        <v>325.5</v>
      </c>
      <c r="H43" s="9">
        <f>工程量计算数!K65</f>
        <v>46.2</v>
      </c>
      <c r="I43" s="9"/>
      <c r="J43" s="9">
        <f>工程量计算数!K130</f>
        <v>161.7</v>
      </c>
      <c r="K43" s="9"/>
      <c r="L43" s="9"/>
      <c r="M43" s="9"/>
      <c r="N43" s="9"/>
      <c r="O43" s="77">
        <f>O42</f>
        <v>811.107824576</v>
      </c>
      <c r="P43" s="114">
        <f t="shared" si="17"/>
        <v>0.13</v>
      </c>
      <c r="Q43" s="9">
        <f t="shared" si="20"/>
        <v>916.55184177088</v>
      </c>
      <c r="R43" s="9">
        <f t="shared" si="21"/>
        <v>587051.454654249</v>
      </c>
      <c r="S43" s="11">
        <f t="shared" si="22"/>
        <v>98162.7022536612</v>
      </c>
      <c r="T43" s="11">
        <f t="shared" si="23"/>
        <v>298337.624496421</v>
      </c>
      <c r="U43" s="11">
        <f t="shared" si="24"/>
        <v>42344.6950898147</v>
      </c>
      <c r="V43" s="11">
        <f t="shared" si="25"/>
        <v>0</v>
      </c>
      <c r="W43" s="11">
        <f t="shared" si="26"/>
        <v>148206.432814351</v>
      </c>
      <c r="X43" s="11">
        <f t="shared" si="27"/>
        <v>0</v>
      </c>
      <c r="Y43" s="11">
        <f t="shared" si="28"/>
        <v>0</v>
      </c>
      <c r="Z43" s="11">
        <f t="shared" si="29"/>
        <v>0</v>
      </c>
      <c r="AA43" s="11">
        <f t="shared" si="30"/>
        <v>0</v>
      </c>
    </row>
    <row r="44" customHeight="1" spans="1:27">
      <c r="A44" s="9">
        <v>41</v>
      </c>
      <c r="B44" s="13" t="s">
        <v>145</v>
      </c>
      <c r="C44" s="11" t="s">
        <v>146</v>
      </c>
      <c r="D44" s="12" t="s">
        <v>56</v>
      </c>
      <c r="E44" s="9">
        <f t="shared" si="19"/>
        <v>108.9</v>
      </c>
      <c r="F44" s="9"/>
      <c r="G44" s="9"/>
      <c r="H44" s="9"/>
      <c r="I44" s="9"/>
      <c r="J44" s="9"/>
      <c r="K44" s="9">
        <f>工程量计算数!K185</f>
        <v>36.3</v>
      </c>
      <c r="L44" s="9">
        <f>工程量计算数!K215</f>
        <v>36.3</v>
      </c>
      <c r="M44" s="9">
        <f>工程量计算数!K243</f>
        <v>36.3</v>
      </c>
      <c r="N44" s="9"/>
      <c r="O44" s="77">
        <f>综合单价分析!H279</f>
        <v>536.5661056</v>
      </c>
      <c r="P44" s="114">
        <f t="shared" si="17"/>
        <v>0.13</v>
      </c>
      <c r="Q44" s="9">
        <f t="shared" si="20"/>
        <v>606.319699328</v>
      </c>
      <c r="R44" s="9">
        <f t="shared" si="21"/>
        <v>66028.2152568192</v>
      </c>
      <c r="S44" s="11">
        <f t="shared" si="22"/>
        <v>0</v>
      </c>
      <c r="T44" s="11">
        <f t="shared" si="23"/>
        <v>0</v>
      </c>
      <c r="U44" s="11">
        <f t="shared" si="24"/>
        <v>0</v>
      </c>
      <c r="V44" s="11">
        <f t="shared" si="25"/>
        <v>0</v>
      </c>
      <c r="W44" s="11">
        <f t="shared" si="26"/>
        <v>0</v>
      </c>
      <c r="X44" s="11">
        <f t="shared" si="27"/>
        <v>22009.4050856064</v>
      </c>
      <c r="Y44" s="11">
        <f t="shared" si="28"/>
        <v>22009.4050856064</v>
      </c>
      <c r="Z44" s="11">
        <f t="shared" si="29"/>
        <v>22009.4050856064</v>
      </c>
      <c r="AA44" s="11">
        <f t="shared" si="30"/>
        <v>0</v>
      </c>
    </row>
    <row r="45" customHeight="1" spans="1:27">
      <c r="A45" s="9">
        <v>42</v>
      </c>
      <c r="B45" s="13" t="s">
        <v>145</v>
      </c>
      <c r="C45" s="11" t="s">
        <v>106</v>
      </c>
      <c r="D45" s="12" t="s">
        <v>56</v>
      </c>
      <c r="E45" s="9">
        <f t="shared" si="19"/>
        <v>191.52</v>
      </c>
      <c r="F45" s="9">
        <f>工程量计算数!K20</f>
        <v>3.36</v>
      </c>
      <c r="G45" s="9">
        <f>工程量计算数!K46</f>
        <v>16.8</v>
      </c>
      <c r="H45" s="9">
        <f>工程量计算数!K73</f>
        <v>80.64</v>
      </c>
      <c r="I45" s="9"/>
      <c r="J45" s="9">
        <f>工程量计算数!K139</f>
        <v>90.72</v>
      </c>
      <c r="K45" s="9"/>
      <c r="L45" s="9"/>
      <c r="M45" s="9"/>
      <c r="N45" s="9"/>
      <c r="O45" s="77">
        <f>O44</f>
        <v>536.5661056</v>
      </c>
      <c r="P45" s="114">
        <f t="shared" ref="P45:P54" si="31">$P$3</f>
        <v>0.13</v>
      </c>
      <c r="Q45" s="9">
        <f t="shared" si="20"/>
        <v>606.319699328</v>
      </c>
      <c r="R45" s="9">
        <f t="shared" si="21"/>
        <v>116122.348815299</v>
      </c>
      <c r="S45" s="11">
        <f t="shared" si="22"/>
        <v>2037.23418974208</v>
      </c>
      <c r="T45" s="11">
        <f t="shared" si="23"/>
        <v>10186.1709487104</v>
      </c>
      <c r="U45" s="11">
        <f t="shared" si="24"/>
        <v>48893.6205538099</v>
      </c>
      <c r="V45" s="11">
        <f t="shared" si="25"/>
        <v>0</v>
      </c>
      <c r="W45" s="11">
        <f t="shared" si="26"/>
        <v>55005.3231230362</v>
      </c>
      <c r="X45" s="11">
        <f t="shared" si="27"/>
        <v>0</v>
      </c>
      <c r="Y45" s="11">
        <f t="shared" si="28"/>
        <v>0</v>
      </c>
      <c r="Z45" s="11">
        <f t="shared" si="29"/>
        <v>0</v>
      </c>
      <c r="AA45" s="11">
        <f t="shared" si="30"/>
        <v>0</v>
      </c>
    </row>
    <row r="46" customHeight="1" spans="1:27">
      <c r="A46" s="9">
        <v>43</v>
      </c>
      <c r="B46" s="13" t="s">
        <v>145</v>
      </c>
      <c r="C46" s="11" t="s">
        <v>119</v>
      </c>
      <c r="D46" s="12" t="s">
        <v>56</v>
      </c>
      <c r="E46" s="9">
        <f t="shared" si="19"/>
        <v>58.5</v>
      </c>
      <c r="F46" s="9"/>
      <c r="G46" s="9"/>
      <c r="H46" s="9"/>
      <c r="I46" s="9">
        <f>工程量计算数!K101</f>
        <v>58.5</v>
      </c>
      <c r="J46" s="9"/>
      <c r="K46" s="9"/>
      <c r="L46" s="9"/>
      <c r="M46" s="9"/>
      <c r="N46" s="9"/>
      <c r="O46" s="77">
        <f>O45</f>
        <v>536.5661056</v>
      </c>
      <c r="P46" s="114">
        <f t="shared" si="31"/>
        <v>0.13</v>
      </c>
      <c r="Q46" s="9">
        <f t="shared" si="20"/>
        <v>606.319699328</v>
      </c>
      <c r="R46" s="9">
        <f t="shared" si="21"/>
        <v>35469.702410688</v>
      </c>
      <c r="S46" s="11">
        <f t="shared" si="22"/>
        <v>0</v>
      </c>
      <c r="T46" s="11">
        <f t="shared" si="23"/>
        <v>0</v>
      </c>
      <c r="U46" s="11">
        <f t="shared" si="24"/>
        <v>0</v>
      </c>
      <c r="V46" s="11">
        <f t="shared" si="25"/>
        <v>35469.702410688</v>
      </c>
      <c r="W46" s="11">
        <f t="shared" si="26"/>
        <v>0</v>
      </c>
      <c r="X46" s="11">
        <f t="shared" si="27"/>
        <v>0</v>
      </c>
      <c r="Y46" s="11">
        <f t="shared" si="28"/>
        <v>0</v>
      </c>
      <c r="Z46" s="11">
        <f t="shared" si="29"/>
        <v>0</v>
      </c>
      <c r="AA46" s="11">
        <f t="shared" si="30"/>
        <v>0</v>
      </c>
    </row>
    <row r="47" customHeight="1" spans="1:27">
      <c r="A47" s="9">
        <v>44</v>
      </c>
      <c r="B47" s="13" t="s">
        <v>147</v>
      </c>
      <c r="C47" s="11" t="s">
        <v>148</v>
      </c>
      <c r="D47" s="12" t="s">
        <v>149</v>
      </c>
      <c r="E47" s="9">
        <f t="shared" si="19"/>
        <v>4.8</v>
      </c>
      <c r="F47" s="9">
        <f>工程量计算数!K21</f>
        <v>4.8</v>
      </c>
      <c r="G47" s="9"/>
      <c r="H47" s="9"/>
      <c r="I47" s="9"/>
      <c r="J47" s="9"/>
      <c r="K47" s="9"/>
      <c r="L47" s="9"/>
      <c r="M47" s="9"/>
      <c r="N47" s="9"/>
      <c r="O47" s="77">
        <f>综合单价分析!H314</f>
        <v>642.571396096</v>
      </c>
      <c r="P47" s="114">
        <f t="shared" si="31"/>
        <v>0.13</v>
      </c>
      <c r="Q47" s="9">
        <f t="shared" si="20"/>
        <v>726.10567758848</v>
      </c>
      <c r="R47" s="9">
        <f t="shared" si="21"/>
        <v>3485.3072524247</v>
      </c>
      <c r="S47" s="11">
        <f t="shared" si="22"/>
        <v>3485.3072524247</v>
      </c>
      <c r="T47" s="11">
        <f t="shared" si="23"/>
        <v>0</v>
      </c>
      <c r="U47" s="11">
        <f t="shared" si="24"/>
        <v>0</v>
      </c>
      <c r="V47" s="11">
        <f t="shared" si="25"/>
        <v>0</v>
      </c>
      <c r="W47" s="11">
        <f t="shared" si="26"/>
        <v>0</v>
      </c>
      <c r="X47" s="11">
        <f t="shared" si="27"/>
        <v>0</v>
      </c>
      <c r="Y47" s="11">
        <f t="shared" si="28"/>
        <v>0</v>
      </c>
      <c r="Z47" s="11">
        <f t="shared" si="29"/>
        <v>0</v>
      </c>
      <c r="AA47" s="11">
        <f t="shared" si="30"/>
        <v>0</v>
      </c>
    </row>
    <row r="48" customHeight="1" spans="1:27">
      <c r="A48" s="9">
        <v>45</v>
      </c>
      <c r="B48" s="13" t="s">
        <v>150</v>
      </c>
      <c r="C48" s="11" t="s">
        <v>151</v>
      </c>
      <c r="D48" s="12" t="s">
        <v>65</v>
      </c>
      <c r="E48" s="9">
        <f t="shared" si="19"/>
        <v>276.36</v>
      </c>
      <c r="F48" s="9"/>
      <c r="G48" s="9"/>
      <c r="H48" s="9"/>
      <c r="I48" s="9">
        <f>工程量计算数!K111</f>
        <v>78.96</v>
      </c>
      <c r="J48" s="9"/>
      <c r="K48" s="9">
        <f>工程量计算数!K193</f>
        <v>65.8</v>
      </c>
      <c r="L48" s="9">
        <f>工程量计算数!K223</f>
        <v>65.8</v>
      </c>
      <c r="M48" s="9">
        <f>工程量计算数!K251</f>
        <v>65.8</v>
      </c>
      <c r="N48" s="9"/>
      <c r="O48" s="77">
        <f>综合单价分析!H383</f>
        <v>500.3846624</v>
      </c>
      <c r="P48" s="114">
        <f t="shared" si="31"/>
        <v>0.13</v>
      </c>
      <c r="Q48" s="9">
        <f t="shared" si="20"/>
        <v>565.434668512</v>
      </c>
      <c r="R48" s="9">
        <f t="shared" si="21"/>
        <v>156263.524989976</v>
      </c>
      <c r="S48" s="11">
        <f t="shared" si="22"/>
        <v>0</v>
      </c>
      <c r="T48" s="11">
        <f t="shared" si="23"/>
        <v>0</v>
      </c>
      <c r="U48" s="11">
        <f t="shared" si="24"/>
        <v>0</v>
      </c>
      <c r="V48" s="11">
        <f t="shared" si="25"/>
        <v>44646.7214257075</v>
      </c>
      <c r="W48" s="11">
        <f t="shared" si="26"/>
        <v>0</v>
      </c>
      <c r="X48" s="11">
        <f t="shared" si="27"/>
        <v>37205.6011880896</v>
      </c>
      <c r="Y48" s="11">
        <f t="shared" si="28"/>
        <v>37205.6011880896</v>
      </c>
      <c r="Z48" s="11">
        <f t="shared" si="29"/>
        <v>37205.6011880896</v>
      </c>
      <c r="AA48" s="11">
        <f t="shared" si="30"/>
        <v>0</v>
      </c>
    </row>
    <row r="49" customHeight="1" spans="1:27">
      <c r="A49" s="9">
        <v>46</v>
      </c>
      <c r="B49" s="13" t="s">
        <v>152</v>
      </c>
      <c r="C49" s="11" t="s">
        <v>153</v>
      </c>
      <c r="D49" s="12" t="s">
        <v>66</v>
      </c>
      <c r="E49" s="9">
        <f t="shared" si="19"/>
        <v>253.92</v>
      </c>
      <c r="F49" s="9"/>
      <c r="G49" s="9"/>
      <c r="H49" s="9">
        <f>工程量计算数!K82</f>
        <v>253.92</v>
      </c>
      <c r="I49" s="9"/>
      <c r="J49" s="9"/>
      <c r="K49" s="9"/>
      <c r="L49" s="9"/>
      <c r="M49" s="9"/>
      <c r="N49" s="9"/>
      <c r="O49" s="77">
        <f>综合单价分析!H349</f>
        <v>890.129100672</v>
      </c>
      <c r="P49" s="114">
        <f t="shared" si="31"/>
        <v>0.13</v>
      </c>
      <c r="Q49" s="9">
        <f t="shared" ref="Q49:Q72" si="32">O49*(1+P49)</f>
        <v>1005.84588375936</v>
      </c>
      <c r="R49" s="9">
        <f t="shared" ref="R49:R72" si="33">E49*Q49</f>
        <v>255404.386804177</v>
      </c>
      <c r="S49" s="11">
        <f t="shared" si="22"/>
        <v>0</v>
      </c>
      <c r="T49" s="11">
        <f t="shared" si="23"/>
        <v>0</v>
      </c>
      <c r="U49" s="11">
        <f t="shared" si="24"/>
        <v>255404.386804177</v>
      </c>
      <c r="V49" s="11">
        <f t="shared" si="25"/>
        <v>0</v>
      </c>
      <c r="W49" s="11">
        <f t="shared" si="26"/>
        <v>0</v>
      </c>
      <c r="X49" s="11">
        <f t="shared" si="27"/>
        <v>0</v>
      </c>
      <c r="Y49" s="11">
        <f t="shared" si="28"/>
        <v>0</v>
      </c>
      <c r="Z49" s="11">
        <f t="shared" si="29"/>
        <v>0</v>
      </c>
      <c r="AA49" s="11">
        <f t="shared" si="30"/>
        <v>0</v>
      </c>
    </row>
    <row r="50" customHeight="1" spans="1:27">
      <c r="A50" s="9">
        <v>47</v>
      </c>
      <c r="B50" s="13" t="s">
        <v>150</v>
      </c>
      <c r="C50" s="11" t="s">
        <v>154</v>
      </c>
      <c r="D50" s="12" t="s">
        <v>65</v>
      </c>
      <c r="E50" s="9">
        <f t="shared" si="19"/>
        <v>708.66</v>
      </c>
      <c r="F50" s="9"/>
      <c r="G50" s="9"/>
      <c r="H50" s="9"/>
      <c r="I50" s="9">
        <f>工程量计算数!K106</f>
        <v>109.98</v>
      </c>
      <c r="J50" s="9">
        <f>工程量计算数!K159</f>
        <v>350.52</v>
      </c>
      <c r="K50" s="9">
        <f>工程量计算数!K188</f>
        <v>93.06</v>
      </c>
      <c r="L50" s="9">
        <f>工程量计算数!K218</f>
        <v>93.06</v>
      </c>
      <c r="M50" s="9">
        <f>工程量计算数!K246</f>
        <v>62.04</v>
      </c>
      <c r="N50" s="9"/>
      <c r="O50" s="77">
        <f>综合单价分析!H383</f>
        <v>500.3846624</v>
      </c>
      <c r="P50" s="114">
        <f t="shared" si="31"/>
        <v>0.13</v>
      </c>
      <c r="Q50" s="9">
        <f t="shared" si="32"/>
        <v>565.434668512</v>
      </c>
      <c r="R50" s="9">
        <f t="shared" si="33"/>
        <v>400700.932187714</v>
      </c>
      <c r="S50" s="11">
        <f t="shared" ref="S50:S72" si="34">F50*Q50</f>
        <v>0</v>
      </c>
      <c r="T50" s="11">
        <f t="shared" ref="T50:T72" si="35">G50*Q50</f>
        <v>0</v>
      </c>
      <c r="U50" s="11">
        <f t="shared" ref="U50:U72" si="36">H50*Q50</f>
        <v>0</v>
      </c>
      <c r="V50" s="11">
        <f t="shared" ref="V50:V72" si="37">I50*Q50</f>
        <v>62186.5048429498</v>
      </c>
      <c r="W50" s="11">
        <f t="shared" ref="W50:W72" si="38">J50*Q50</f>
        <v>198196.160006826</v>
      </c>
      <c r="X50" s="11">
        <f t="shared" ref="X50:X72" si="39">K50*Q50</f>
        <v>52619.3502517267</v>
      </c>
      <c r="Y50" s="11">
        <f t="shared" ref="Y50:Y72" si="40">L50*Q50</f>
        <v>52619.3502517267</v>
      </c>
      <c r="Z50" s="11">
        <f t="shared" ref="Z50:Z72" si="41">M50*Q50</f>
        <v>35079.5668344845</v>
      </c>
      <c r="AA50" s="11">
        <f t="shared" ref="AA50:AA72" si="42">N50*Q50</f>
        <v>0</v>
      </c>
    </row>
    <row r="51" customHeight="1" spans="1:27">
      <c r="A51" s="9">
        <v>48</v>
      </c>
      <c r="B51" s="13" t="s">
        <v>155</v>
      </c>
      <c r="C51" s="11" t="s">
        <v>156</v>
      </c>
      <c r="D51" s="12" t="s">
        <v>68</v>
      </c>
      <c r="E51" s="9">
        <f t="shared" si="19"/>
        <v>23.04</v>
      </c>
      <c r="F51" s="9"/>
      <c r="G51" s="9"/>
      <c r="H51" s="9"/>
      <c r="I51" s="9">
        <f>工程量计算数!K112</f>
        <v>5.76</v>
      </c>
      <c r="J51" s="9"/>
      <c r="K51" s="9">
        <f>工程量计算数!K194</f>
        <v>5.76</v>
      </c>
      <c r="L51" s="9">
        <f>工程量计算数!K224</f>
        <v>5.76</v>
      </c>
      <c r="M51" s="9">
        <f>工程量计算数!K252</f>
        <v>5.76</v>
      </c>
      <c r="N51" s="9"/>
      <c r="O51" s="77">
        <f>综合单价分析!H418</f>
        <v>2113.2948648</v>
      </c>
      <c r="P51" s="114">
        <f t="shared" si="31"/>
        <v>0.13</v>
      </c>
      <c r="Q51" s="9">
        <f t="shared" si="32"/>
        <v>2388.023197224</v>
      </c>
      <c r="R51" s="9">
        <f t="shared" si="33"/>
        <v>55020.054464041</v>
      </c>
      <c r="S51" s="11">
        <f t="shared" si="34"/>
        <v>0</v>
      </c>
      <c r="T51" s="11">
        <f t="shared" si="35"/>
        <v>0</v>
      </c>
      <c r="U51" s="11">
        <f t="shared" si="36"/>
        <v>0</v>
      </c>
      <c r="V51" s="11">
        <f t="shared" si="37"/>
        <v>13755.0136160102</v>
      </c>
      <c r="W51" s="11">
        <f t="shared" si="38"/>
        <v>0</v>
      </c>
      <c r="X51" s="11">
        <f t="shared" si="39"/>
        <v>13755.0136160102</v>
      </c>
      <c r="Y51" s="11">
        <f t="shared" si="40"/>
        <v>13755.0136160102</v>
      </c>
      <c r="Z51" s="11">
        <f t="shared" si="41"/>
        <v>13755.0136160102</v>
      </c>
      <c r="AA51" s="11">
        <f t="shared" si="42"/>
        <v>0</v>
      </c>
    </row>
    <row r="52" customHeight="1" spans="1:27">
      <c r="A52" s="9">
        <v>49</v>
      </c>
      <c r="B52" s="13" t="s">
        <v>157</v>
      </c>
      <c r="C52" s="11" t="s">
        <v>158</v>
      </c>
      <c r="D52" s="12" t="s">
        <v>70</v>
      </c>
      <c r="E52" s="9">
        <f t="shared" si="19"/>
        <v>200.925</v>
      </c>
      <c r="F52" s="9"/>
      <c r="G52" s="9"/>
      <c r="H52" s="9"/>
      <c r="I52" s="9">
        <f>工程量计算数!K108</f>
        <v>45.825</v>
      </c>
      <c r="J52" s="9"/>
      <c r="K52" s="9">
        <f>工程量计算数!K190</f>
        <v>38.775</v>
      </c>
      <c r="L52" s="9">
        <f>工程量计算数!K220</f>
        <v>38.775</v>
      </c>
      <c r="M52" s="9">
        <f>工程量计算数!K248</f>
        <v>77.55</v>
      </c>
      <c r="N52" s="9"/>
      <c r="O52" s="77">
        <f>综合单价分析!H454</f>
        <v>471.7997312</v>
      </c>
      <c r="P52" s="114">
        <f t="shared" si="31"/>
        <v>0.13</v>
      </c>
      <c r="Q52" s="9">
        <f t="shared" si="32"/>
        <v>533.133696256</v>
      </c>
      <c r="R52" s="9">
        <f t="shared" si="33"/>
        <v>107119.887920237</v>
      </c>
      <c r="S52" s="11">
        <f t="shared" si="34"/>
        <v>0</v>
      </c>
      <c r="T52" s="11">
        <f t="shared" si="35"/>
        <v>0</v>
      </c>
      <c r="U52" s="11">
        <f t="shared" si="36"/>
        <v>0</v>
      </c>
      <c r="V52" s="11">
        <f t="shared" si="37"/>
        <v>24430.8516309312</v>
      </c>
      <c r="W52" s="11">
        <f t="shared" si="38"/>
        <v>0</v>
      </c>
      <c r="X52" s="11">
        <f t="shared" si="39"/>
        <v>20672.2590723264</v>
      </c>
      <c r="Y52" s="11">
        <f t="shared" si="40"/>
        <v>20672.2590723264</v>
      </c>
      <c r="Z52" s="11">
        <f t="shared" si="41"/>
        <v>41344.5181446528</v>
      </c>
      <c r="AA52" s="11">
        <f t="shared" si="42"/>
        <v>0</v>
      </c>
    </row>
    <row r="53" customHeight="1" spans="1:27">
      <c r="A53" s="9">
        <v>50</v>
      </c>
      <c r="B53" s="13" t="s">
        <v>157</v>
      </c>
      <c r="C53" s="11" t="s">
        <v>159</v>
      </c>
      <c r="D53" s="12" t="s">
        <v>70</v>
      </c>
      <c r="E53" s="9">
        <f t="shared" si="19"/>
        <v>2005.6</v>
      </c>
      <c r="F53" s="9">
        <f>工程量计算数!K23</f>
        <v>279.68</v>
      </c>
      <c r="G53" s="9">
        <f>工程量计算数!K48</f>
        <v>570.4</v>
      </c>
      <c r="H53" s="9">
        <f>工程量计算数!K80</f>
        <v>588.8</v>
      </c>
      <c r="I53" s="9"/>
      <c r="J53" s="9">
        <f>工程量计算数!K156</f>
        <v>566.72</v>
      </c>
      <c r="K53" s="9"/>
      <c r="L53" s="9"/>
      <c r="M53" s="9"/>
      <c r="N53" s="9"/>
      <c r="O53" s="77">
        <f t="shared" ref="O53:O58" si="43">O52</f>
        <v>471.7997312</v>
      </c>
      <c r="P53" s="114">
        <f t="shared" si="31"/>
        <v>0.13</v>
      </c>
      <c r="Q53" s="9">
        <f t="shared" si="32"/>
        <v>533.133696256</v>
      </c>
      <c r="R53" s="9">
        <f t="shared" si="33"/>
        <v>1069252.94121103</v>
      </c>
      <c r="S53" s="11">
        <f t="shared" si="34"/>
        <v>149106.832168878</v>
      </c>
      <c r="T53" s="11">
        <f t="shared" si="35"/>
        <v>304099.460344422</v>
      </c>
      <c r="U53" s="11">
        <f t="shared" si="36"/>
        <v>313909.120355533</v>
      </c>
      <c r="V53" s="11">
        <f t="shared" si="37"/>
        <v>0</v>
      </c>
      <c r="W53" s="11">
        <f t="shared" si="38"/>
        <v>302137.5283422</v>
      </c>
      <c r="X53" s="11">
        <f t="shared" si="39"/>
        <v>0</v>
      </c>
      <c r="Y53" s="11">
        <f t="shared" si="40"/>
        <v>0</v>
      </c>
      <c r="Z53" s="11">
        <f t="shared" si="41"/>
        <v>0</v>
      </c>
      <c r="AA53" s="11">
        <f t="shared" si="42"/>
        <v>0</v>
      </c>
    </row>
    <row r="54" customHeight="1" spans="1:27">
      <c r="A54" s="9">
        <v>51</v>
      </c>
      <c r="B54" s="13" t="s">
        <v>157</v>
      </c>
      <c r="C54" s="11" t="s">
        <v>160</v>
      </c>
      <c r="D54" s="12" t="s">
        <v>70</v>
      </c>
      <c r="E54" s="9">
        <f t="shared" si="19"/>
        <v>214.32</v>
      </c>
      <c r="F54" s="9"/>
      <c r="G54" s="9"/>
      <c r="H54" s="9"/>
      <c r="I54" s="9">
        <f>工程量计算数!K109</f>
        <v>48.88</v>
      </c>
      <c r="J54" s="9"/>
      <c r="K54" s="9">
        <f>工程量计算数!K191</f>
        <v>41.36</v>
      </c>
      <c r="L54" s="9">
        <f>工程量计算数!K221</f>
        <v>41.36</v>
      </c>
      <c r="M54" s="9">
        <f>工程量计算数!K249</f>
        <v>82.72</v>
      </c>
      <c r="N54" s="9"/>
      <c r="O54" s="77">
        <f t="shared" si="43"/>
        <v>471.7997312</v>
      </c>
      <c r="P54" s="114">
        <f t="shared" si="31"/>
        <v>0.13</v>
      </c>
      <c r="Q54" s="9">
        <f t="shared" si="32"/>
        <v>533.133696256</v>
      </c>
      <c r="R54" s="9">
        <f t="shared" si="33"/>
        <v>114261.213781586</v>
      </c>
      <c r="S54" s="11">
        <f t="shared" si="34"/>
        <v>0</v>
      </c>
      <c r="T54" s="11">
        <f t="shared" si="35"/>
        <v>0</v>
      </c>
      <c r="U54" s="11">
        <f t="shared" si="36"/>
        <v>0</v>
      </c>
      <c r="V54" s="11">
        <f t="shared" si="37"/>
        <v>26059.5750729933</v>
      </c>
      <c r="W54" s="11">
        <f t="shared" si="38"/>
        <v>0</v>
      </c>
      <c r="X54" s="11">
        <f t="shared" si="39"/>
        <v>22050.4096771481</v>
      </c>
      <c r="Y54" s="11">
        <f t="shared" si="40"/>
        <v>22050.4096771481</v>
      </c>
      <c r="Z54" s="11">
        <f t="shared" si="41"/>
        <v>44100.8193542963</v>
      </c>
      <c r="AA54" s="11">
        <f t="shared" si="42"/>
        <v>0</v>
      </c>
    </row>
    <row r="55" customHeight="1" spans="1:27">
      <c r="A55" s="9">
        <v>52</v>
      </c>
      <c r="B55" s="13" t="s">
        <v>157</v>
      </c>
      <c r="C55" s="11" t="s">
        <v>161</v>
      </c>
      <c r="D55" s="12" t="s">
        <v>70</v>
      </c>
      <c r="E55" s="9">
        <f t="shared" si="19"/>
        <v>103.5</v>
      </c>
      <c r="F55" s="9"/>
      <c r="G55" s="9"/>
      <c r="H55" s="9"/>
      <c r="I55" s="9"/>
      <c r="J55" s="9">
        <f>工程量计算数!K158</f>
        <v>103.5</v>
      </c>
      <c r="K55" s="9"/>
      <c r="L55" s="9"/>
      <c r="M55" s="9"/>
      <c r="N55" s="9"/>
      <c r="O55" s="77">
        <f t="shared" si="43"/>
        <v>471.7997312</v>
      </c>
      <c r="P55" s="114">
        <f t="shared" ref="P55:P70" si="44">$P$3</f>
        <v>0.13</v>
      </c>
      <c r="Q55" s="9">
        <f t="shared" si="32"/>
        <v>533.133696256</v>
      </c>
      <c r="R55" s="9">
        <f t="shared" si="33"/>
        <v>55179.337562496</v>
      </c>
      <c r="S55" s="11">
        <f t="shared" si="34"/>
        <v>0</v>
      </c>
      <c r="T55" s="11">
        <f t="shared" si="35"/>
        <v>0</v>
      </c>
      <c r="U55" s="11">
        <f t="shared" si="36"/>
        <v>0</v>
      </c>
      <c r="V55" s="11">
        <f t="shared" si="37"/>
        <v>0</v>
      </c>
      <c r="W55" s="11">
        <f t="shared" si="38"/>
        <v>55179.337562496</v>
      </c>
      <c r="X55" s="11">
        <f t="shared" si="39"/>
        <v>0</v>
      </c>
      <c r="Y55" s="11">
        <f t="shared" si="40"/>
        <v>0</v>
      </c>
      <c r="Z55" s="11">
        <f t="shared" si="41"/>
        <v>0</v>
      </c>
      <c r="AA55" s="11">
        <f t="shared" si="42"/>
        <v>0</v>
      </c>
    </row>
    <row r="56" customHeight="1" spans="1:27">
      <c r="A56" s="9">
        <v>53</v>
      </c>
      <c r="B56" s="13" t="s">
        <v>157</v>
      </c>
      <c r="C56" s="11" t="s">
        <v>162</v>
      </c>
      <c r="D56" s="12" t="s">
        <v>70</v>
      </c>
      <c r="E56" s="9">
        <f t="shared" si="19"/>
        <v>1432.56</v>
      </c>
      <c r="F56" s="9"/>
      <c r="G56" s="9"/>
      <c r="H56" s="9"/>
      <c r="I56" s="9">
        <f>工程量计算数!K110</f>
        <v>439.92</v>
      </c>
      <c r="J56" s="9"/>
      <c r="K56" s="9">
        <f>工程量计算数!K192</f>
        <v>372.24</v>
      </c>
      <c r="L56" s="9">
        <f>工程量计算数!K222</f>
        <v>372.24</v>
      </c>
      <c r="M56" s="9">
        <f>工程量计算数!K250</f>
        <v>248.16</v>
      </c>
      <c r="N56" s="9"/>
      <c r="O56" s="77">
        <f t="shared" si="43"/>
        <v>471.7997312</v>
      </c>
      <c r="P56" s="114">
        <f t="shared" si="44"/>
        <v>0.13</v>
      </c>
      <c r="Q56" s="9">
        <f t="shared" si="32"/>
        <v>533.133696256</v>
      </c>
      <c r="R56" s="9">
        <f t="shared" si="33"/>
        <v>763746.007908495</v>
      </c>
      <c r="S56" s="11">
        <f t="shared" si="34"/>
        <v>0</v>
      </c>
      <c r="T56" s="11">
        <f t="shared" si="35"/>
        <v>0</v>
      </c>
      <c r="U56" s="11">
        <f t="shared" si="36"/>
        <v>0</v>
      </c>
      <c r="V56" s="11">
        <f t="shared" si="37"/>
        <v>234536.175656939</v>
      </c>
      <c r="W56" s="11">
        <f t="shared" si="38"/>
        <v>0</v>
      </c>
      <c r="X56" s="11">
        <f t="shared" si="39"/>
        <v>198453.687094333</v>
      </c>
      <c r="Y56" s="11">
        <f t="shared" si="40"/>
        <v>198453.687094333</v>
      </c>
      <c r="Z56" s="11">
        <f t="shared" si="41"/>
        <v>132302.458062889</v>
      </c>
      <c r="AA56" s="11">
        <f t="shared" si="42"/>
        <v>0</v>
      </c>
    </row>
    <row r="57" customHeight="1" spans="1:27">
      <c r="A57" s="9">
        <v>54</v>
      </c>
      <c r="B57" s="13" t="s">
        <v>157</v>
      </c>
      <c r="C57" s="11" t="s">
        <v>163</v>
      </c>
      <c r="D57" s="12" t="s">
        <v>71</v>
      </c>
      <c r="E57" s="9">
        <f t="shared" si="19"/>
        <v>2980.11</v>
      </c>
      <c r="F57" s="9">
        <f>工程量计算数!K24</f>
        <v>487.83</v>
      </c>
      <c r="G57" s="9">
        <f>工程量计算数!K49</f>
        <v>748.65</v>
      </c>
      <c r="H57" s="9">
        <f>工程量计算数!K81</f>
        <v>879.06</v>
      </c>
      <c r="I57" s="9"/>
      <c r="J57" s="9">
        <f>工程量计算数!K157</f>
        <v>864.57</v>
      </c>
      <c r="K57" s="9"/>
      <c r="L57" s="9"/>
      <c r="M57" s="9"/>
      <c r="N57" s="9"/>
      <c r="O57" s="77">
        <f t="shared" si="43"/>
        <v>471.7997312</v>
      </c>
      <c r="P57" s="114">
        <f t="shared" si="44"/>
        <v>0.13</v>
      </c>
      <c r="Q57" s="9">
        <f t="shared" si="32"/>
        <v>533.133696256</v>
      </c>
      <c r="R57" s="9">
        <f t="shared" si="33"/>
        <v>1588797.05954947</v>
      </c>
      <c r="S57" s="11">
        <f t="shared" si="34"/>
        <v>260078.611044564</v>
      </c>
      <c r="T57" s="11">
        <f t="shared" si="35"/>
        <v>399130.541702054</v>
      </c>
      <c r="U57" s="11">
        <f t="shared" si="36"/>
        <v>468656.507030799</v>
      </c>
      <c r="V57" s="11">
        <f t="shared" si="37"/>
        <v>0</v>
      </c>
      <c r="W57" s="11">
        <f t="shared" si="38"/>
        <v>460931.39977205</v>
      </c>
      <c r="X57" s="11">
        <f t="shared" si="39"/>
        <v>0</v>
      </c>
      <c r="Y57" s="11">
        <f t="shared" si="40"/>
        <v>0</v>
      </c>
      <c r="Z57" s="11">
        <f t="shared" si="41"/>
        <v>0</v>
      </c>
      <c r="AA57" s="11">
        <f t="shared" si="42"/>
        <v>0</v>
      </c>
    </row>
    <row r="58" customHeight="1" spans="1:27">
      <c r="A58" s="9">
        <v>55</v>
      </c>
      <c r="B58" s="13" t="s">
        <v>157</v>
      </c>
      <c r="C58" s="11" t="s">
        <v>164</v>
      </c>
      <c r="D58" s="12" t="s">
        <v>71</v>
      </c>
      <c r="E58" s="9">
        <f t="shared" si="19"/>
        <v>482.22</v>
      </c>
      <c r="F58" s="9"/>
      <c r="G58" s="9"/>
      <c r="H58" s="9"/>
      <c r="I58" s="9">
        <f>工程量计算数!K107</f>
        <v>109.98</v>
      </c>
      <c r="J58" s="9"/>
      <c r="K58" s="9">
        <f>工程量计算数!K189</f>
        <v>93.06</v>
      </c>
      <c r="L58" s="9">
        <f>工程量计算数!K219</f>
        <v>93.06</v>
      </c>
      <c r="M58" s="9">
        <f>工程量计算数!K247</f>
        <v>186.12</v>
      </c>
      <c r="N58" s="9"/>
      <c r="O58" s="77">
        <f t="shared" si="43"/>
        <v>471.7997312</v>
      </c>
      <c r="P58" s="114">
        <f t="shared" si="44"/>
        <v>0.13</v>
      </c>
      <c r="Q58" s="9">
        <f t="shared" si="32"/>
        <v>533.133696256</v>
      </c>
      <c r="R58" s="9">
        <f t="shared" si="33"/>
        <v>257087.731008568</v>
      </c>
      <c r="S58" s="11">
        <f t="shared" si="34"/>
        <v>0</v>
      </c>
      <c r="T58" s="11">
        <f t="shared" si="35"/>
        <v>0</v>
      </c>
      <c r="U58" s="11">
        <f t="shared" si="36"/>
        <v>0</v>
      </c>
      <c r="V58" s="11">
        <f t="shared" si="37"/>
        <v>58634.0439142349</v>
      </c>
      <c r="W58" s="11">
        <f t="shared" si="38"/>
        <v>0</v>
      </c>
      <c r="X58" s="11">
        <f t="shared" si="39"/>
        <v>49613.4217735833</v>
      </c>
      <c r="Y58" s="11">
        <f t="shared" si="40"/>
        <v>49613.4217735833</v>
      </c>
      <c r="Z58" s="11">
        <f t="shared" si="41"/>
        <v>99226.8435471667</v>
      </c>
      <c r="AA58" s="11">
        <f t="shared" si="42"/>
        <v>0</v>
      </c>
    </row>
    <row r="59" customHeight="1" spans="1:27">
      <c r="A59" s="9">
        <v>56</v>
      </c>
      <c r="B59" s="13" t="s">
        <v>165</v>
      </c>
      <c r="C59" s="22" t="s">
        <v>166</v>
      </c>
      <c r="D59" s="15" t="s">
        <v>73</v>
      </c>
      <c r="E59" s="9">
        <f t="shared" si="19"/>
        <v>4.125</v>
      </c>
      <c r="F59" s="9"/>
      <c r="G59" s="9"/>
      <c r="H59" s="9"/>
      <c r="I59" s="9"/>
      <c r="J59" s="9">
        <f>工程量计算数!K165</f>
        <v>4.125</v>
      </c>
      <c r="K59" s="9"/>
      <c r="L59" s="9"/>
      <c r="M59" s="9"/>
      <c r="N59" s="9"/>
      <c r="O59" s="77">
        <f>综合单价分析!H489</f>
        <v>786.3879296</v>
      </c>
      <c r="P59" s="114">
        <f t="shared" si="44"/>
        <v>0.13</v>
      </c>
      <c r="Q59" s="9">
        <f t="shared" si="32"/>
        <v>888.618360448</v>
      </c>
      <c r="R59" s="9">
        <f t="shared" si="33"/>
        <v>3665.550736848</v>
      </c>
      <c r="S59" s="11">
        <f t="shared" si="34"/>
        <v>0</v>
      </c>
      <c r="T59" s="11">
        <f t="shared" si="35"/>
        <v>0</v>
      </c>
      <c r="U59" s="11">
        <f t="shared" si="36"/>
        <v>0</v>
      </c>
      <c r="V59" s="11">
        <f t="shared" si="37"/>
        <v>0</v>
      </c>
      <c r="W59" s="11">
        <f t="shared" si="38"/>
        <v>3665.550736848</v>
      </c>
      <c r="X59" s="11">
        <f t="shared" si="39"/>
        <v>0</v>
      </c>
      <c r="Y59" s="11">
        <f t="shared" si="40"/>
        <v>0</v>
      </c>
      <c r="Z59" s="11">
        <f t="shared" si="41"/>
        <v>0</v>
      </c>
      <c r="AA59" s="11">
        <f t="shared" si="42"/>
        <v>0</v>
      </c>
    </row>
    <row r="60" customHeight="1" spans="1:27">
      <c r="A60" s="9">
        <v>57</v>
      </c>
      <c r="B60" s="13" t="s">
        <v>165</v>
      </c>
      <c r="C60" s="22" t="s">
        <v>167</v>
      </c>
      <c r="D60" s="15" t="s">
        <v>73</v>
      </c>
      <c r="E60" s="9">
        <f t="shared" si="19"/>
        <v>4.95</v>
      </c>
      <c r="F60" s="9"/>
      <c r="G60" s="9"/>
      <c r="H60" s="9"/>
      <c r="I60" s="9"/>
      <c r="J60" s="9">
        <f>工程量计算数!K160</f>
        <v>4.95</v>
      </c>
      <c r="K60" s="9"/>
      <c r="L60" s="9"/>
      <c r="M60" s="9"/>
      <c r="N60" s="9"/>
      <c r="O60" s="77">
        <f>O59</f>
        <v>786.3879296</v>
      </c>
      <c r="P60" s="114">
        <f t="shared" si="44"/>
        <v>0.13</v>
      </c>
      <c r="Q60" s="9">
        <f t="shared" si="32"/>
        <v>888.618360448</v>
      </c>
      <c r="R60" s="9">
        <f t="shared" si="33"/>
        <v>4398.6608842176</v>
      </c>
      <c r="S60" s="11">
        <f t="shared" si="34"/>
        <v>0</v>
      </c>
      <c r="T60" s="11">
        <f t="shared" si="35"/>
        <v>0</v>
      </c>
      <c r="U60" s="11">
        <f t="shared" si="36"/>
        <v>0</v>
      </c>
      <c r="V60" s="11">
        <f t="shared" si="37"/>
        <v>0</v>
      </c>
      <c r="W60" s="11">
        <f t="shared" si="38"/>
        <v>4398.6608842176</v>
      </c>
      <c r="X60" s="11">
        <f t="shared" si="39"/>
        <v>0</v>
      </c>
      <c r="Y60" s="11">
        <f t="shared" si="40"/>
        <v>0</v>
      </c>
      <c r="Z60" s="11">
        <f t="shared" si="41"/>
        <v>0</v>
      </c>
      <c r="AA60" s="11">
        <f t="shared" si="42"/>
        <v>0</v>
      </c>
    </row>
    <row r="61" customHeight="1" spans="1:27">
      <c r="A61" s="9">
        <v>58</v>
      </c>
      <c r="B61" s="13" t="s">
        <v>165</v>
      </c>
      <c r="C61" s="22" t="s">
        <v>168</v>
      </c>
      <c r="D61" s="15" t="s">
        <v>73</v>
      </c>
      <c r="E61" s="9">
        <f t="shared" ref="E61:E72" si="45">SUM(F61:N61)</f>
        <v>10.8</v>
      </c>
      <c r="F61" s="9"/>
      <c r="G61" s="9"/>
      <c r="H61" s="9"/>
      <c r="I61" s="9"/>
      <c r="J61" s="9">
        <f>工程量计算数!K166</f>
        <v>10.8</v>
      </c>
      <c r="K61" s="9"/>
      <c r="L61" s="9"/>
      <c r="M61" s="9"/>
      <c r="N61" s="9"/>
      <c r="O61" s="77">
        <f>O60</f>
        <v>786.3879296</v>
      </c>
      <c r="P61" s="114">
        <f t="shared" si="44"/>
        <v>0.13</v>
      </c>
      <c r="Q61" s="9">
        <f t="shared" si="32"/>
        <v>888.618360448</v>
      </c>
      <c r="R61" s="9">
        <f t="shared" si="33"/>
        <v>9597.0782928384</v>
      </c>
      <c r="S61" s="11">
        <f t="shared" si="34"/>
        <v>0</v>
      </c>
      <c r="T61" s="11">
        <f t="shared" si="35"/>
        <v>0</v>
      </c>
      <c r="U61" s="11">
        <f t="shared" si="36"/>
        <v>0</v>
      </c>
      <c r="V61" s="11">
        <f t="shared" si="37"/>
        <v>0</v>
      </c>
      <c r="W61" s="11">
        <f t="shared" si="38"/>
        <v>9597.0782928384</v>
      </c>
      <c r="X61" s="11">
        <f t="shared" si="39"/>
        <v>0</v>
      </c>
      <c r="Y61" s="11">
        <f t="shared" si="40"/>
        <v>0</v>
      </c>
      <c r="Z61" s="11">
        <f t="shared" si="41"/>
        <v>0</v>
      </c>
      <c r="AA61" s="11">
        <f t="shared" si="42"/>
        <v>0</v>
      </c>
    </row>
    <row r="62" customHeight="1" spans="1:27">
      <c r="A62" s="9">
        <v>59</v>
      </c>
      <c r="B62" s="13" t="s">
        <v>165</v>
      </c>
      <c r="C62" s="22" t="s">
        <v>169</v>
      </c>
      <c r="D62" s="15" t="s">
        <v>73</v>
      </c>
      <c r="E62" s="9">
        <f t="shared" si="45"/>
        <v>12</v>
      </c>
      <c r="F62" s="9"/>
      <c r="G62" s="9"/>
      <c r="H62" s="9"/>
      <c r="I62" s="9"/>
      <c r="J62" s="9">
        <f>工程量计算数!K162</f>
        <v>12</v>
      </c>
      <c r="K62" s="9"/>
      <c r="L62" s="9"/>
      <c r="M62" s="9"/>
      <c r="N62" s="9"/>
      <c r="O62" s="77">
        <f t="shared" ref="O62:O68" si="46">O61</f>
        <v>786.3879296</v>
      </c>
      <c r="P62" s="114">
        <f t="shared" si="44"/>
        <v>0.13</v>
      </c>
      <c r="Q62" s="9">
        <f t="shared" si="32"/>
        <v>888.618360448</v>
      </c>
      <c r="R62" s="9">
        <f t="shared" si="33"/>
        <v>10663.420325376</v>
      </c>
      <c r="S62" s="11">
        <f t="shared" si="34"/>
        <v>0</v>
      </c>
      <c r="T62" s="11">
        <f t="shared" si="35"/>
        <v>0</v>
      </c>
      <c r="U62" s="11">
        <f t="shared" si="36"/>
        <v>0</v>
      </c>
      <c r="V62" s="11">
        <f t="shared" si="37"/>
        <v>0</v>
      </c>
      <c r="W62" s="11">
        <f t="shared" si="38"/>
        <v>10663.420325376</v>
      </c>
      <c r="X62" s="11">
        <f t="shared" si="39"/>
        <v>0</v>
      </c>
      <c r="Y62" s="11">
        <f t="shared" si="40"/>
        <v>0</v>
      </c>
      <c r="Z62" s="11">
        <f t="shared" si="41"/>
        <v>0</v>
      </c>
      <c r="AA62" s="11">
        <f t="shared" si="42"/>
        <v>0</v>
      </c>
    </row>
    <row r="63" customHeight="1" spans="1:27">
      <c r="A63" s="9">
        <v>60</v>
      </c>
      <c r="B63" s="13" t="s">
        <v>165</v>
      </c>
      <c r="C63" s="22" t="s">
        <v>170</v>
      </c>
      <c r="D63" s="15" t="s">
        <v>73</v>
      </c>
      <c r="E63" s="9">
        <f t="shared" si="45"/>
        <v>17.7</v>
      </c>
      <c r="F63" s="9"/>
      <c r="G63" s="9"/>
      <c r="H63" s="9"/>
      <c r="I63" s="9"/>
      <c r="J63" s="9">
        <f>工程量计算数!K163</f>
        <v>17.7</v>
      </c>
      <c r="K63" s="9"/>
      <c r="L63" s="9"/>
      <c r="M63" s="9"/>
      <c r="N63" s="9"/>
      <c r="O63" s="77">
        <f t="shared" si="46"/>
        <v>786.3879296</v>
      </c>
      <c r="P63" s="114">
        <f t="shared" si="44"/>
        <v>0.13</v>
      </c>
      <c r="Q63" s="9">
        <f t="shared" si="32"/>
        <v>888.618360448</v>
      </c>
      <c r="R63" s="9">
        <f t="shared" si="33"/>
        <v>15728.5449799296</v>
      </c>
      <c r="S63" s="11">
        <f t="shared" si="34"/>
        <v>0</v>
      </c>
      <c r="T63" s="11">
        <f t="shared" si="35"/>
        <v>0</v>
      </c>
      <c r="U63" s="11">
        <f t="shared" si="36"/>
        <v>0</v>
      </c>
      <c r="V63" s="11">
        <f t="shared" si="37"/>
        <v>0</v>
      </c>
      <c r="W63" s="11">
        <f t="shared" si="38"/>
        <v>15728.5449799296</v>
      </c>
      <c r="X63" s="11">
        <f t="shared" si="39"/>
        <v>0</v>
      </c>
      <c r="Y63" s="11">
        <f t="shared" si="40"/>
        <v>0</v>
      </c>
      <c r="Z63" s="11">
        <f t="shared" si="41"/>
        <v>0</v>
      </c>
      <c r="AA63" s="11">
        <f t="shared" si="42"/>
        <v>0</v>
      </c>
    </row>
    <row r="64" customHeight="1" spans="1:27">
      <c r="A64" s="9">
        <v>61</v>
      </c>
      <c r="B64" s="13" t="s">
        <v>165</v>
      </c>
      <c r="C64" s="22" t="s">
        <v>171</v>
      </c>
      <c r="D64" s="15" t="s">
        <v>73</v>
      </c>
      <c r="E64" s="9">
        <f t="shared" si="45"/>
        <v>45</v>
      </c>
      <c r="F64" s="9">
        <f>工程量计算数!K25+工程量计算数!K28+工程量计算数!K29</f>
        <v>45</v>
      </c>
      <c r="G64" s="9"/>
      <c r="H64" s="9"/>
      <c r="I64" s="9"/>
      <c r="J64" s="9"/>
      <c r="K64" s="9"/>
      <c r="L64" s="9"/>
      <c r="M64" s="9"/>
      <c r="N64" s="9"/>
      <c r="O64" s="77">
        <f t="shared" si="46"/>
        <v>786.3879296</v>
      </c>
      <c r="P64" s="114">
        <f t="shared" si="44"/>
        <v>0.13</v>
      </c>
      <c r="Q64" s="9">
        <f t="shared" si="32"/>
        <v>888.618360448</v>
      </c>
      <c r="R64" s="9">
        <f t="shared" si="33"/>
        <v>39987.82622016</v>
      </c>
      <c r="S64" s="11">
        <f t="shared" si="34"/>
        <v>39987.82622016</v>
      </c>
      <c r="T64" s="11">
        <f t="shared" si="35"/>
        <v>0</v>
      </c>
      <c r="U64" s="11">
        <f t="shared" si="36"/>
        <v>0</v>
      </c>
      <c r="V64" s="11">
        <f t="shared" si="37"/>
        <v>0</v>
      </c>
      <c r="W64" s="11">
        <f t="shared" si="38"/>
        <v>0</v>
      </c>
      <c r="X64" s="11">
        <f t="shared" si="39"/>
        <v>0</v>
      </c>
      <c r="Y64" s="11">
        <f t="shared" si="40"/>
        <v>0</v>
      </c>
      <c r="Z64" s="11">
        <f t="shared" si="41"/>
        <v>0</v>
      </c>
      <c r="AA64" s="11">
        <f t="shared" si="42"/>
        <v>0</v>
      </c>
    </row>
    <row r="65" customHeight="1" spans="1:27">
      <c r="A65" s="9">
        <v>62</v>
      </c>
      <c r="B65" s="13" t="s">
        <v>165</v>
      </c>
      <c r="C65" s="22" t="s">
        <v>172</v>
      </c>
      <c r="D65" s="15" t="s">
        <v>73</v>
      </c>
      <c r="E65" s="9">
        <f t="shared" si="45"/>
        <v>18.6</v>
      </c>
      <c r="F65" s="9">
        <f>工程量计算数!K26</f>
        <v>9.3</v>
      </c>
      <c r="G65" s="9"/>
      <c r="H65" s="9"/>
      <c r="I65" s="9"/>
      <c r="J65" s="9">
        <f>工程量计算数!K164</f>
        <v>9.3</v>
      </c>
      <c r="K65" s="9"/>
      <c r="L65" s="9"/>
      <c r="M65" s="9"/>
      <c r="N65" s="9"/>
      <c r="O65" s="77">
        <f t="shared" si="46"/>
        <v>786.3879296</v>
      </c>
      <c r="P65" s="114">
        <f t="shared" si="44"/>
        <v>0.13</v>
      </c>
      <c r="Q65" s="9">
        <f t="shared" si="32"/>
        <v>888.618360448</v>
      </c>
      <c r="R65" s="9">
        <f t="shared" si="33"/>
        <v>16528.3015043328</v>
      </c>
      <c r="S65" s="11">
        <f t="shared" si="34"/>
        <v>8264.1507521664</v>
      </c>
      <c r="T65" s="11">
        <f t="shared" si="35"/>
        <v>0</v>
      </c>
      <c r="U65" s="11">
        <f t="shared" si="36"/>
        <v>0</v>
      </c>
      <c r="V65" s="11">
        <f t="shared" si="37"/>
        <v>0</v>
      </c>
      <c r="W65" s="11">
        <f t="shared" si="38"/>
        <v>8264.1507521664</v>
      </c>
      <c r="X65" s="11">
        <f t="shared" si="39"/>
        <v>0</v>
      </c>
      <c r="Y65" s="11">
        <f t="shared" si="40"/>
        <v>0</v>
      </c>
      <c r="Z65" s="11">
        <f t="shared" si="41"/>
        <v>0</v>
      </c>
      <c r="AA65" s="11">
        <f t="shared" si="42"/>
        <v>0</v>
      </c>
    </row>
    <row r="66" customHeight="1" spans="1:27">
      <c r="A66" s="9">
        <v>63</v>
      </c>
      <c r="B66" s="13" t="s">
        <v>165</v>
      </c>
      <c r="C66" s="22" t="s">
        <v>173</v>
      </c>
      <c r="D66" s="15" t="s">
        <v>73</v>
      </c>
      <c r="E66" s="9">
        <f t="shared" si="45"/>
        <v>19.2</v>
      </c>
      <c r="F66" s="9">
        <f>工程量计算数!K27+工程量计算数!K30</f>
        <v>19.2</v>
      </c>
      <c r="G66" s="9"/>
      <c r="H66" s="9"/>
      <c r="I66" s="9"/>
      <c r="J66" s="9"/>
      <c r="K66" s="9"/>
      <c r="L66" s="9"/>
      <c r="M66" s="9"/>
      <c r="N66" s="9"/>
      <c r="O66" s="77">
        <f t="shared" si="46"/>
        <v>786.3879296</v>
      </c>
      <c r="P66" s="114">
        <f t="shared" si="44"/>
        <v>0.13</v>
      </c>
      <c r="Q66" s="9">
        <f t="shared" si="32"/>
        <v>888.618360448</v>
      </c>
      <c r="R66" s="9">
        <f t="shared" si="33"/>
        <v>17061.4725206016</v>
      </c>
      <c r="S66" s="11">
        <f t="shared" si="34"/>
        <v>17061.4725206016</v>
      </c>
      <c r="T66" s="11">
        <f t="shared" si="35"/>
        <v>0</v>
      </c>
      <c r="U66" s="11">
        <f t="shared" si="36"/>
        <v>0</v>
      </c>
      <c r="V66" s="11">
        <f t="shared" si="37"/>
        <v>0</v>
      </c>
      <c r="W66" s="11">
        <f t="shared" si="38"/>
        <v>0</v>
      </c>
      <c r="X66" s="11">
        <f t="shared" si="39"/>
        <v>0</v>
      </c>
      <c r="Y66" s="11">
        <f t="shared" si="40"/>
        <v>0</v>
      </c>
      <c r="Z66" s="11">
        <f t="shared" si="41"/>
        <v>0</v>
      </c>
      <c r="AA66" s="11">
        <f t="shared" si="42"/>
        <v>0</v>
      </c>
    </row>
    <row r="67" customHeight="1" spans="1:27">
      <c r="A67" s="9">
        <v>64</v>
      </c>
      <c r="B67" s="13" t="s">
        <v>165</v>
      </c>
      <c r="C67" s="22" t="s">
        <v>174</v>
      </c>
      <c r="D67" s="15" t="s">
        <v>73</v>
      </c>
      <c r="E67" s="9">
        <f t="shared" si="45"/>
        <v>12</v>
      </c>
      <c r="F67" s="9">
        <f>工程量计算数!K31</f>
        <v>12</v>
      </c>
      <c r="G67" s="9"/>
      <c r="H67" s="9"/>
      <c r="I67" s="9"/>
      <c r="J67" s="9"/>
      <c r="K67" s="9"/>
      <c r="L67" s="9"/>
      <c r="M67" s="9"/>
      <c r="N67" s="9"/>
      <c r="O67" s="77">
        <f t="shared" si="46"/>
        <v>786.3879296</v>
      </c>
      <c r="P67" s="114">
        <f t="shared" si="44"/>
        <v>0.13</v>
      </c>
      <c r="Q67" s="9">
        <f t="shared" si="32"/>
        <v>888.618360448</v>
      </c>
      <c r="R67" s="9">
        <f t="shared" si="33"/>
        <v>10663.420325376</v>
      </c>
      <c r="S67" s="11">
        <f t="shared" si="34"/>
        <v>10663.420325376</v>
      </c>
      <c r="T67" s="11">
        <f t="shared" si="35"/>
        <v>0</v>
      </c>
      <c r="U67" s="11">
        <f t="shared" si="36"/>
        <v>0</v>
      </c>
      <c r="V67" s="11">
        <f t="shared" si="37"/>
        <v>0</v>
      </c>
      <c r="W67" s="11">
        <f t="shared" si="38"/>
        <v>0</v>
      </c>
      <c r="X67" s="11">
        <f t="shared" si="39"/>
        <v>0</v>
      </c>
      <c r="Y67" s="11">
        <f t="shared" si="40"/>
        <v>0</v>
      </c>
      <c r="Z67" s="11">
        <f t="shared" si="41"/>
        <v>0</v>
      </c>
      <c r="AA67" s="11">
        <f t="shared" si="42"/>
        <v>0</v>
      </c>
    </row>
    <row r="68" customHeight="1" spans="1:27">
      <c r="A68" s="9">
        <v>65</v>
      </c>
      <c r="B68" s="13" t="s">
        <v>165</v>
      </c>
      <c r="C68" s="22" t="s">
        <v>175</v>
      </c>
      <c r="D68" s="15" t="s">
        <v>73</v>
      </c>
      <c r="E68" s="9">
        <f t="shared" si="45"/>
        <v>9.9</v>
      </c>
      <c r="F68" s="9"/>
      <c r="G68" s="9"/>
      <c r="H68" s="9"/>
      <c r="I68" s="9"/>
      <c r="J68" s="9">
        <f>工程量计算数!K161</f>
        <v>9.9</v>
      </c>
      <c r="K68" s="9"/>
      <c r="L68" s="9"/>
      <c r="M68" s="9"/>
      <c r="N68" s="9"/>
      <c r="O68" s="77">
        <f t="shared" si="46"/>
        <v>786.3879296</v>
      </c>
      <c r="P68" s="114">
        <f t="shared" si="44"/>
        <v>0.13</v>
      </c>
      <c r="Q68" s="9">
        <f t="shared" si="32"/>
        <v>888.618360448</v>
      </c>
      <c r="R68" s="9">
        <f t="shared" si="33"/>
        <v>8797.3217684352</v>
      </c>
      <c r="S68" s="11">
        <f t="shared" si="34"/>
        <v>0</v>
      </c>
      <c r="T68" s="11">
        <f t="shared" si="35"/>
        <v>0</v>
      </c>
      <c r="U68" s="11">
        <f t="shared" si="36"/>
        <v>0</v>
      </c>
      <c r="V68" s="11">
        <f t="shared" si="37"/>
        <v>0</v>
      </c>
      <c r="W68" s="11">
        <f t="shared" si="38"/>
        <v>8797.3217684352</v>
      </c>
      <c r="X68" s="11">
        <f t="shared" si="39"/>
        <v>0</v>
      </c>
      <c r="Y68" s="11">
        <f t="shared" si="40"/>
        <v>0</v>
      </c>
      <c r="Z68" s="11">
        <f t="shared" si="41"/>
        <v>0</v>
      </c>
      <c r="AA68" s="11">
        <f t="shared" si="42"/>
        <v>0</v>
      </c>
    </row>
    <row r="69" s="57" customFormat="1" customHeight="1" spans="1:27">
      <c r="A69" s="9">
        <v>66</v>
      </c>
      <c r="B69" s="13" t="s">
        <v>176</v>
      </c>
      <c r="C69" s="11" t="s">
        <v>177</v>
      </c>
      <c r="D69" s="12" t="s">
        <v>80</v>
      </c>
      <c r="E69" s="9">
        <f t="shared" si="45"/>
        <v>27.84</v>
      </c>
      <c r="F69" s="9"/>
      <c r="G69" s="9"/>
      <c r="H69" s="9"/>
      <c r="I69" s="9"/>
      <c r="J69" s="9"/>
      <c r="K69" s="9">
        <f>[2]工程量计算数!K198</f>
        <v>13.92</v>
      </c>
      <c r="L69" s="9"/>
      <c r="M69" s="9">
        <f>[2]工程量计算数!K256</f>
        <v>13.92</v>
      </c>
      <c r="N69" s="9"/>
      <c r="O69" s="9">
        <f>综合单价分析!H525</f>
        <v>741.39734592</v>
      </c>
      <c r="P69" s="114">
        <f t="shared" si="44"/>
        <v>0.13</v>
      </c>
      <c r="Q69" s="9">
        <f t="shared" si="32"/>
        <v>837.7790008896</v>
      </c>
      <c r="R69" s="9">
        <f t="shared" si="33"/>
        <v>23323.7673847665</v>
      </c>
      <c r="S69" s="11">
        <f t="shared" si="34"/>
        <v>0</v>
      </c>
      <c r="T69" s="11">
        <f t="shared" si="35"/>
        <v>0</v>
      </c>
      <c r="U69" s="11">
        <f t="shared" si="36"/>
        <v>0</v>
      </c>
      <c r="V69" s="11">
        <f t="shared" si="37"/>
        <v>0</v>
      </c>
      <c r="W69" s="11">
        <f t="shared" si="38"/>
        <v>0</v>
      </c>
      <c r="X69" s="11">
        <f t="shared" si="39"/>
        <v>11661.8836923832</v>
      </c>
      <c r="Y69" s="11">
        <f t="shared" si="40"/>
        <v>0</v>
      </c>
      <c r="Z69" s="11">
        <f t="shared" si="41"/>
        <v>11661.8836923832</v>
      </c>
      <c r="AA69" s="11">
        <f t="shared" si="42"/>
        <v>0</v>
      </c>
    </row>
    <row r="70" s="57" customFormat="1" customHeight="1" spans="1:27">
      <c r="A70" s="9">
        <v>68</v>
      </c>
      <c r="B70" s="13" t="s">
        <v>178</v>
      </c>
      <c r="C70" s="11" t="s">
        <v>177</v>
      </c>
      <c r="D70" s="115" t="s">
        <v>179</v>
      </c>
      <c r="E70" s="9">
        <f t="shared" si="45"/>
        <v>1426.475</v>
      </c>
      <c r="F70" s="9">
        <f>[2]工程量计算数!K32+[2]工程量计算数!K33</f>
        <v>126.4</v>
      </c>
      <c r="G70" s="9">
        <f>[2]工程量计算数!K50+[2]工程量计算数!K51</f>
        <v>178.6</v>
      </c>
      <c r="H70" s="9">
        <f>[2]工程量计算数!K83+[2]工程量计算数!K84+[2]工程量计算数!K85</f>
        <v>227.3</v>
      </c>
      <c r="I70" s="9">
        <f>[2]工程量计算数!K114+[2]工程量计算数!K115+[2]工程量计算数!K116</f>
        <v>183.135</v>
      </c>
      <c r="J70" s="9">
        <f>[2]工程量计算数!K167+[2]工程量计算数!K168+[2]工程量计算数!K169</f>
        <v>196</v>
      </c>
      <c r="K70" s="9">
        <f>[2]工程量计算数!K195+[2]工程量计算数!K196+[2]工程量计算数!K197+[2]工程量计算数!K199</f>
        <v>167.04</v>
      </c>
      <c r="L70" s="9">
        <f>[2]工程量计算数!K225+[2]工程量计算数!K226+[2]工程量计算数!K227</f>
        <v>185.02</v>
      </c>
      <c r="M70" s="9">
        <f>[2]工程量计算数!K253+[2]工程量计算数!K254+[2]工程量计算数!K255+[2]工程量计算数!K257</f>
        <v>162.98</v>
      </c>
      <c r="N70" s="9"/>
      <c r="O70" s="9">
        <f>综合单价分析!H560</f>
        <v>823.64468928</v>
      </c>
      <c r="P70" s="114">
        <f t="shared" si="44"/>
        <v>0.13</v>
      </c>
      <c r="Q70" s="9">
        <f t="shared" si="32"/>
        <v>930.7184988864</v>
      </c>
      <c r="R70" s="9">
        <f t="shared" si="33"/>
        <v>1327646.67069898</v>
      </c>
      <c r="S70" s="11">
        <f t="shared" si="34"/>
        <v>117642.818259241</v>
      </c>
      <c r="T70" s="11">
        <f t="shared" si="35"/>
        <v>166226.323901111</v>
      </c>
      <c r="U70" s="11">
        <f t="shared" si="36"/>
        <v>211552.314796879</v>
      </c>
      <c r="V70" s="11">
        <f t="shared" si="37"/>
        <v>170447.132293561</v>
      </c>
      <c r="W70" s="11">
        <f t="shared" si="38"/>
        <v>182420.825781734</v>
      </c>
      <c r="X70" s="11">
        <f t="shared" si="39"/>
        <v>155467.218053984</v>
      </c>
      <c r="Y70" s="11">
        <f t="shared" si="40"/>
        <v>172201.536663962</v>
      </c>
      <c r="Z70" s="11">
        <f t="shared" si="41"/>
        <v>151688.500948505</v>
      </c>
      <c r="AA70" s="11">
        <f t="shared" si="42"/>
        <v>0</v>
      </c>
    </row>
    <row r="71" customHeight="1" spans="1:27">
      <c r="A71" s="9">
        <v>70</v>
      </c>
      <c r="B71" s="116" t="s">
        <v>83</v>
      </c>
      <c r="C71" s="117"/>
      <c r="D71" s="117"/>
      <c r="E71" s="118">
        <f>SUM(E4:E70)</f>
        <v>19761.8</v>
      </c>
      <c r="F71" s="118">
        <f>SUM(F4:F70)</f>
        <v>1999.69</v>
      </c>
      <c r="G71" s="118">
        <f t="shared" ref="G71:N71" si="47">SUM(G4:G70)</f>
        <v>3475.54</v>
      </c>
      <c r="H71" s="118">
        <f t="shared" si="47"/>
        <v>3825.19</v>
      </c>
      <c r="I71" s="118">
        <f t="shared" si="47"/>
        <v>1739.895</v>
      </c>
      <c r="J71" s="118">
        <f t="shared" si="47"/>
        <v>4324.635</v>
      </c>
      <c r="K71" s="118">
        <f t="shared" si="47"/>
        <v>1473.84</v>
      </c>
      <c r="L71" s="118">
        <f t="shared" si="47"/>
        <v>1477.9</v>
      </c>
      <c r="M71" s="118">
        <f t="shared" si="47"/>
        <v>1431.61</v>
      </c>
      <c r="N71" s="118">
        <f t="shared" si="47"/>
        <v>13.5</v>
      </c>
      <c r="O71" s="119"/>
      <c r="P71" s="118"/>
      <c r="Q71" s="118"/>
      <c r="R71" s="118">
        <f>SUM(R4:R70)</f>
        <v>13989186.9979959</v>
      </c>
      <c r="S71" s="117"/>
      <c r="T71" s="117"/>
      <c r="U71" s="117"/>
      <c r="V71" s="117"/>
      <c r="W71" s="117"/>
      <c r="X71" s="117"/>
      <c r="Y71" s="117"/>
      <c r="Z71" s="117"/>
      <c r="AA71" s="117"/>
    </row>
    <row r="72" customHeight="1" spans="5:5">
      <c r="E72" s="57">
        <f>E71-工程量计算数!N261</f>
        <v>0</v>
      </c>
    </row>
  </sheetData>
  <mergeCells count="11">
    <mergeCell ref="A1:AA1"/>
    <mergeCell ref="F2:N2"/>
    <mergeCell ref="S2:AA2"/>
    <mergeCell ref="A2:A3"/>
    <mergeCell ref="B2:B3"/>
    <mergeCell ref="C2:C3"/>
    <mergeCell ref="D2:D3"/>
    <mergeCell ref="E2:E3"/>
    <mergeCell ref="O2:O3"/>
    <mergeCell ref="Q2:Q3"/>
    <mergeCell ref="R2:R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0"/>
  <sheetViews>
    <sheetView topLeftCell="A508" workbookViewId="0">
      <selection activeCell="H525" sqref="H525"/>
    </sheetView>
  </sheetViews>
  <sheetFormatPr defaultColWidth="9" defaultRowHeight="20.1" customHeight="1"/>
  <cols>
    <col min="1" max="1" width="9.25" style="70" customWidth="1"/>
    <col min="2" max="2" width="8.25" style="70" customWidth="1"/>
    <col min="3" max="3" width="16.75" style="70" customWidth="1"/>
    <col min="4" max="4" width="7.25" style="70" customWidth="1"/>
    <col min="5" max="5" width="10.6296296296296" style="57" customWidth="1"/>
    <col min="6" max="6" width="7.25" style="70" customWidth="1"/>
    <col min="7" max="7" width="12.5" style="57" customWidth="1"/>
    <col min="8" max="8" width="11.25" style="57" customWidth="1"/>
    <col min="9" max="9" width="13" style="57" customWidth="1"/>
    <col min="10" max="10" width="9" style="57"/>
    <col min="11" max="11" width="9.62962962962963" style="57"/>
    <col min="12" max="16384" width="9" style="57"/>
  </cols>
  <sheetData>
    <row r="1" ht="24" customHeight="1" spans="1:9">
      <c r="A1" s="76" t="s">
        <v>180</v>
      </c>
      <c r="E1" s="70"/>
      <c r="G1" s="70"/>
      <c r="H1" s="70"/>
      <c r="I1" s="70"/>
    </row>
    <row r="3" customHeight="1" spans="1:9">
      <c r="A3" s="9" t="s">
        <v>181</v>
      </c>
      <c r="B3" s="9"/>
      <c r="C3" s="9"/>
      <c r="D3" s="9"/>
      <c r="E3" s="9" t="s">
        <v>182</v>
      </c>
      <c r="F3" s="9" t="s">
        <v>103</v>
      </c>
      <c r="G3" s="9"/>
      <c r="H3" s="9" t="s">
        <v>183</v>
      </c>
      <c r="I3" s="9"/>
    </row>
    <row r="4" customHeight="1" spans="1:9">
      <c r="A4" s="9" t="s">
        <v>86</v>
      </c>
      <c r="B4" s="9"/>
      <c r="C4" s="9"/>
      <c r="D4" s="9"/>
      <c r="E4" s="9" t="s">
        <v>184</v>
      </c>
      <c r="F4" s="9" t="str">
        <f>MID(F3,7,9)</f>
        <v>外平开窗</v>
      </c>
      <c r="G4" s="9"/>
      <c r="H4" s="9"/>
      <c r="I4" s="9"/>
    </row>
    <row r="5" customHeight="1" spans="1:9">
      <c r="A5" s="13" t="s">
        <v>185</v>
      </c>
      <c r="B5" s="9">
        <v>0</v>
      </c>
      <c r="C5" s="13" t="s">
        <v>186</v>
      </c>
      <c r="D5" s="9">
        <v>0</v>
      </c>
      <c r="E5" s="9" t="s">
        <v>187</v>
      </c>
      <c r="F5" s="77"/>
      <c r="G5" s="11" t="s">
        <v>188</v>
      </c>
      <c r="H5" s="9"/>
      <c r="I5" s="9"/>
    </row>
    <row r="6" customHeight="1" spans="1:9">
      <c r="A6" s="13"/>
      <c r="B6" s="9"/>
      <c r="C6" s="13"/>
      <c r="D6" s="9"/>
      <c r="E6" s="9"/>
      <c r="F6" s="77"/>
      <c r="G6" s="12" t="s">
        <v>189</v>
      </c>
      <c r="H6" s="9"/>
      <c r="I6" s="9"/>
    </row>
    <row r="7" customHeight="1" spans="1:9">
      <c r="A7" s="9" t="s">
        <v>38</v>
      </c>
      <c r="B7" s="9" t="s">
        <v>190</v>
      </c>
      <c r="C7" s="9"/>
      <c r="D7" s="9" t="s">
        <v>191</v>
      </c>
      <c r="E7" s="9" t="s">
        <v>192</v>
      </c>
      <c r="F7" s="9" t="s">
        <v>193</v>
      </c>
      <c r="G7" s="11" t="s">
        <v>194</v>
      </c>
      <c r="H7" s="11" t="s">
        <v>195</v>
      </c>
      <c r="I7" s="12" t="s">
        <v>196</v>
      </c>
    </row>
    <row r="8" customHeight="1" spans="1:9">
      <c r="A8" s="78">
        <v>1</v>
      </c>
      <c r="B8" s="78" t="s">
        <v>197</v>
      </c>
      <c r="C8" s="78"/>
      <c r="D8" s="78"/>
      <c r="E8" s="78"/>
      <c r="F8" s="78"/>
      <c r="G8" s="78"/>
      <c r="H8" s="79">
        <f>SUM(H9:H10)</f>
        <v>183.3950575</v>
      </c>
      <c r="I8" s="95"/>
    </row>
    <row r="9" customHeight="1" spans="1:11">
      <c r="A9" s="9">
        <v>1.1</v>
      </c>
      <c r="B9" s="80" t="s">
        <v>198</v>
      </c>
      <c r="C9" s="81"/>
      <c r="D9" s="9" t="s">
        <v>199</v>
      </c>
      <c r="E9" s="77">
        <v>5.03</v>
      </c>
      <c r="F9" s="82">
        <v>0.07</v>
      </c>
      <c r="G9" s="83">
        <f>主要材料品牌单价!E$5/1000</f>
        <v>29.8</v>
      </c>
      <c r="H9" s="83">
        <f t="shared" ref="H9:H12" si="0">E9*(1+F9)*G9</f>
        <v>160.38658</v>
      </c>
      <c r="I9" s="11"/>
      <c r="K9" s="57">
        <f t="shared" ref="K9:K12" si="1">H9*1.3</f>
        <v>208.502554</v>
      </c>
    </row>
    <row r="10" customHeight="1" spans="1:11">
      <c r="A10" s="9">
        <v>1.2</v>
      </c>
      <c r="B10" s="9" t="s">
        <v>200</v>
      </c>
      <c r="C10" s="9"/>
      <c r="D10" s="9" t="s">
        <v>199</v>
      </c>
      <c r="E10" s="77">
        <f>E9*0.15</f>
        <v>0.7545</v>
      </c>
      <c r="F10" s="82">
        <v>0.07</v>
      </c>
      <c r="G10" s="83">
        <f>(主要材料品牌单价!E$6-1000)/1000</f>
        <v>28.5</v>
      </c>
      <c r="H10" s="83">
        <f t="shared" si="0"/>
        <v>23.0084775</v>
      </c>
      <c r="I10" s="11"/>
      <c r="K10" s="57">
        <f t="shared" si="1"/>
        <v>29.91102075</v>
      </c>
    </row>
    <row r="11" customHeight="1" spans="1:9">
      <c r="A11" s="78">
        <v>2</v>
      </c>
      <c r="B11" s="78" t="s">
        <v>201</v>
      </c>
      <c r="C11" s="78"/>
      <c r="D11" s="78"/>
      <c r="E11" s="78"/>
      <c r="F11" s="78"/>
      <c r="G11" s="78"/>
      <c r="H11" s="84">
        <f>H12</f>
        <v>111.504</v>
      </c>
      <c r="I11" s="95"/>
    </row>
    <row r="12" customHeight="1" spans="1:11">
      <c r="A12" s="9">
        <v>2.1</v>
      </c>
      <c r="B12" s="9" t="s">
        <v>202</v>
      </c>
      <c r="C12" s="9"/>
      <c r="D12" s="9" t="s">
        <v>203</v>
      </c>
      <c r="E12" s="83">
        <v>1.2</v>
      </c>
      <c r="F12" s="82">
        <v>0.01</v>
      </c>
      <c r="G12" s="83">
        <f>主要材料品牌单价!E$17</f>
        <v>92</v>
      </c>
      <c r="H12" s="83">
        <f>E12*(1+F12)*G12</f>
        <v>111.504</v>
      </c>
      <c r="I12" s="11"/>
      <c r="K12" s="57">
        <f t="shared" si="1"/>
        <v>144.9552</v>
      </c>
    </row>
    <row r="13" customHeight="1" spans="1:9">
      <c r="A13" s="78">
        <v>3</v>
      </c>
      <c r="B13" s="78" t="s">
        <v>204</v>
      </c>
      <c r="C13" s="78"/>
      <c r="D13" s="78"/>
      <c r="E13" s="78"/>
      <c r="F13" s="78"/>
      <c r="G13" s="78"/>
      <c r="H13" s="84">
        <f>SUM(H14:H14)</f>
        <v>58.6755</v>
      </c>
      <c r="I13" s="95"/>
    </row>
    <row r="14" customHeight="1" spans="1:11">
      <c r="A14" s="9">
        <v>3.1</v>
      </c>
      <c r="B14" s="9" t="s">
        <v>205</v>
      </c>
      <c r="C14" s="9"/>
      <c r="D14" s="9" t="s">
        <v>206</v>
      </c>
      <c r="E14" s="83">
        <v>0.9</v>
      </c>
      <c r="F14" s="82">
        <v>0.003</v>
      </c>
      <c r="G14" s="11">
        <f>主要材料品牌单价!E$29</f>
        <v>65</v>
      </c>
      <c r="H14" s="83">
        <f>E14*(1+F14)*G14</f>
        <v>58.6755</v>
      </c>
      <c r="I14" s="11"/>
      <c r="K14" s="57">
        <f t="shared" ref="K14:K20" si="2">H14*1.3</f>
        <v>76.27815</v>
      </c>
    </row>
    <row r="15" customHeight="1" spans="1:9">
      <c r="A15" s="78">
        <v>4</v>
      </c>
      <c r="B15" s="78" t="s">
        <v>207</v>
      </c>
      <c r="C15" s="78"/>
      <c r="D15" s="78"/>
      <c r="E15" s="78"/>
      <c r="F15" s="78"/>
      <c r="G15" s="78"/>
      <c r="H15" s="79">
        <f>SUM(H16:H20)</f>
        <v>37.51</v>
      </c>
      <c r="I15" s="95" t="s">
        <v>208</v>
      </c>
    </row>
    <row r="16" customHeight="1" spans="1:11">
      <c r="A16" s="85">
        <v>4.1</v>
      </c>
      <c r="B16" s="9" t="s">
        <v>209</v>
      </c>
      <c r="C16" s="9"/>
      <c r="D16" s="9" t="s">
        <v>210</v>
      </c>
      <c r="E16" s="85">
        <v>0.5</v>
      </c>
      <c r="F16" s="85"/>
      <c r="G16" s="85">
        <f>主要材料品牌单价!E$44</f>
        <v>18.5</v>
      </c>
      <c r="H16" s="83">
        <f t="shared" ref="H16:H20" si="3">E16*(1+F16)*G16</f>
        <v>9.25</v>
      </c>
      <c r="I16" s="11"/>
      <c r="K16" s="57">
        <f t="shared" si="2"/>
        <v>12.025</v>
      </c>
    </row>
    <row r="17" customHeight="1" spans="1:11">
      <c r="A17" s="85">
        <v>4.2</v>
      </c>
      <c r="B17" s="80" t="s">
        <v>211</v>
      </c>
      <c r="C17" s="81"/>
      <c r="D17" s="9" t="s">
        <v>210</v>
      </c>
      <c r="E17" s="86">
        <v>0.8</v>
      </c>
      <c r="F17" s="85"/>
      <c r="G17" s="85">
        <f>主要材料品牌单价!E$43</f>
        <v>15.5</v>
      </c>
      <c r="H17" s="83">
        <f t="shared" si="3"/>
        <v>12.4</v>
      </c>
      <c r="I17" s="11"/>
      <c r="K17" s="57">
        <f t="shared" si="2"/>
        <v>16.12</v>
      </c>
    </row>
    <row r="18" customHeight="1" spans="1:11">
      <c r="A18" s="85">
        <v>4.3</v>
      </c>
      <c r="B18" s="80" t="s">
        <v>212</v>
      </c>
      <c r="C18" s="81"/>
      <c r="D18" s="9" t="s">
        <v>210</v>
      </c>
      <c r="E18" s="86">
        <v>0.2</v>
      </c>
      <c r="F18" s="85"/>
      <c r="G18" s="85">
        <f>主要材料品牌单价!E$45</f>
        <v>16.8</v>
      </c>
      <c r="H18" s="83">
        <f t="shared" si="3"/>
        <v>3.36</v>
      </c>
      <c r="I18" s="11"/>
      <c r="K18" s="57">
        <f t="shared" si="2"/>
        <v>4.368</v>
      </c>
    </row>
    <row r="19" customHeight="1" spans="1:11">
      <c r="A19" s="85">
        <v>4.4</v>
      </c>
      <c r="B19" s="87" t="s">
        <v>213</v>
      </c>
      <c r="C19" s="88"/>
      <c r="D19" s="9" t="s">
        <v>210</v>
      </c>
      <c r="E19" s="77">
        <v>0.1</v>
      </c>
      <c r="F19" s="9"/>
      <c r="G19" s="85">
        <f>主要材料品牌单价!E$46</f>
        <v>25</v>
      </c>
      <c r="H19" s="83">
        <f t="shared" si="3"/>
        <v>2.5</v>
      </c>
      <c r="I19" s="11"/>
      <c r="K19" s="57">
        <f t="shared" si="2"/>
        <v>3.25</v>
      </c>
    </row>
    <row r="20" customHeight="1" spans="1:11">
      <c r="A20" s="85">
        <v>4.5</v>
      </c>
      <c r="B20" s="27" t="s">
        <v>214</v>
      </c>
      <c r="C20" s="27"/>
      <c r="D20" s="9" t="s">
        <v>215</v>
      </c>
      <c r="E20" s="77">
        <v>1</v>
      </c>
      <c r="F20" s="9"/>
      <c r="G20" s="85">
        <v>10</v>
      </c>
      <c r="H20" s="83">
        <f t="shared" si="3"/>
        <v>10</v>
      </c>
      <c r="I20" s="11"/>
      <c r="K20" s="57">
        <f t="shared" si="2"/>
        <v>13</v>
      </c>
    </row>
    <row r="21" customHeight="1" spans="1:9">
      <c r="A21" s="78">
        <v>5</v>
      </c>
      <c r="B21" s="78" t="s">
        <v>216</v>
      </c>
      <c r="C21" s="78"/>
      <c r="D21" s="78"/>
      <c r="E21" s="78"/>
      <c r="F21" s="78"/>
      <c r="G21" s="78"/>
      <c r="H21" s="79">
        <f>SUM(H22:H24)</f>
        <v>8.6</v>
      </c>
      <c r="I21" s="95" t="s">
        <v>208</v>
      </c>
    </row>
    <row r="22" customHeight="1" spans="1:11">
      <c r="A22" s="85">
        <v>5.1</v>
      </c>
      <c r="B22" s="9" t="s">
        <v>217</v>
      </c>
      <c r="C22" s="9"/>
      <c r="D22" s="9" t="s">
        <v>218</v>
      </c>
      <c r="E22" s="86">
        <v>0.2</v>
      </c>
      <c r="F22" s="85"/>
      <c r="G22" s="85">
        <f>主要材料品牌单价!E48</f>
        <v>18</v>
      </c>
      <c r="H22" s="83">
        <f>E22*(1+F22)*G22</f>
        <v>3.6</v>
      </c>
      <c r="I22" s="11"/>
      <c r="K22" s="57">
        <f t="shared" ref="K22:K25" si="4">H22*1.3</f>
        <v>4.68</v>
      </c>
    </row>
    <row r="23" customHeight="1" spans="1:11">
      <c r="A23" s="85">
        <v>5.2</v>
      </c>
      <c r="B23" s="80" t="s">
        <v>219</v>
      </c>
      <c r="C23" s="81"/>
      <c r="D23" s="9" t="s">
        <v>215</v>
      </c>
      <c r="E23" s="86">
        <v>0</v>
      </c>
      <c r="F23" s="85"/>
      <c r="G23" s="85"/>
      <c r="H23" s="83">
        <f>E23*(1+F23)*G23</f>
        <v>0</v>
      </c>
      <c r="I23" s="11"/>
      <c r="K23" s="57">
        <f t="shared" si="4"/>
        <v>0</v>
      </c>
    </row>
    <row r="24" customHeight="1" spans="1:11">
      <c r="A24" s="85">
        <v>5.3</v>
      </c>
      <c r="B24" s="89" t="s">
        <v>220</v>
      </c>
      <c r="C24" s="90"/>
      <c r="D24" s="91" t="s">
        <v>206</v>
      </c>
      <c r="E24" s="77">
        <v>5</v>
      </c>
      <c r="F24" s="9"/>
      <c r="G24" s="85"/>
      <c r="H24" s="83">
        <f>E24</f>
        <v>5</v>
      </c>
      <c r="I24" s="11" t="s">
        <v>208</v>
      </c>
      <c r="K24" s="57">
        <f t="shared" si="4"/>
        <v>6.5</v>
      </c>
    </row>
    <row r="25" customHeight="1" spans="1:11">
      <c r="A25" s="92">
        <v>6</v>
      </c>
      <c r="B25" s="91" t="s">
        <v>221</v>
      </c>
      <c r="C25" s="91"/>
      <c r="D25" s="91" t="s">
        <v>206</v>
      </c>
      <c r="E25" s="91">
        <v>1</v>
      </c>
      <c r="F25" s="78">
        <v>0</v>
      </c>
      <c r="G25" s="85">
        <v>45</v>
      </c>
      <c r="H25" s="79">
        <f>E25*(1+F25)*G25</f>
        <v>45</v>
      </c>
      <c r="I25" s="95" t="s">
        <v>208</v>
      </c>
      <c r="K25" s="57">
        <f t="shared" si="4"/>
        <v>58.5</v>
      </c>
    </row>
    <row r="26" customHeight="1" spans="1:11">
      <c r="A26" s="78">
        <v>7</v>
      </c>
      <c r="B26" s="93" t="s">
        <v>222</v>
      </c>
      <c r="C26" s="94"/>
      <c r="D26" s="91" t="s">
        <v>206</v>
      </c>
      <c r="E26" s="91">
        <v>1</v>
      </c>
      <c r="F26" s="78">
        <v>0</v>
      </c>
      <c r="G26" s="85">
        <v>60</v>
      </c>
      <c r="H26" s="79">
        <f t="shared" ref="H25:H31" si="5">E26*(1+F26)*G26</f>
        <v>60</v>
      </c>
      <c r="I26" s="95" t="s">
        <v>208</v>
      </c>
      <c r="K26" s="57">
        <f t="shared" ref="K26:K31" si="6">H26*1.3</f>
        <v>78</v>
      </c>
    </row>
    <row r="27" customHeight="1" spans="1:11">
      <c r="A27" s="78">
        <v>8</v>
      </c>
      <c r="B27" s="91" t="s">
        <v>223</v>
      </c>
      <c r="C27" s="91"/>
      <c r="D27" s="91" t="s">
        <v>206</v>
      </c>
      <c r="E27" s="91">
        <v>1</v>
      </c>
      <c r="F27" s="78">
        <v>0</v>
      </c>
      <c r="G27" s="85">
        <v>8</v>
      </c>
      <c r="H27" s="79">
        <f t="shared" si="5"/>
        <v>8</v>
      </c>
      <c r="I27" s="95" t="s">
        <v>208</v>
      </c>
      <c r="K27" s="57">
        <f t="shared" si="6"/>
        <v>10.4</v>
      </c>
    </row>
    <row r="28" customHeight="1" spans="1:11">
      <c r="A28" s="91">
        <v>9</v>
      </c>
      <c r="B28" s="91" t="s">
        <v>224</v>
      </c>
      <c r="C28" s="91"/>
      <c r="D28" s="91" t="s">
        <v>206</v>
      </c>
      <c r="E28" s="91">
        <v>1</v>
      </c>
      <c r="F28" s="91">
        <v>0</v>
      </c>
      <c r="G28" s="85">
        <v>1</v>
      </c>
      <c r="H28" s="79">
        <f t="shared" si="5"/>
        <v>1</v>
      </c>
      <c r="I28" s="95" t="s">
        <v>208</v>
      </c>
      <c r="K28" s="57">
        <f t="shared" si="6"/>
        <v>1.3</v>
      </c>
    </row>
    <row r="29" customHeight="1" spans="1:11">
      <c r="A29" s="91">
        <v>10</v>
      </c>
      <c r="B29" s="91" t="s">
        <v>225</v>
      </c>
      <c r="C29" s="91"/>
      <c r="D29" s="91" t="s">
        <v>206</v>
      </c>
      <c r="E29" s="91">
        <v>1</v>
      </c>
      <c r="F29" s="91">
        <v>0</v>
      </c>
      <c r="G29" s="85">
        <v>1</v>
      </c>
      <c r="H29" s="79">
        <f t="shared" si="5"/>
        <v>1</v>
      </c>
      <c r="I29" s="95" t="s">
        <v>208</v>
      </c>
      <c r="K29" s="57">
        <f t="shared" si="6"/>
        <v>1.3</v>
      </c>
    </row>
    <row r="30" customHeight="1" spans="1:11">
      <c r="A30" s="91">
        <v>11</v>
      </c>
      <c r="B30" s="93" t="s">
        <v>226</v>
      </c>
      <c r="C30" s="94"/>
      <c r="D30" s="91" t="s">
        <v>206</v>
      </c>
      <c r="E30" s="91">
        <v>1</v>
      </c>
      <c r="F30" s="91">
        <v>0</v>
      </c>
      <c r="G30" s="85">
        <v>1.5</v>
      </c>
      <c r="H30" s="79">
        <f t="shared" si="5"/>
        <v>1.5</v>
      </c>
      <c r="I30" s="95" t="s">
        <v>208</v>
      </c>
      <c r="K30" s="57">
        <f t="shared" si="6"/>
        <v>1.95</v>
      </c>
    </row>
    <row r="31" customHeight="1" spans="1:11">
      <c r="A31" s="91">
        <v>12</v>
      </c>
      <c r="B31" s="91" t="s">
        <v>227</v>
      </c>
      <c r="C31" s="91"/>
      <c r="D31" s="91" t="s">
        <v>206</v>
      </c>
      <c r="E31" s="91">
        <v>1</v>
      </c>
      <c r="F31" s="91">
        <v>0</v>
      </c>
      <c r="G31" s="85">
        <v>0.5</v>
      </c>
      <c r="H31" s="79">
        <f t="shared" si="5"/>
        <v>0.5</v>
      </c>
      <c r="I31" s="95" t="s">
        <v>208</v>
      </c>
      <c r="K31" s="57">
        <f t="shared" si="6"/>
        <v>0.65</v>
      </c>
    </row>
    <row r="32" customHeight="1" spans="1:9">
      <c r="A32" s="91">
        <v>13</v>
      </c>
      <c r="B32" s="93" t="s">
        <v>228</v>
      </c>
      <c r="C32" s="94"/>
      <c r="D32" s="91" t="s">
        <v>6</v>
      </c>
      <c r="E32" s="93" t="s">
        <v>229</v>
      </c>
      <c r="F32" s="94"/>
      <c r="G32" s="95"/>
      <c r="H32" s="79">
        <f>H8+H11+H15+H21+H25+H26+H27+H28+H29+H31+H30+H13</f>
        <v>516.6845575</v>
      </c>
      <c r="I32" s="98" t="s">
        <v>230</v>
      </c>
    </row>
    <row r="33" customHeight="1" spans="1:9">
      <c r="A33" s="91">
        <v>14</v>
      </c>
      <c r="B33" s="93" t="s">
        <v>231</v>
      </c>
      <c r="C33" s="94"/>
      <c r="D33" s="91" t="s">
        <v>6</v>
      </c>
      <c r="E33" s="93" t="s">
        <v>232</v>
      </c>
      <c r="F33" s="94"/>
      <c r="G33" s="96">
        <v>0.12</v>
      </c>
      <c r="H33" s="79">
        <f>H32*(G33)</f>
        <v>62.0021469</v>
      </c>
      <c r="I33" s="99"/>
    </row>
    <row r="34" customHeight="1" spans="1:9">
      <c r="A34" s="91">
        <v>15</v>
      </c>
      <c r="B34" s="93" t="s">
        <v>233</v>
      </c>
      <c r="C34" s="94"/>
      <c r="D34" s="91" t="s">
        <v>6</v>
      </c>
      <c r="E34" s="93" t="s">
        <v>234</v>
      </c>
      <c r="F34" s="94"/>
      <c r="G34" s="95"/>
      <c r="H34" s="79">
        <f>H32+H33</f>
        <v>578.6867044</v>
      </c>
      <c r="I34" s="100">
        <f>H34</f>
        <v>578.6867044</v>
      </c>
    </row>
    <row r="36" customHeight="1" spans="1:9">
      <c r="A36" s="9" t="s">
        <v>181</v>
      </c>
      <c r="B36" s="97"/>
      <c r="C36" s="97"/>
      <c r="D36" s="97"/>
      <c r="E36" s="9" t="s">
        <v>182</v>
      </c>
      <c r="F36" s="9" t="s">
        <v>110</v>
      </c>
      <c r="G36" s="9"/>
      <c r="H36" s="9" t="s">
        <v>183</v>
      </c>
      <c r="I36" s="9"/>
    </row>
    <row r="37" customHeight="1" spans="1:9">
      <c r="A37" s="9" t="s">
        <v>86</v>
      </c>
      <c r="B37" s="9" t="str">
        <f>工程量清单清单!C10</f>
        <v>900*1400</v>
      </c>
      <c r="C37" s="9"/>
      <c r="D37" s="9"/>
      <c r="E37" s="9" t="s">
        <v>184</v>
      </c>
      <c r="F37" s="9" t="str">
        <f>MID(F36,7,9)</f>
        <v>固定</v>
      </c>
      <c r="G37" s="9"/>
      <c r="H37" s="9"/>
      <c r="I37" s="9"/>
    </row>
    <row r="38" customHeight="1" spans="1:9">
      <c r="A38" s="13" t="s">
        <v>185</v>
      </c>
      <c r="B38" s="9">
        <v>900</v>
      </c>
      <c r="C38" s="13" t="s">
        <v>186</v>
      </c>
      <c r="D38" s="9">
        <v>1400</v>
      </c>
      <c r="E38" s="9" t="s">
        <v>187</v>
      </c>
      <c r="F38" s="77"/>
      <c r="G38" s="11" t="s">
        <v>188</v>
      </c>
      <c r="H38" s="9"/>
      <c r="I38" s="9"/>
    </row>
    <row r="39" customHeight="1" spans="1:9">
      <c r="A39" s="13"/>
      <c r="B39" s="9"/>
      <c r="C39" s="13"/>
      <c r="D39" s="9"/>
      <c r="E39" s="9"/>
      <c r="F39" s="77"/>
      <c r="G39" s="12" t="s">
        <v>189</v>
      </c>
      <c r="H39" s="9"/>
      <c r="I39" s="9"/>
    </row>
    <row r="40" customHeight="1" spans="1:9">
      <c r="A40" s="9" t="s">
        <v>38</v>
      </c>
      <c r="B40" s="9" t="s">
        <v>190</v>
      </c>
      <c r="C40" s="9"/>
      <c r="D40" s="9" t="s">
        <v>191</v>
      </c>
      <c r="E40" s="9" t="s">
        <v>192</v>
      </c>
      <c r="F40" s="9" t="s">
        <v>193</v>
      </c>
      <c r="G40" s="11" t="s">
        <v>194</v>
      </c>
      <c r="H40" s="11" t="s">
        <v>195</v>
      </c>
      <c r="I40" s="12" t="s">
        <v>196</v>
      </c>
    </row>
    <row r="41" customHeight="1" spans="1:9">
      <c r="A41" s="78">
        <v>1</v>
      </c>
      <c r="B41" s="78" t="s">
        <v>197</v>
      </c>
      <c r="C41" s="78"/>
      <c r="D41" s="78"/>
      <c r="E41" s="78"/>
      <c r="F41" s="78"/>
      <c r="G41" s="78"/>
      <c r="H41" s="79">
        <f>SUM(H42:H43)</f>
        <v>209.6464375</v>
      </c>
      <c r="I41" s="95"/>
    </row>
    <row r="42" customHeight="1" spans="1:9">
      <c r="A42" s="9">
        <v>1.1</v>
      </c>
      <c r="B42" s="80" t="s">
        <v>198</v>
      </c>
      <c r="C42" s="81"/>
      <c r="D42" s="9" t="s">
        <v>199</v>
      </c>
      <c r="E42" s="77">
        <v>5.75</v>
      </c>
      <c r="F42" s="82">
        <v>0.07</v>
      </c>
      <c r="G42" s="83">
        <f>主要材料品牌单价!E$5/1000</f>
        <v>29.8</v>
      </c>
      <c r="H42" s="83">
        <f t="shared" ref="H42:H45" si="7">E42*(1+F42)*G42</f>
        <v>183.3445</v>
      </c>
      <c r="I42" s="11"/>
    </row>
    <row r="43" customHeight="1" spans="1:9">
      <c r="A43" s="9">
        <v>1.2</v>
      </c>
      <c r="B43" s="9" t="s">
        <v>200</v>
      </c>
      <c r="C43" s="9"/>
      <c r="D43" s="9" t="s">
        <v>199</v>
      </c>
      <c r="E43" s="77">
        <f>E42*0.15</f>
        <v>0.8625</v>
      </c>
      <c r="F43" s="82">
        <v>0.07</v>
      </c>
      <c r="G43" s="83">
        <f>(主要材料品牌单价!E$6-1000)/1000</f>
        <v>28.5</v>
      </c>
      <c r="H43" s="83">
        <f t="shared" si="7"/>
        <v>26.3019375</v>
      </c>
      <c r="I43" s="11"/>
    </row>
    <row r="44" customHeight="1" spans="1:9">
      <c r="A44" s="78">
        <v>2</v>
      </c>
      <c r="B44" s="78" t="s">
        <v>201</v>
      </c>
      <c r="C44" s="78"/>
      <c r="D44" s="78"/>
      <c r="E44" s="78"/>
      <c r="F44" s="78"/>
      <c r="G44" s="78"/>
      <c r="H44" s="84">
        <f>H45</f>
        <v>0</v>
      </c>
      <c r="I44" s="95"/>
    </row>
    <row r="45" customHeight="1" spans="1:9">
      <c r="A45" s="9">
        <v>2.1</v>
      </c>
      <c r="B45" s="9" t="s">
        <v>202</v>
      </c>
      <c r="C45" s="9"/>
      <c r="D45" s="9" t="s">
        <v>203</v>
      </c>
      <c r="E45" s="83">
        <v>0</v>
      </c>
      <c r="F45" s="82">
        <v>0.01</v>
      </c>
      <c r="G45" s="83">
        <v>0</v>
      </c>
      <c r="H45" s="83">
        <f t="shared" si="7"/>
        <v>0</v>
      </c>
      <c r="I45" s="11"/>
    </row>
    <row r="46" customHeight="1" spans="1:9">
      <c r="A46" s="78">
        <v>3</v>
      </c>
      <c r="B46" s="78" t="s">
        <v>204</v>
      </c>
      <c r="C46" s="78"/>
      <c r="D46" s="78"/>
      <c r="E46" s="78"/>
      <c r="F46" s="78"/>
      <c r="G46" s="78"/>
      <c r="H46" s="84">
        <f>SUM(H47:H47)</f>
        <v>58.6755</v>
      </c>
      <c r="I46" s="95"/>
    </row>
    <row r="47" customHeight="1" spans="1:9">
      <c r="A47" s="9">
        <v>3.1</v>
      </c>
      <c r="B47" s="9" t="s">
        <v>205</v>
      </c>
      <c r="C47" s="9"/>
      <c r="D47" s="9" t="s">
        <v>206</v>
      </c>
      <c r="E47" s="83">
        <v>0.9</v>
      </c>
      <c r="F47" s="82">
        <v>0.003</v>
      </c>
      <c r="G47" s="11">
        <f>主要材料品牌单价!E$29</f>
        <v>65</v>
      </c>
      <c r="H47" s="83">
        <f t="shared" ref="H47:H53" si="8">E47*(1+F47)*G47</f>
        <v>58.6755</v>
      </c>
      <c r="I47" s="11"/>
    </row>
    <row r="48" customHeight="1" spans="1:9">
      <c r="A48" s="78">
        <v>4</v>
      </c>
      <c r="B48" s="78" t="s">
        <v>207</v>
      </c>
      <c r="C48" s="78"/>
      <c r="D48" s="78"/>
      <c r="E48" s="78"/>
      <c r="F48" s="78"/>
      <c r="G48" s="78"/>
      <c r="H48" s="79">
        <f>SUM(H49:H53)</f>
        <v>37.51</v>
      </c>
      <c r="I48" s="95" t="s">
        <v>208</v>
      </c>
    </row>
    <row r="49" customHeight="1" spans="1:9">
      <c r="A49" s="85">
        <v>4.1</v>
      </c>
      <c r="B49" s="9" t="s">
        <v>209</v>
      </c>
      <c r="C49" s="9"/>
      <c r="D49" s="9" t="s">
        <v>210</v>
      </c>
      <c r="E49" s="85">
        <v>0.5</v>
      </c>
      <c r="F49" s="85"/>
      <c r="G49" s="85">
        <f>主要材料品牌单价!E$44</f>
        <v>18.5</v>
      </c>
      <c r="H49" s="83">
        <f t="shared" si="8"/>
        <v>9.25</v>
      </c>
      <c r="I49" s="11"/>
    </row>
    <row r="50" customHeight="1" spans="1:9">
      <c r="A50" s="85">
        <v>4.2</v>
      </c>
      <c r="B50" s="80" t="s">
        <v>211</v>
      </c>
      <c r="C50" s="81"/>
      <c r="D50" s="9" t="s">
        <v>210</v>
      </c>
      <c r="E50" s="86">
        <v>0.8</v>
      </c>
      <c r="F50" s="85"/>
      <c r="G50" s="85">
        <f>主要材料品牌单价!E$43</f>
        <v>15.5</v>
      </c>
      <c r="H50" s="83">
        <f t="shared" si="8"/>
        <v>12.4</v>
      </c>
      <c r="I50" s="11"/>
    </row>
    <row r="51" customHeight="1" spans="1:9">
      <c r="A51" s="85">
        <v>4.3</v>
      </c>
      <c r="B51" s="80" t="s">
        <v>212</v>
      </c>
      <c r="C51" s="81"/>
      <c r="D51" s="9" t="s">
        <v>210</v>
      </c>
      <c r="E51" s="86">
        <v>0.2</v>
      </c>
      <c r="F51" s="85"/>
      <c r="G51" s="85">
        <f>主要材料品牌单价!E$45</f>
        <v>16.8</v>
      </c>
      <c r="H51" s="83">
        <f t="shared" si="8"/>
        <v>3.36</v>
      </c>
      <c r="I51" s="11"/>
    </row>
    <row r="52" customHeight="1" spans="1:9">
      <c r="A52" s="85">
        <v>4.4</v>
      </c>
      <c r="B52" s="87" t="s">
        <v>213</v>
      </c>
      <c r="C52" s="88"/>
      <c r="D52" s="9" t="s">
        <v>210</v>
      </c>
      <c r="E52" s="77">
        <v>0.1</v>
      </c>
      <c r="F52" s="9"/>
      <c r="G52" s="85">
        <f>主要材料品牌单价!E$46</f>
        <v>25</v>
      </c>
      <c r="H52" s="83">
        <f t="shared" si="8"/>
        <v>2.5</v>
      </c>
      <c r="I52" s="11"/>
    </row>
    <row r="53" customHeight="1" spans="1:9">
      <c r="A53" s="85">
        <v>4.5</v>
      </c>
      <c r="B53" s="27" t="s">
        <v>214</v>
      </c>
      <c r="C53" s="27"/>
      <c r="D53" s="9" t="s">
        <v>215</v>
      </c>
      <c r="E53" s="77">
        <v>1</v>
      </c>
      <c r="F53" s="9"/>
      <c r="G53" s="85">
        <v>10</v>
      </c>
      <c r="H53" s="83">
        <f t="shared" si="8"/>
        <v>10</v>
      </c>
      <c r="I53" s="11"/>
    </row>
    <row r="54" customHeight="1" spans="1:9">
      <c r="A54" s="78">
        <v>5</v>
      </c>
      <c r="B54" s="78" t="s">
        <v>216</v>
      </c>
      <c r="C54" s="78"/>
      <c r="D54" s="78"/>
      <c r="E54" s="78"/>
      <c r="F54" s="78"/>
      <c r="G54" s="78"/>
      <c r="H54" s="79">
        <f>SUM(H55:H57)</f>
        <v>5</v>
      </c>
      <c r="I54" s="95" t="s">
        <v>208</v>
      </c>
    </row>
    <row r="55" customHeight="1" spans="1:9">
      <c r="A55" s="85">
        <v>5.1</v>
      </c>
      <c r="B55" s="9" t="s">
        <v>217</v>
      </c>
      <c r="C55" s="9"/>
      <c r="D55" s="9" t="s">
        <v>218</v>
      </c>
      <c r="E55" s="86">
        <v>0</v>
      </c>
      <c r="F55" s="85"/>
      <c r="G55" s="85"/>
      <c r="H55" s="83">
        <f t="shared" ref="H55:H64" si="9">E55*(1+F55)*G55</f>
        <v>0</v>
      </c>
      <c r="I55" s="11"/>
    </row>
    <row r="56" customHeight="1" spans="1:9">
      <c r="A56" s="85">
        <v>5.2</v>
      </c>
      <c r="B56" s="80" t="s">
        <v>219</v>
      </c>
      <c r="C56" s="81"/>
      <c r="D56" s="9" t="s">
        <v>215</v>
      </c>
      <c r="E56" s="86">
        <v>0</v>
      </c>
      <c r="F56" s="85"/>
      <c r="G56" s="85"/>
      <c r="H56" s="83">
        <f t="shared" si="9"/>
        <v>0</v>
      </c>
      <c r="I56" s="11"/>
    </row>
    <row r="57" customHeight="1" spans="1:9">
      <c r="A57" s="85">
        <v>5.3</v>
      </c>
      <c r="B57" s="89" t="s">
        <v>220</v>
      </c>
      <c r="C57" s="90"/>
      <c r="D57" s="91" t="s">
        <v>206</v>
      </c>
      <c r="E57" s="77">
        <v>5</v>
      </c>
      <c r="F57" s="9"/>
      <c r="G57" s="85"/>
      <c r="H57" s="83">
        <v>5</v>
      </c>
      <c r="I57" s="11" t="s">
        <v>208</v>
      </c>
    </row>
    <row r="58" customHeight="1" spans="1:9">
      <c r="A58" s="92">
        <v>6</v>
      </c>
      <c r="B58" s="91" t="s">
        <v>221</v>
      </c>
      <c r="C58" s="91"/>
      <c r="D58" s="91" t="s">
        <v>206</v>
      </c>
      <c r="E58" s="91">
        <v>1</v>
      </c>
      <c r="F58" s="78">
        <v>0</v>
      </c>
      <c r="G58" s="85">
        <v>45</v>
      </c>
      <c r="H58" s="79">
        <f t="shared" si="9"/>
        <v>45</v>
      </c>
      <c r="I58" s="95" t="s">
        <v>208</v>
      </c>
    </row>
    <row r="59" customHeight="1" spans="1:9">
      <c r="A59" s="78">
        <v>7</v>
      </c>
      <c r="B59" s="93" t="s">
        <v>222</v>
      </c>
      <c r="C59" s="94"/>
      <c r="D59" s="91" t="s">
        <v>206</v>
      </c>
      <c r="E59" s="91">
        <v>1</v>
      </c>
      <c r="F59" s="78">
        <v>0</v>
      </c>
      <c r="G59" s="85">
        <v>60</v>
      </c>
      <c r="H59" s="79">
        <f t="shared" si="9"/>
        <v>60</v>
      </c>
      <c r="I59" s="95" t="s">
        <v>208</v>
      </c>
    </row>
    <row r="60" customHeight="1" spans="1:9">
      <c r="A60" s="78">
        <v>8</v>
      </c>
      <c r="B60" s="91" t="s">
        <v>223</v>
      </c>
      <c r="C60" s="91"/>
      <c r="D60" s="91" t="s">
        <v>206</v>
      </c>
      <c r="E60" s="91">
        <v>1</v>
      </c>
      <c r="F60" s="78">
        <v>0</v>
      </c>
      <c r="G60" s="85">
        <v>8</v>
      </c>
      <c r="H60" s="79">
        <f t="shared" si="9"/>
        <v>8</v>
      </c>
      <c r="I60" s="95" t="s">
        <v>208</v>
      </c>
    </row>
    <row r="61" customHeight="1" spans="1:9">
      <c r="A61" s="91">
        <v>9</v>
      </c>
      <c r="B61" s="91" t="s">
        <v>224</v>
      </c>
      <c r="C61" s="91"/>
      <c r="D61" s="91" t="s">
        <v>206</v>
      </c>
      <c r="E61" s="91">
        <v>1</v>
      </c>
      <c r="F61" s="91">
        <v>0</v>
      </c>
      <c r="G61" s="85">
        <v>1</v>
      </c>
      <c r="H61" s="79">
        <f t="shared" si="9"/>
        <v>1</v>
      </c>
      <c r="I61" s="95" t="s">
        <v>208</v>
      </c>
    </row>
    <row r="62" customHeight="1" spans="1:9">
      <c r="A62" s="91">
        <v>10</v>
      </c>
      <c r="B62" s="91" t="s">
        <v>225</v>
      </c>
      <c r="C62" s="91"/>
      <c r="D62" s="91" t="s">
        <v>206</v>
      </c>
      <c r="E62" s="91">
        <v>1</v>
      </c>
      <c r="F62" s="91">
        <v>0</v>
      </c>
      <c r="G62" s="85">
        <v>1</v>
      </c>
      <c r="H62" s="79">
        <f t="shared" si="9"/>
        <v>1</v>
      </c>
      <c r="I62" s="95" t="s">
        <v>208</v>
      </c>
    </row>
    <row r="63" customHeight="1" spans="1:9">
      <c r="A63" s="91">
        <v>11</v>
      </c>
      <c r="B63" s="93" t="s">
        <v>226</v>
      </c>
      <c r="C63" s="94"/>
      <c r="D63" s="91" t="s">
        <v>206</v>
      </c>
      <c r="E63" s="91">
        <v>1</v>
      </c>
      <c r="F63" s="91">
        <v>0</v>
      </c>
      <c r="G63" s="85">
        <v>1.5</v>
      </c>
      <c r="H63" s="79">
        <f t="shared" si="9"/>
        <v>1.5</v>
      </c>
      <c r="I63" s="95" t="s">
        <v>208</v>
      </c>
    </row>
    <row r="64" customHeight="1" spans="1:9">
      <c r="A64" s="91">
        <v>12</v>
      </c>
      <c r="B64" s="91" t="s">
        <v>227</v>
      </c>
      <c r="C64" s="91"/>
      <c r="D64" s="91" t="s">
        <v>206</v>
      </c>
      <c r="E64" s="91">
        <v>1</v>
      </c>
      <c r="F64" s="91">
        <v>0</v>
      </c>
      <c r="G64" s="85">
        <v>0.5</v>
      </c>
      <c r="H64" s="79">
        <f t="shared" si="9"/>
        <v>0.5</v>
      </c>
      <c r="I64" s="95" t="s">
        <v>208</v>
      </c>
    </row>
    <row r="65" customHeight="1" spans="1:9">
      <c r="A65" s="91">
        <v>13</v>
      </c>
      <c r="B65" s="93" t="s">
        <v>228</v>
      </c>
      <c r="C65" s="94"/>
      <c r="D65" s="91" t="s">
        <v>6</v>
      </c>
      <c r="E65" s="93" t="s">
        <v>229</v>
      </c>
      <c r="F65" s="94"/>
      <c r="G65" s="95"/>
      <c r="H65" s="79">
        <f>H41+H44+H48+H54+H58+H59+H60+H61+H62+H64+H63+H46</f>
        <v>427.8319375</v>
      </c>
      <c r="I65" s="98" t="s">
        <v>230</v>
      </c>
    </row>
    <row r="66" customHeight="1" spans="1:9">
      <c r="A66" s="91">
        <v>14</v>
      </c>
      <c r="B66" s="93" t="s">
        <v>231</v>
      </c>
      <c r="C66" s="94"/>
      <c r="D66" s="91" t="s">
        <v>6</v>
      </c>
      <c r="E66" s="93" t="s">
        <v>235</v>
      </c>
      <c r="F66" s="94"/>
      <c r="G66" s="96">
        <v>0.12</v>
      </c>
      <c r="H66" s="79">
        <f>H65*(G66)</f>
        <v>51.3398325</v>
      </c>
      <c r="I66" s="99"/>
    </row>
    <row r="67" customHeight="1" spans="1:9">
      <c r="A67" s="91">
        <v>15</v>
      </c>
      <c r="B67" s="93" t="s">
        <v>233</v>
      </c>
      <c r="C67" s="94"/>
      <c r="D67" s="91" t="s">
        <v>6</v>
      </c>
      <c r="E67" s="93" t="s">
        <v>234</v>
      </c>
      <c r="F67" s="94"/>
      <c r="G67" s="95"/>
      <c r="H67" s="79">
        <f>H65+H66</f>
        <v>479.17177</v>
      </c>
      <c r="I67" s="100">
        <f>H67</f>
        <v>479.17177</v>
      </c>
    </row>
    <row r="69" customHeight="1" spans="1:9">
      <c r="A69" s="9" t="s">
        <v>181</v>
      </c>
      <c r="B69" s="97"/>
      <c r="C69" s="97"/>
      <c r="D69" s="97"/>
      <c r="E69" s="9" t="s">
        <v>182</v>
      </c>
      <c r="F69" s="9" t="s">
        <v>111</v>
      </c>
      <c r="G69" s="9"/>
      <c r="H69" s="9" t="s">
        <v>183</v>
      </c>
      <c r="I69" s="9"/>
    </row>
    <row r="70" customHeight="1" spans="1:9">
      <c r="A70" s="9" t="s">
        <v>86</v>
      </c>
      <c r="B70" s="9"/>
      <c r="C70" s="9"/>
      <c r="D70" s="9"/>
      <c r="E70" s="9" t="s">
        <v>184</v>
      </c>
      <c r="F70" s="9" t="str">
        <f>MID(F69,7,9)</f>
        <v>内开窗</v>
      </c>
      <c r="G70" s="9"/>
      <c r="H70" s="9"/>
      <c r="I70" s="9"/>
    </row>
    <row r="71" customHeight="1" spans="1:9">
      <c r="A71" s="13" t="s">
        <v>185</v>
      </c>
      <c r="B71" s="9">
        <v>0</v>
      </c>
      <c r="C71" s="13" t="s">
        <v>186</v>
      </c>
      <c r="D71" s="9">
        <v>0</v>
      </c>
      <c r="E71" s="9" t="s">
        <v>187</v>
      </c>
      <c r="F71" s="77"/>
      <c r="G71" s="11" t="s">
        <v>188</v>
      </c>
      <c r="H71" s="9"/>
      <c r="I71" s="9"/>
    </row>
    <row r="72" customHeight="1" spans="1:9">
      <c r="A72" s="13"/>
      <c r="B72" s="9"/>
      <c r="C72" s="13"/>
      <c r="D72" s="9"/>
      <c r="E72" s="9"/>
      <c r="F72" s="77"/>
      <c r="G72" s="12" t="s">
        <v>189</v>
      </c>
      <c r="H72" s="9"/>
      <c r="I72" s="9"/>
    </row>
    <row r="73" customHeight="1" spans="1:9">
      <c r="A73" s="9" t="s">
        <v>38</v>
      </c>
      <c r="B73" s="9" t="s">
        <v>190</v>
      </c>
      <c r="C73" s="9"/>
      <c r="D73" s="9" t="s">
        <v>191</v>
      </c>
      <c r="E73" s="9" t="s">
        <v>192</v>
      </c>
      <c r="F73" s="9" t="s">
        <v>193</v>
      </c>
      <c r="G73" s="11" t="s">
        <v>194</v>
      </c>
      <c r="H73" s="11" t="s">
        <v>195</v>
      </c>
      <c r="I73" s="12" t="s">
        <v>196</v>
      </c>
    </row>
    <row r="74" customHeight="1" spans="1:9">
      <c r="A74" s="78">
        <v>1</v>
      </c>
      <c r="B74" s="78" t="s">
        <v>197</v>
      </c>
      <c r="C74" s="78"/>
      <c r="D74" s="78"/>
      <c r="E74" s="78"/>
      <c r="F74" s="78"/>
      <c r="G74" s="78"/>
      <c r="H74" s="79">
        <f>SUM(H75:H76)</f>
        <v>253.3987375</v>
      </c>
      <c r="I74" s="95"/>
    </row>
    <row r="75" customHeight="1" spans="1:9">
      <c r="A75" s="9">
        <v>1.1</v>
      </c>
      <c r="B75" s="80" t="s">
        <v>198</v>
      </c>
      <c r="C75" s="81"/>
      <c r="D75" s="9" t="s">
        <v>199</v>
      </c>
      <c r="E75" s="77">
        <v>6.95</v>
      </c>
      <c r="F75" s="82">
        <v>0.07</v>
      </c>
      <c r="G75" s="83">
        <f>主要材料品牌单价!E$5/1000</f>
        <v>29.8</v>
      </c>
      <c r="H75" s="83">
        <f t="shared" ref="H75:H78" si="10">E75*(1+F75)*G75</f>
        <v>221.6077</v>
      </c>
      <c r="I75" s="11"/>
    </row>
    <row r="76" customHeight="1" spans="1:9">
      <c r="A76" s="9">
        <v>1.2</v>
      </c>
      <c r="B76" s="9" t="s">
        <v>200</v>
      </c>
      <c r="C76" s="9"/>
      <c r="D76" s="9" t="s">
        <v>199</v>
      </c>
      <c r="E76" s="77">
        <f>E75*0.15</f>
        <v>1.0425</v>
      </c>
      <c r="F76" s="82">
        <v>0.07</v>
      </c>
      <c r="G76" s="83">
        <f>(主要材料品牌单价!E$6-1000)/1000</f>
        <v>28.5</v>
      </c>
      <c r="H76" s="83">
        <f t="shared" si="10"/>
        <v>31.7910375</v>
      </c>
      <c r="I76" s="11"/>
    </row>
    <row r="77" customHeight="1" spans="1:9">
      <c r="A77" s="78">
        <v>2</v>
      </c>
      <c r="B77" s="78" t="s">
        <v>201</v>
      </c>
      <c r="C77" s="78"/>
      <c r="D77" s="78"/>
      <c r="E77" s="78"/>
      <c r="F77" s="78"/>
      <c r="G77" s="78"/>
      <c r="H77" s="84">
        <f>H78</f>
        <v>177.76</v>
      </c>
      <c r="I77" s="95"/>
    </row>
    <row r="78" customHeight="1" spans="1:9">
      <c r="A78" s="9">
        <v>2.1</v>
      </c>
      <c r="B78" s="9" t="s">
        <v>202</v>
      </c>
      <c r="C78" s="9"/>
      <c r="D78" s="9" t="s">
        <v>203</v>
      </c>
      <c r="E78" s="83">
        <v>2</v>
      </c>
      <c r="F78" s="82">
        <v>0.01</v>
      </c>
      <c r="G78" s="83">
        <f>主要材料品牌单价!E16</f>
        <v>88</v>
      </c>
      <c r="H78" s="83">
        <f t="shared" si="10"/>
        <v>177.76</v>
      </c>
      <c r="I78" s="11"/>
    </row>
    <row r="79" customHeight="1" spans="1:9">
      <c r="A79" s="78">
        <v>3</v>
      </c>
      <c r="B79" s="78" t="s">
        <v>204</v>
      </c>
      <c r="C79" s="78"/>
      <c r="D79" s="78"/>
      <c r="E79" s="78"/>
      <c r="F79" s="78"/>
      <c r="G79" s="78"/>
      <c r="H79" s="84">
        <f>SUM(H80:H80)</f>
        <v>63.189</v>
      </c>
      <c r="I79" s="95"/>
    </row>
    <row r="80" customHeight="1" spans="1:9">
      <c r="A80" s="9">
        <v>3.1</v>
      </c>
      <c r="B80" s="9" t="s">
        <v>236</v>
      </c>
      <c r="C80" s="9"/>
      <c r="D80" s="9" t="s">
        <v>206</v>
      </c>
      <c r="E80" s="83">
        <v>0.9</v>
      </c>
      <c r="F80" s="82">
        <v>0.003</v>
      </c>
      <c r="G80" s="11">
        <f>主要材料品牌单价!E$30</f>
        <v>70</v>
      </c>
      <c r="H80" s="83">
        <f>E80*(1+F80)*G80</f>
        <v>63.189</v>
      </c>
      <c r="I80" s="11"/>
    </row>
    <row r="81" customHeight="1" spans="1:9">
      <c r="A81" s="78">
        <v>4</v>
      </c>
      <c r="B81" s="78" t="s">
        <v>207</v>
      </c>
      <c r="C81" s="78"/>
      <c r="D81" s="78"/>
      <c r="E81" s="78"/>
      <c r="F81" s="78"/>
      <c r="G81" s="78"/>
      <c r="H81" s="79">
        <f>SUM(H82:H86)</f>
        <v>37.51</v>
      </c>
      <c r="I81" s="95" t="s">
        <v>208</v>
      </c>
    </row>
    <row r="82" customHeight="1" spans="1:9">
      <c r="A82" s="85">
        <v>4.1</v>
      </c>
      <c r="B82" s="9" t="s">
        <v>209</v>
      </c>
      <c r="C82" s="9"/>
      <c r="D82" s="9" t="s">
        <v>210</v>
      </c>
      <c r="E82" s="85">
        <v>0.5</v>
      </c>
      <c r="F82" s="85"/>
      <c r="G82" s="85">
        <f>主要材料品牌单价!E$44</f>
        <v>18.5</v>
      </c>
      <c r="H82" s="83">
        <f t="shared" ref="H82:H86" si="11">E82*(1+F82)*G82</f>
        <v>9.25</v>
      </c>
      <c r="I82" s="11"/>
    </row>
    <row r="83" customHeight="1" spans="1:9">
      <c r="A83" s="85">
        <v>4.2</v>
      </c>
      <c r="B83" s="80" t="s">
        <v>211</v>
      </c>
      <c r="C83" s="81"/>
      <c r="D83" s="9" t="s">
        <v>210</v>
      </c>
      <c r="E83" s="86">
        <v>0.8</v>
      </c>
      <c r="F83" s="85"/>
      <c r="G83" s="85">
        <f>主要材料品牌单价!E$43</f>
        <v>15.5</v>
      </c>
      <c r="H83" s="83">
        <f t="shared" si="11"/>
        <v>12.4</v>
      </c>
      <c r="I83" s="11"/>
    </row>
    <row r="84" customHeight="1" spans="1:9">
      <c r="A84" s="85">
        <v>4.3</v>
      </c>
      <c r="B84" s="80" t="s">
        <v>212</v>
      </c>
      <c r="C84" s="81"/>
      <c r="D84" s="9" t="s">
        <v>210</v>
      </c>
      <c r="E84" s="86">
        <v>0.2</v>
      </c>
      <c r="F84" s="85"/>
      <c r="G84" s="85">
        <f>主要材料品牌单价!E$45</f>
        <v>16.8</v>
      </c>
      <c r="H84" s="83">
        <f t="shared" si="11"/>
        <v>3.36</v>
      </c>
      <c r="I84" s="11"/>
    </row>
    <row r="85" customHeight="1" spans="1:9">
      <c r="A85" s="85">
        <v>4.4</v>
      </c>
      <c r="B85" s="87" t="s">
        <v>213</v>
      </c>
      <c r="C85" s="88"/>
      <c r="D85" s="9" t="s">
        <v>210</v>
      </c>
      <c r="E85" s="77">
        <v>0.1</v>
      </c>
      <c r="F85" s="9"/>
      <c r="G85" s="85">
        <f>主要材料品牌单价!E$46</f>
        <v>25</v>
      </c>
      <c r="H85" s="83">
        <f t="shared" si="11"/>
        <v>2.5</v>
      </c>
      <c r="I85" s="11"/>
    </row>
    <row r="86" customHeight="1" spans="1:9">
      <c r="A86" s="85">
        <v>4.5</v>
      </c>
      <c r="B86" s="27" t="s">
        <v>214</v>
      </c>
      <c r="C86" s="27"/>
      <c r="D86" s="9" t="s">
        <v>215</v>
      </c>
      <c r="E86" s="77">
        <v>1</v>
      </c>
      <c r="F86" s="9"/>
      <c r="G86" s="85">
        <v>10</v>
      </c>
      <c r="H86" s="83">
        <f t="shared" si="11"/>
        <v>10</v>
      </c>
      <c r="I86" s="11"/>
    </row>
    <row r="87" customHeight="1" spans="1:9">
      <c r="A87" s="78">
        <v>5</v>
      </c>
      <c r="B87" s="78" t="s">
        <v>216</v>
      </c>
      <c r="C87" s="78"/>
      <c r="D87" s="78"/>
      <c r="E87" s="78"/>
      <c r="F87" s="78"/>
      <c r="G87" s="78"/>
      <c r="H87" s="79">
        <f>SUM(H88:H90)</f>
        <v>11.6</v>
      </c>
      <c r="I87" s="95" t="s">
        <v>208</v>
      </c>
    </row>
    <row r="88" customHeight="1" spans="1:9">
      <c r="A88" s="85">
        <v>5.1</v>
      </c>
      <c r="B88" s="9" t="s">
        <v>217</v>
      </c>
      <c r="C88" s="9"/>
      <c r="D88" s="9" t="s">
        <v>218</v>
      </c>
      <c r="E88" s="86">
        <v>0.2</v>
      </c>
      <c r="F88" s="85"/>
      <c r="G88" s="85">
        <f>主要材料品牌单价!E48</f>
        <v>18</v>
      </c>
      <c r="H88" s="83">
        <f t="shared" ref="H88:H97" si="12">E88*(1+F88)*G88</f>
        <v>3.6</v>
      </c>
      <c r="I88" s="11"/>
    </row>
    <row r="89" customHeight="1" spans="1:9">
      <c r="A89" s="85">
        <v>5.2</v>
      </c>
      <c r="B89" s="80" t="s">
        <v>219</v>
      </c>
      <c r="C89" s="81"/>
      <c r="D89" s="9" t="s">
        <v>215</v>
      </c>
      <c r="E89" s="86">
        <v>0</v>
      </c>
      <c r="F89" s="85"/>
      <c r="G89" s="85"/>
      <c r="H89" s="83">
        <f t="shared" si="12"/>
        <v>0</v>
      </c>
      <c r="I89" s="11"/>
    </row>
    <row r="90" customHeight="1" spans="1:9">
      <c r="A90" s="85">
        <v>5.3</v>
      </c>
      <c r="B90" s="89" t="s">
        <v>220</v>
      </c>
      <c r="C90" s="90"/>
      <c r="D90" s="91" t="s">
        <v>206</v>
      </c>
      <c r="E90" s="77">
        <v>8</v>
      </c>
      <c r="F90" s="9"/>
      <c r="G90" s="85"/>
      <c r="H90" s="83">
        <v>8</v>
      </c>
      <c r="I90" s="11" t="s">
        <v>208</v>
      </c>
    </row>
    <row r="91" customHeight="1" spans="1:9">
      <c r="A91" s="92">
        <v>6</v>
      </c>
      <c r="B91" s="91" t="s">
        <v>221</v>
      </c>
      <c r="C91" s="91"/>
      <c r="D91" s="91" t="s">
        <v>206</v>
      </c>
      <c r="E91" s="91">
        <v>1</v>
      </c>
      <c r="F91" s="78">
        <v>0</v>
      </c>
      <c r="G91" s="85">
        <v>45</v>
      </c>
      <c r="H91" s="79">
        <f t="shared" si="12"/>
        <v>45</v>
      </c>
      <c r="I91" s="95" t="s">
        <v>208</v>
      </c>
    </row>
    <row r="92" customHeight="1" spans="1:9">
      <c r="A92" s="78">
        <v>7</v>
      </c>
      <c r="B92" s="93" t="s">
        <v>222</v>
      </c>
      <c r="C92" s="94"/>
      <c r="D92" s="91" t="s">
        <v>206</v>
      </c>
      <c r="E92" s="91">
        <v>1</v>
      </c>
      <c r="F92" s="78">
        <v>0</v>
      </c>
      <c r="G92" s="85">
        <v>60</v>
      </c>
      <c r="H92" s="79">
        <f t="shared" si="12"/>
        <v>60</v>
      </c>
      <c r="I92" s="95" t="s">
        <v>208</v>
      </c>
    </row>
    <row r="93" customHeight="1" spans="1:9">
      <c r="A93" s="78">
        <v>8</v>
      </c>
      <c r="B93" s="91" t="s">
        <v>223</v>
      </c>
      <c r="C93" s="91"/>
      <c r="D93" s="91" t="s">
        <v>206</v>
      </c>
      <c r="E93" s="91">
        <v>1</v>
      </c>
      <c r="F93" s="78">
        <v>0</v>
      </c>
      <c r="G93" s="85">
        <v>8</v>
      </c>
      <c r="H93" s="79">
        <f t="shared" si="12"/>
        <v>8</v>
      </c>
      <c r="I93" s="95" t="s">
        <v>208</v>
      </c>
    </row>
    <row r="94" customHeight="1" spans="1:9">
      <c r="A94" s="91">
        <v>9</v>
      </c>
      <c r="B94" s="91" t="s">
        <v>224</v>
      </c>
      <c r="C94" s="91"/>
      <c r="D94" s="91" t="s">
        <v>206</v>
      </c>
      <c r="E94" s="91">
        <v>1</v>
      </c>
      <c r="F94" s="91">
        <v>0</v>
      </c>
      <c r="G94" s="85">
        <v>1</v>
      </c>
      <c r="H94" s="79">
        <f t="shared" si="12"/>
        <v>1</v>
      </c>
      <c r="I94" s="95" t="s">
        <v>208</v>
      </c>
    </row>
    <row r="95" customHeight="1" spans="1:9">
      <c r="A95" s="91">
        <v>10</v>
      </c>
      <c r="B95" s="91" t="s">
        <v>225</v>
      </c>
      <c r="C95" s="91"/>
      <c r="D95" s="91" t="s">
        <v>206</v>
      </c>
      <c r="E95" s="91">
        <v>1</v>
      </c>
      <c r="F95" s="91">
        <v>0</v>
      </c>
      <c r="G95" s="85">
        <v>1</v>
      </c>
      <c r="H95" s="79">
        <f t="shared" si="12"/>
        <v>1</v>
      </c>
      <c r="I95" s="95" t="s">
        <v>208</v>
      </c>
    </row>
    <row r="96" customHeight="1" spans="1:9">
      <c r="A96" s="91">
        <v>11</v>
      </c>
      <c r="B96" s="93" t="s">
        <v>226</v>
      </c>
      <c r="C96" s="94"/>
      <c r="D96" s="91" t="s">
        <v>206</v>
      </c>
      <c r="E96" s="91">
        <v>1</v>
      </c>
      <c r="F96" s="91">
        <v>0</v>
      </c>
      <c r="G96" s="85">
        <v>1.5</v>
      </c>
      <c r="H96" s="79">
        <f t="shared" si="12"/>
        <v>1.5</v>
      </c>
      <c r="I96" s="95" t="s">
        <v>208</v>
      </c>
    </row>
    <row r="97" customHeight="1" spans="1:9">
      <c r="A97" s="91">
        <v>12</v>
      </c>
      <c r="B97" s="91" t="s">
        <v>227</v>
      </c>
      <c r="C97" s="91"/>
      <c r="D97" s="91" t="s">
        <v>206</v>
      </c>
      <c r="E97" s="91">
        <v>1</v>
      </c>
      <c r="F97" s="91">
        <v>0</v>
      </c>
      <c r="G97" s="85">
        <v>0.5</v>
      </c>
      <c r="H97" s="79">
        <f t="shared" si="12"/>
        <v>0.5</v>
      </c>
      <c r="I97" s="95" t="s">
        <v>208</v>
      </c>
    </row>
    <row r="98" customHeight="1" spans="1:9">
      <c r="A98" s="91">
        <v>13</v>
      </c>
      <c r="B98" s="93" t="s">
        <v>228</v>
      </c>
      <c r="C98" s="94"/>
      <c r="D98" s="91" t="s">
        <v>6</v>
      </c>
      <c r="E98" s="93" t="s">
        <v>229</v>
      </c>
      <c r="F98" s="94"/>
      <c r="G98" s="95"/>
      <c r="H98" s="79">
        <f>H74+H77+H81+H87+H91+H92+H93+H94+H95+H97+H96+H79</f>
        <v>660.4577375</v>
      </c>
      <c r="I98" s="98" t="s">
        <v>230</v>
      </c>
    </row>
    <row r="99" customHeight="1" spans="1:9">
      <c r="A99" s="91">
        <v>14</v>
      </c>
      <c r="B99" s="93" t="s">
        <v>231</v>
      </c>
      <c r="C99" s="94"/>
      <c r="D99" s="91" t="s">
        <v>6</v>
      </c>
      <c r="E99" s="93" t="s">
        <v>235</v>
      </c>
      <c r="F99" s="94"/>
      <c r="G99" s="96">
        <v>0.12</v>
      </c>
      <c r="H99" s="79">
        <f>H98*(G99)</f>
        <v>79.2549285</v>
      </c>
      <c r="I99" s="99"/>
    </row>
    <row r="100" customHeight="1" spans="1:9">
      <c r="A100" s="91">
        <v>15</v>
      </c>
      <c r="B100" s="93" t="s">
        <v>233</v>
      </c>
      <c r="C100" s="94"/>
      <c r="D100" s="91" t="s">
        <v>6</v>
      </c>
      <c r="E100" s="93" t="s">
        <v>234</v>
      </c>
      <c r="F100" s="94"/>
      <c r="G100" s="95"/>
      <c r="H100" s="79">
        <f>H98+H99</f>
        <v>739.712666</v>
      </c>
      <c r="I100" s="100">
        <f>H100</f>
        <v>739.712666</v>
      </c>
    </row>
    <row r="103" customHeight="1" spans="1:9">
      <c r="A103" s="76" t="s">
        <v>237</v>
      </c>
      <c r="E103" s="70"/>
      <c r="G103" s="70"/>
      <c r="H103" s="70"/>
      <c r="I103" s="70"/>
    </row>
    <row r="104" customHeight="1" spans="1:9">
      <c r="A104" s="9" t="s">
        <v>181</v>
      </c>
      <c r="B104" s="97"/>
      <c r="C104" s="97"/>
      <c r="D104" s="97"/>
      <c r="E104" s="9" t="s">
        <v>182</v>
      </c>
      <c r="F104" s="9" t="s">
        <v>238</v>
      </c>
      <c r="G104" s="9"/>
      <c r="H104" s="9" t="s">
        <v>183</v>
      </c>
      <c r="I104" s="9"/>
    </row>
    <row r="105" customHeight="1" spans="1:9">
      <c r="A105" s="9" t="s">
        <v>86</v>
      </c>
      <c r="B105" s="9"/>
      <c r="C105" s="9"/>
      <c r="D105" s="9"/>
      <c r="E105" s="9" t="s">
        <v>184</v>
      </c>
      <c r="F105" s="9"/>
      <c r="G105" s="9"/>
      <c r="H105" s="9"/>
      <c r="I105" s="9"/>
    </row>
    <row r="106" customHeight="1" spans="1:9">
      <c r="A106" s="13" t="s">
        <v>185</v>
      </c>
      <c r="B106" s="9">
        <v>0</v>
      </c>
      <c r="C106" s="13" t="s">
        <v>186</v>
      </c>
      <c r="D106" s="9">
        <v>0</v>
      </c>
      <c r="E106" s="9" t="s">
        <v>187</v>
      </c>
      <c r="F106" s="77">
        <v>0</v>
      </c>
      <c r="G106" s="11" t="s">
        <v>188</v>
      </c>
      <c r="H106" s="9"/>
      <c r="I106" s="9"/>
    </row>
    <row r="107" customHeight="1" spans="1:9">
      <c r="A107" s="13"/>
      <c r="B107" s="9"/>
      <c r="C107" s="13"/>
      <c r="D107" s="9"/>
      <c r="E107" s="9"/>
      <c r="F107" s="77">
        <v>0</v>
      </c>
      <c r="G107" s="12" t="s">
        <v>189</v>
      </c>
      <c r="H107" s="9"/>
      <c r="I107" s="9"/>
    </row>
    <row r="108" customHeight="1" spans="1:9">
      <c r="A108" s="9" t="s">
        <v>38</v>
      </c>
      <c r="B108" s="9" t="s">
        <v>190</v>
      </c>
      <c r="C108" s="9"/>
      <c r="D108" s="9" t="s">
        <v>191</v>
      </c>
      <c r="E108" s="9" t="s">
        <v>192</v>
      </c>
      <c r="F108" s="9" t="s">
        <v>193</v>
      </c>
      <c r="G108" s="11" t="s">
        <v>194</v>
      </c>
      <c r="H108" s="11" t="s">
        <v>195</v>
      </c>
      <c r="I108" s="12" t="s">
        <v>196</v>
      </c>
    </row>
    <row r="109" customHeight="1" spans="1:9">
      <c r="A109" s="78">
        <v>1</v>
      </c>
      <c r="B109" s="78" t="s">
        <v>197</v>
      </c>
      <c r="C109" s="78"/>
      <c r="D109" s="78"/>
      <c r="E109" s="78"/>
      <c r="F109" s="78"/>
      <c r="G109" s="78"/>
      <c r="H109" s="79">
        <f>SUM(H110:H112)</f>
        <v>222.6613076</v>
      </c>
      <c r="I109" s="95"/>
    </row>
    <row r="110" customHeight="1" spans="1:9">
      <c r="A110" s="9">
        <v>1.1</v>
      </c>
      <c r="B110" s="80" t="s">
        <v>239</v>
      </c>
      <c r="C110" s="81"/>
      <c r="D110" s="9" t="s">
        <v>199</v>
      </c>
      <c r="E110" s="77">
        <v>5.69</v>
      </c>
      <c r="F110" s="82">
        <v>0.07</v>
      </c>
      <c r="G110" s="83">
        <f>主要材料品牌单价!E$6/1000</f>
        <v>29.5</v>
      </c>
      <c r="H110" s="83">
        <f t="shared" ref="H110:H114" si="13">E110*(1+F110)*G110</f>
        <v>179.60485</v>
      </c>
      <c r="I110" s="11"/>
    </row>
    <row r="111" customHeight="1" spans="1:9">
      <c r="A111" s="9">
        <v>1.2</v>
      </c>
      <c r="B111" s="80" t="s">
        <v>198</v>
      </c>
      <c r="C111" s="81"/>
      <c r="D111" s="9" t="s">
        <v>199</v>
      </c>
      <c r="E111" s="77">
        <f>E110*0.16</f>
        <v>0.9104</v>
      </c>
      <c r="F111" s="82">
        <v>0.07</v>
      </c>
      <c r="G111" s="83">
        <f>主要材料品牌单价!E$5/1000</f>
        <v>29.8</v>
      </c>
      <c r="H111" s="83">
        <f t="shared" si="13"/>
        <v>29.0290144</v>
      </c>
      <c r="I111" s="11"/>
    </row>
    <row r="112" customHeight="1" spans="1:9">
      <c r="A112" s="9">
        <v>1.3</v>
      </c>
      <c r="B112" s="9" t="s">
        <v>200</v>
      </c>
      <c r="C112" s="9"/>
      <c r="D112" s="9" t="s">
        <v>199</v>
      </c>
      <c r="E112" s="77">
        <f>E110*0.08</f>
        <v>0.4552</v>
      </c>
      <c r="F112" s="82">
        <v>0.07</v>
      </c>
      <c r="G112" s="83">
        <f>(主要材料品牌单价!E$5-1000)/1000</f>
        <v>28.8</v>
      </c>
      <c r="H112" s="83">
        <f t="shared" si="13"/>
        <v>14.0274432</v>
      </c>
      <c r="I112" s="11"/>
    </row>
    <row r="113" customHeight="1" spans="1:9">
      <c r="A113" s="78">
        <v>2</v>
      </c>
      <c r="B113" s="78" t="s">
        <v>201</v>
      </c>
      <c r="C113" s="78"/>
      <c r="D113" s="78"/>
      <c r="E113" s="78"/>
      <c r="F113" s="78"/>
      <c r="G113" s="78"/>
      <c r="H113" s="84">
        <f>H114</f>
        <v>26.0176</v>
      </c>
      <c r="I113" s="95"/>
    </row>
    <row r="114" customHeight="1" spans="1:9">
      <c r="A114" s="9">
        <v>2.1</v>
      </c>
      <c r="B114" s="9" t="s">
        <v>202</v>
      </c>
      <c r="C114" s="9"/>
      <c r="D114" s="9" t="s">
        <v>203</v>
      </c>
      <c r="E114" s="83">
        <v>0.28</v>
      </c>
      <c r="F114" s="82">
        <v>0.01</v>
      </c>
      <c r="G114" s="83">
        <f>主要材料品牌单价!E14</f>
        <v>92</v>
      </c>
      <c r="H114" s="83">
        <f t="shared" si="13"/>
        <v>26.0176</v>
      </c>
      <c r="I114" s="11"/>
    </row>
    <row r="115" customHeight="1" spans="1:9">
      <c r="A115" s="78">
        <v>3</v>
      </c>
      <c r="B115" s="78" t="s">
        <v>204</v>
      </c>
      <c r="C115" s="78"/>
      <c r="D115" s="78"/>
      <c r="E115" s="78"/>
      <c r="F115" s="78"/>
      <c r="G115" s="78"/>
      <c r="H115" s="79">
        <f>SUM(H116:H118)</f>
        <v>172.66645</v>
      </c>
      <c r="I115" s="95"/>
    </row>
    <row r="116" customHeight="1" spans="1:9">
      <c r="A116" s="9">
        <v>3.1</v>
      </c>
      <c r="B116" s="9" t="s">
        <v>240</v>
      </c>
      <c r="C116" s="9"/>
      <c r="D116" s="9" t="s">
        <v>206</v>
      </c>
      <c r="E116" s="83">
        <v>0.73</v>
      </c>
      <c r="F116" s="82">
        <v>0.003</v>
      </c>
      <c r="G116" s="11">
        <f>主要材料品牌单价!E37</f>
        <v>185</v>
      </c>
      <c r="H116" s="83">
        <f>E116*(1+F116)*G116</f>
        <v>135.45515</v>
      </c>
      <c r="I116" s="11"/>
    </row>
    <row r="117" customHeight="1" spans="1:9">
      <c r="A117" s="9">
        <v>3.2</v>
      </c>
      <c r="B117" s="9" t="s">
        <v>241</v>
      </c>
      <c r="C117" s="9"/>
      <c r="D117" s="9" t="s">
        <v>206</v>
      </c>
      <c r="E117" s="83">
        <v>0.15</v>
      </c>
      <c r="F117" s="82">
        <v>0.003</v>
      </c>
      <c r="G117" s="11">
        <f>主要材料品牌单价!E38</f>
        <v>210</v>
      </c>
      <c r="H117" s="83">
        <f>E117*(1+F117)*G117</f>
        <v>31.5945</v>
      </c>
      <c r="I117" s="11"/>
    </row>
    <row r="118" customHeight="1" spans="1:9">
      <c r="A118" s="9">
        <v>3.3</v>
      </c>
      <c r="B118" s="9" t="s">
        <v>242</v>
      </c>
      <c r="C118" s="9"/>
      <c r="D118" s="9" t="s">
        <v>206</v>
      </c>
      <c r="E118" s="83">
        <v>0.02</v>
      </c>
      <c r="F118" s="82">
        <v>0.003</v>
      </c>
      <c r="G118" s="11">
        <f>主要材料品牌单价!E39</f>
        <v>280</v>
      </c>
      <c r="H118" s="83">
        <f>E118*(1+F118)*G118</f>
        <v>5.6168</v>
      </c>
      <c r="I118" s="11"/>
    </row>
    <row r="119" customHeight="1" spans="1:9">
      <c r="A119" s="78">
        <v>4</v>
      </c>
      <c r="B119" s="78" t="s">
        <v>207</v>
      </c>
      <c r="C119" s="78"/>
      <c r="D119" s="78"/>
      <c r="E119" s="78"/>
      <c r="F119" s="78"/>
      <c r="G119" s="78"/>
      <c r="H119" s="79">
        <f>SUM(H120:H124)</f>
        <v>35.51</v>
      </c>
      <c r="I119" s="95" t="s">
        <v>208</v>
      </c>
    </row>
    <row r="120" customHeight="1" spans="1:9">
      <c r="A120" s="85">
        <v>4.1</v>
      </c>
      <c r="B120" s="9" t="s">
        <v>209</v>
      </c>
      <c r="C120" s="9"/>
      <c r="D120" s="9" t="s">
        <v>210</v>
      </c>
      <c r="E120" s="85">
        <v>0.5</v>
      </c>
      <c r="F120" s="85"/>
      <c r="G120" s="85">
        <f>主要材料品牌单价!E$44</f>
        <v>18.5</v>
      </c>
      <c r="H120" s="83">
        <f t="shared" ref="H120:H124" si="14">E120*(1+F120)*G120</f>
        <v>9.25</v>
      </c>
      <c r="I120" s="11"/>
    </row>
    <row r="121" customHeight="1" spans="1:9">
      <c r="A121" s="85">
        <v>4.2</v>
      </c>
      <c r="B121" s="80" t="s">
        <v>211</v>
      </c>
      <c r="C121" s="81"/>
      <c r="D121" s="9" t="s">
        <v>210</v>
      </c>
      <c r="E121" s="86">
        <v>0.8</v>
      </c>
      <c r="F121" s="85"/>
      <c r="G121" s="85">
        <f>主要材料品牌单价!E$43</f>
        <v>15.5</v>
      </c>
      <c r="H121" s="83">
        <f t="shared" si="14"/>
        <v>12.4</v>
      </c>
      <c r="I121" s="11"/>
    </row>
    <row r="122" customHeight="1" spans="1:9">
      <c r="A122" s="85">
        <v>4.3</v>
      </c>
      <c r="B122" s="80" t="s">
        <v>212</v>
      </c>
      <c r="C122" s="81"/>
      <c r="D122" s="9" t="s">
        <v>210</v>
      </c>
      <c r="E122" s="86">
        <v>0.2</v>
      </c>
      <c r="F122" s="85"/>
      <c r="G122" s="85">
        <f>主要材料品牌单价!E$45</f>
        <v>16.8</v>
      </c>
      <c r="H122" s="83">
        <f t="shared" si="14"/>
        <v>3.36</v>
      </c>
      <c r="I122" s="11"/>
    </row>
    <row r="123" customHeight="1" spans="1:9">
      <c r="A123" s="85">
        <v>4.4</v>
      </c>
      <c r="B123" s="87" t="s">
        <v>213</v>
      </c>
      <c r="C123" s="88"/>
      <c r="D123" s="9" t="s">
        <v>210</v>
      </c>
      <c r="E123" s="77">
        <v>0.1</v>
      </c>
      <c r="F123" s="9"/>
      <c r="G123" s="85">
        <f>主要材料品牌单价!E$46</f>
        <v>25</v>
      </c>
      <c r="H123" s="83">
        <f t="shared" si="14"/>
        <v>2.5</v>
      </c>
      <c r="I123" s="11"/>
    </row>
    <row r="124" customHeight="1" spans="1:9">
      <c r="A124" s="85">
        <v>4.5</v>
      </c>
      <c r="B124" s="27" t="s">
        <v>214</v>
      </c>
      <c r="C124" s="27"/>
      <c r="D124" s="9" t="s">
        <v>215</v>
      </c>
      <c r="E124" s="77">
        <v>1</v>
      </c>
      <c r="F124" s="9"/>
      <c r="G124" s="85">
        <v>8</v>
      </c>
      <c r="H124" s="83">
        <f t="shared" si="14"/>
        <v>8</v>
      </c>
      <c r="I124" s="11"/>
    </row>
    <row r="125" customHeight="1" spans="1:9">
      <c r="A125" s="78">
        <v>5</v>
      </c>
      <c r="B125" s="78" t="s">
        <v>216</v>
      </c>
      <c r="C125" s="78"/>
      <c r="D125" s="78"/>
      <c r="E125" s="78"/>
      <c r="F125" s="78"/>
      <c r="G125" s="78"/>
      <c r="H125" s="79">
        <f>SUM(H126:H128)</f>
        <v>11.6</v>
      </c>
      <c r="I125" s="95" t="s">
        <v>208</v>
      </c>
    </row>
    <row r="126" customHeight="1" spans="1:9">
      <c r="A126" s="85">
        <v>5.1</v>
      </c>
      <c r="B126" s="9" t="s">
        <v>217</v>
      </c>
      <c r="C126" s="9"/>
      <c r="D126" s="9" t="s">
        <v>218</v>
      </c>
      <c r="E126" s="86">
        <v>0.2</v>
      </c>
      <c r="F126" s="85"/>
      <c r="G126" s="85">
        <f>主要材料品牌单价!E48</f>
        <v>18</v>
      </c>
      <c r="H126" s="83">
        <f>E126*(1+F126)*G126</f>
        <v>3.6</v>
      </c>
      <c r="I126" s="11"/>
    </row>
    <row r="127" customHeight="1" spans="1:9">
      <c r="A127" s="85">
        <v>5.2</v>
      </c>
      <c r="B127" s="80" t="s">
        <v>219</v>
      </c>
      <c r="C127" s="81"/>
      <c r="D127" s="9" t="s">
        <v>215</v>
      </c>
      <c r="E127" s="86">
        <v>0</v>
      </c>
      <c r="F127" s="85"/>
      <c r="G127" s="85"/>
      <c r="H127" s="83">
        <f>E127*(1+F127)*G127</f>
        <v>0</v>
      </c>
      <c r="I127" s="11"/>
    </row>
    <row r="128" customHeight="1" spans="1:9">
      <c r="A128" s="85">
        <v>5.3</v>
      </c>
      <c r="B128" s="89" t="s">
        <v>220</v>
      </c>
      <c r="C128" s="90"/>
      <c r="D128" s="91" t="s">
        <v>206</v>
      </c>
      <c r="E128" s="77">
        <v>5</v>
      </c>
      <c r="F128" s="9"/>
      <c r="G128" s="85"/>
      <c r="H128" s="83">
        <v>8</v>
      </c>
      <c r="I128" s="11"/>
    </row>
    <row r="129" customHeight="1" spans="1:9">
      <c r="A129" s="92">
        <v>6</v>
      </c>
      <c r="B129" s="91" t="s">
        <v>221</v>
      </c>
      <c r="C129" s="91"/>
      <c r="D129" s="91" t="s">
        <v>206</v>
      </c>
      <c r="E129" s="91">
        <v>1</v>
      </c>
      <c r="F129" s="78">
        <v>0</v>
      </c>
      <c r="G129" s="85">
        <v>45</v>
      </c>
      <c r="H129" s="79">
        <f t="shared" ref="H128:H135" si="15">E129*(1+F129)*G129</f>
        <v>45</v>
      </c>
      <c r="I129" s="95" t="s">
        <v>208</v>
      </c>
    </row>
    <row r="130" customHeight="1" spans="1:9">
      <c r="A130" s="78">
        <v>7</v>
      </c>
      <c r="B130" s="93" t="s">
        <v>222</v>
      </c>
      <c r="C130" s="94"/>
      <c r="D130" s="91" t="s">
        <v>206</v>
      </c>
      <c r="E130" s="91">
        <v>1</v>
      </c>
      <c r="F130" s="78">
        <v>0</v>
      </c>
      <c r="G130" s="85">
        <v>60</v>
      </c>
      <c r="H130" s="79">
        <f t="shared" si="15"/>
        <v>60</v>
      </c>
      <c r="I130" s="95" t="s">
        <v>208</v>
      </c>
    </row>
    <row r="131" customHeight="1" spans="1:9">
      <c r="A131" s="78">
        <v>8</v>
      </c>
      <c r="B131" s="91" t="s">
        <v>223</v>
      </c>
      <c r="C131" s="91"/>
      <c r="D131" s="91" t="s">
        <v>206</v>
      </c>
      <c r="E131" s="91">
        <v>1</v>
      </c>
      <c r="F131" s="78">
        <v>0</v>
      </c>
      <c r="G131" s="85">
        <v>8</v>
      </c>
      <c r="H131" s="79">
        <f t="shared" si="15"/>
        <v>8</v>
      </c>
      <c r="I131" s="95" t="s">
        <v>208</v>
      </c>
    </row>
    <row r="132" customHeight="1" spans="1:9">
      <c r="A132" s="91">
        <v>9</v>
      </c>
      <c r="B132" s="91" t="s">
        <v>224</v>
      </c>
      <c r="C132" s="91"/>
      <c r="D132" s="91" t="s">
        <v>206</v>
      </c>
      <c r="E132" s="91">
        <v>1</v>
      </c>
      <c r="F132" s="91">
        <v>0</v>
      </c>
      <c r="G132" s="85">
        <v>1</v>
      </c>
      <c r="H132" s="79">
        <f t="shared" si="15"/>
        <v>1</v>
      </c>
      <c r="I132" s="95" t="s">
        <v>208</v>
      </c>
    </row>
    <row r="133" customHeight="1" spans="1:9">
      <c r="A133" s="91">
        <v>10</v>
      </c>
      <c r="B133" s="91" t="s">
        <v>225</v>
      </c>
      <c r="C133" s="91"/>
      <c r="D133" s="91" t="s">
        <v>206</v>
      </c>
      <c r="E133" s="91">
        <v>1</v>
      </c>
      <c r="F133" s="91">
        <v>0</v>
      </c>
      <c r="G133" s="85">
        <v>1</v>
      </c>
      <c r="H133" s="79">
        <f t="shared" si="15"/>
        <v>1</v>
      </c>
      <c r="I133" s="95" t="s">
        <v>208</v>
      </c>
    </row>
    <row r="134" customHeight="1" spans="1:9">
      <c r="A134" s="91">
        <v>11</v>
      </c>
      <c r="B134" s="93" t="s">
        <v>226</v>
      </c>
      <c r="C134" s="94"/>
      <c r="D134" s="91" t="s">
        <v>206</v>
      </c>
      <c r="E134" s="91">
        <v>1</v>
      </c>
      <c r="F134" s="91">
        <v>0</v>
      </c>
      <c r="G134" s="85">
        <v>1.5</v>
      </c>
      <c r="H134" s="79">
        <f t="shared" si="15"/>
        <v>1.5</v>
      </c>
      <c r="I134" s="95" t="s">
        <v>208</v>
      </c>
    </row>
    <row r="135" customHeight="1" spans="1:9">
      <c r="A135" s="91">
        <v>12</v>
      </c>
      <c r="B135" s="91" t="s">
        <v>227</v>
      </c>
      <c r="C135" s="91"/>
      <c r="D135" s="91" t="s">
        <v>206</v>
      </c>
      <c r="E135" s="91">
        <v>1</v>
      </c>
      <c r="F135" s="91">
        <v>0</v>
      </c>
      <c r="G135" s="85">
        <v>0.5</v>
      </c>
      <c r="H135" s="79">
        <f t="shared" si="15"/>
        <v>0.5</v>
      </c>
      <c r="I135" s="95" t="s">
        <v>208</v>
      </c>
    </row>
    <row r="136" customHeight="1" spans="1:9">
      <c r="A136" s="91">
        <v>13</v>
      </c>
      <c r="B136" s="93" t="s">
        <v>228</v>
      </c>
      <c r="C136" s="94"/>
      <c r="D136" s="91" t="s">
        <v>6</v>
      </c>
      <c r="E136" s="93" t="s">
        <v>229</v>
      </c>
      <c r="F136" s="94"/>
      <c r="G136" s="95"/>
      <c r="H136" s="79">
        <f>H109+H113+H119+H125+H129+H130+H131+H132+H133+H135+H134+H115</f>
        <v>585.4553576</v>
      </c>
      <c r="I136" s="98" t="s">
        <v>230</v>
      </c>
    </row>
    <row r="137" customHeight="1" spans="1:9">
      <c r="A137" s="91">
        <v>14</v>
      </c>
      <c r="B137" s="93" t="s">
        <v>231</v>
      </c>
      <c r="C137" s="94"/>
      <c r="D137" s="91" t="s">
        <v>6</v>
      </c>
      <c r="E137" s="93" t="s">
        <v>235</v>
      </c>
      <c r="F137" s="94"/>
      <c r="G137" s="96">
        <v>0.12</v>
      </c>
      <c r="H137" s="79">
        <f>H136*(G137)</f>
        <v>70.254642912</v>
      </c>
      <c r="I137" s="99"/>
    </row>
    <row r="138" customHeight="1" spans="1:9">
      <c r="A138" s="91">
        <v>15</v>
      </c>
      <c r="B138" s="93" t="s">
        <v>233</v>
      </c>
      <c r="C138" s="94"/>
      <c r="D138" s="91" t="s">
        <v>6</v>
      </c>
      <c r="E138" s="93" t="s">
        <v>234</v>
      </c>
      <c r="F138" s="94"/>
      <c r="G138" s="95"/>
      <c r="H138" s="79">
        <f>H136+H137</f>
        <v>655.710000512</v>
      </c>
      <c r="I138" s="100">
        <f>H138</f>
        <v>655.710000512</v>
      </c>
    </row>
    <row r="140" customHeight="1" spans="1:9">
      <c r="A140" s="76" t="s">
        <v>237</v>
      </c>
      <c r="E140" s="70"/>
      <c r="G140" s="70"/>
      <c r="H140" s="70"/>
      <c r="I140" s="70"/>
    </row>
    <row r="141" customHeight="1" spans="1:9">
      <c r="A141" s="9" t="s">
        <v>181</v>
      </c>
      <c r="B141" s="97"/>
      <c r="C141" s="97"/>
      <c r="D141" s="97"/>
      <c r="E141" s="9" t="s">
        <v>182</v>
      </c>
      <c r="F141" s="9" t="s">
        <v>133</v>
      </c>
      <c r="G141" s="9"/>
      <c r="H141" s="9" t="s">
        <v>183</v>
      </c>
      <c r="I141" s="9"/>
    </row>
    <row r="142" customHeight="1" spans="1:9">
      <c r="A142" s="9" t="s">
        <v>86</v>
      </c>
      <c r="B142" s="9"/>
      <c r="C142" s="9"/>
      <c r="D142" s="9"/>
      <c r="E142" s="9" t="s">
        <v>184</v>
      </c>
      <c r="F142" s="9"/>
      <c r="G142" s="9"/>
      <c r="H142" s="9"/>
      <c r="I142" s="9"/>
    </row>
    <row r="143" customHeight="1" spans="1:9">
      <c r="A143" s="13" t="s">
        <v>185</v>
      </c>
      <c r="B143" s="9">
        <v>0</v>
      </c>
      <c r="C143" s="13" t="s">
        <v>186</v>
      </c>
      <c r="D143" s="9">
        <v>0</v>
      </c>
      <c r="E143" s="9" t="s">
        <v>187</v>
      </c>
      <c r="F143" s="77">
        <v>0</v>
      </c>
      <c r="G143" s="11" t="s">
        <v>188</v>
      </c>
      <c r="H143" s="9"/>
      <c r="I143" s="9"/>
    </row>
    <row r="144" customHeight="1" spans="1:9">
      <c r="A144" s="13"/>
      <c r="B144" s="9"/>
      <c r="C144" s="13"/>
      <c r="D144" s="9"/>
      <c r="E144" s="9"/>
      <c r="F144" s="77">
        <v>0</v>
      </c>
      <c r="G144" s="12" t="s">
        <v>189</v>
      </c>
      <c r="H144" s="9"/>
      <c r="I144" s="9"/>
    </row>
    <row r="145" customHeight="1" spans="1:9">
      <c r="A145" s="9" t="s">
        <v>38</v>
      </c>
      <c r="B145" s="9" t="s">
        <v>190</v>
      </c>
      <c r="C145" s="9"/>
      <c r="D145" s="9" t="s">
        <v>191</v>
      </c>
      <c r="E145" s="9" t="s">
        <v>192</v>
      </c>
      <c r="F145" s="9" t="s">
        <v>193</v>
      </c>
      <c r="G145" s="11" t="s">
        <v>194</v>
      </c>
      <c r="H145" s="11" t="s">
        <v>195</v>
      </c>
      <c r="I145" s="12" t="s">
        <v>196</v>
      </c>
    </row>
    <row r="146" customHeight="1" spans="1:9">
      <c r="A146" s="78">
        <v>1</v>
      </c>
      <c r="B146" s="78" t="s">
        <v>197</v>
      </c>
      <c r="C146" s="78"/>
      <c r="D146" s="78"/>
      <c r="E146" s="78"/>
      <c r="F146" s="78"/>
      <c r="G146" s="78"/>
      <c r="H146" s="79">
        <f>SUM(H147:H149)</f>
        <v>307.186514</v>
      </c>
      <c r="I146" s="95"/>
    </row>
    <row r="147" customHeight="1" spans="1:9">
      <c r="A147" s="9">
        <v>1.1</v>
      </c>
      <c r="B147" s="80" t="s">
        <v>239</v>
      </c>
      <c r="C147" s="81"/>
      <c r="D147" s="9" t="s">
        <v>199</v>
      </c>
      <c r="E147" s="77">
        <v>7.85</v>
      </c>
      <c r="F147" s="82">
        <v>0.07</v>
      </c>
      <c r="G147" s="83">
        <f>主要材料品牌单价!E$6/1000</f>
        <v>29.5</v>
      </c>
      <c r="H147" s="83">
        <f t="shared" ref="H147:H151" si="16">E147*(1+F147)*G147</f>
        <v>247.78525</v>
      </c>
      <c r="I147" s="11"/>
    </row>
    <row r="148" customHeight="1" spans="1:9">
      <c r="A148" s="9">
        <v>1.2</v>
      </c>
      <c r="B148" s="80" t="s">
        <v>198</v>
      </c>
      <c r="C148" s="81"/>
      <c r="D148" s="9" t="s">
        <v>199</v>
      </c>
      <c r="E148" s="77">
        <f>E147*0.16</f>
        <v>1.256</v>
      </c>
      <c r="F148" s="82">
        <v>0.07</v>
      </c>
      <c r="G148" s="83">
        <f>主要材料品牌单价!E$5/1000</f>
        <v>29.8</v>
      </c>
      <c r="H148" s="83">
        <f t="shared" si="16"/>
        <v>40.048816</v>
      </c>
      <c r="I148" s="11"/>
    </row>
    <row r="149" customHeight="1" spans="1:9">
      <c r="A149" s="9">
        <v>1.3</v>
      </c>
      <c r="B149" s="9" t="s">
        <v>200</v>
      </c>
      <c r="C149" s="9"/>
      <c r="D149" s="9" t="s">
        <v>199</v>
      </c>
      <c r="E149" s="77">
        <f>E147*0.08</f>
        <v>0.628</v>
      </c>
      <c r="F149" s="82">
        <v>0.07</v>
      </c>
      <c r="G149" s="83">
        <f>(主要材料品牌单价!E$5-1000)/1000</f>
        <v>28.8</v>
      </c>
      <c r="H149" s="83">
        <f t="shared" si="16"/>
        <v>19.352448</v>
      </c>
      <c r="I149" s="11"/>
    </row>
    <row r="150" customHeight="1" spans="1:9">
      <c r="A150" s="78">
        <v>2</v>
      </c>
      <c r="B150" s="78" t="s">
        <v>201</v>
      </c>
      <c r="C150" s="78"/>
      <c r="D150" s="78"/>
      <c r="E150" s="78"/>
      <c r="F150" s="78"/>
      <c r="G150" s="78"/>
      <c r="H150" s="84">
        <f>H151</f>
        <v>137.6125</v>
      </c>
      <c r="I150" s="95"/>
    </row>
    <row r="151" customHeight="1" spans="1:9">
      <c r="A151" s="9">
        <v>2.1</v>
      </c>
      <c r="B151" s="9" t="s">
        <v>202</v>
      </c>
      <c r="C151" s="9"/>
      <c r="D151" s="9" t="s">
        <v>203</v>
      </c>
      <c r="E151" s="83">
        <v>1.09</v>
      </c>
      <c r="F151" s="82">
        <v>0.01</v>
      </c>
      <c r="G151" s="83">
        <f>主要材料品牌单价!E15</f>
        <v>125</v>
      </c>
      <c r="H151" s="83">
        <f t="shared" si="16"/>
        <v>137.6125</v>
      </c>
      <c r="I151" s="11"/>
    </row>
    <row r="152" customHeight="1" spans="1:9">
      <c r="A152" s="78">
        <v>3</v>
      </c>
      <c r="B152" s="78" t="s">
        <v>204</v>
      </c>
      <c r="C152" s="78"/>
      <c r="D152" s="78"/>
      <c r="E152" s="78"/>
      <c r="F152" s="78"/>
      <c r="G152" s="78"/>
      <c r="H152" s="84">
        <f>H153+H154</f>
        <v>193.0775</v>
      </c>
      <c r="I152" s="95"/>
    </row>
    <row r="153" customHeight="1" spans="1:9">
      <c r="A153" s="9">
        <v>3.1</v>
      </c>
      <c r="B153" s="9" t="s">
        <v>240</v>
      </c>
      <c r="C153" s="9"/>
      <c r="D153" s="9" t="s">
        <v>206</v>
      </c>
      <c r="E153" s="83">
        <v>0.7</v>
      </c>
      <c r="F153" s="82">
        <v>0.003</v>
      </c>
      <c r="G153" s="11">
        <f>主要材料品牌单价!E37</f>
        <v>185</v>
      </c>
      <c r="H153" s="83">
        <f>E153*(1+F153)*G153</f>
        <v>129.8885</v>
      </c>
      <c r="I153" s="11"/>
    </row>
    <row r="154" customHeight="1" spans="1:9">
      <c r="A154" s="9">
        <v>3.2</v>
      </c>
      <c r="B154" s="9" t="s">
        <v>241</v>
      </c>
      <c r="C154" s="9"/>
      <c r="D154" s="9" t="s">
        <v>206</v>
      </c>
      <c r="E154" s="83">
        <v>0.3</v>
      </c>
      <c r="F154" s="82">
        <v>0.003</v>
      </c>
      <c r="G154" s="11">
        <f>主要材料品牌单价!E38</f>
        <v>210</v>
      </c>
      <c r="H154" s="83">
        <f>E154*(1+F154)*G154</f>
        <v>63.189</v>
      </c>
      <c r="I154" s="11"/>
    </row>
    <row r="155" customHeight="1" spans="1:9">
      <c r="A155" s="78">
        <v>4</v>
      </c>
      <c r="B155" s="78" t="s">
        <v>207</v>
      </c>
      <c r="C155" s="78"/>
      <c r="D155" s="78"/>
      <c r="E155" s="78"/>
      <c r="F155" s="78"/>
      <c r="G155" s="78"/>
      <c r="H155" s="79">
        <f>SUM(H156:H160)</f>
        <v>35.51</v>
      </c>
      <c r="I155" s="95" t="s">
        <v>208</v>
      </c>
    </row>
    <row r="156" customHeight="1" spans="1:9">
      <c r="A156" s="85">
        <v>4.1</v>
      </c>
      <c r="B156" s="9" t="s">
        <v>209</v>
      </c>
      <c r="C156" s="9"/>
      <c r="D156" s="9" t="s">
        <v>210</v>
      </c>
      <c r="E156" s="85">
        <v>0.5</v>
      </c>
      <c r="F156" s="85"/>
      <c r="G156" s="85">
        <f>主要材料品牌单价!E$44</f>
        <v>18.5</v>
      </c>
      <c r="H156" s="83">
        <f t="shared" ref="H156:H160" si="17">E156*(1+F156)*G156</f>
        <v>9.25</v>
      </c>
      <c r="I156" s="11"/>
    </row>
    <row r="157" customHeight="1" spans="1:9">
      <c r="A157" s="85">
        <v>4.2</v>
      </c>
      <c r="B157" s="80" t="s">
        <v>211</v>
      </c>
      <c r="C157" s="81"/>
      <c r="D157" s="9" t="s">
        <v>210</v>
      </c>
      <c r="E157" s="86">
        <v>0.8</v>
      </c>
      <c r="F157" s="85"/>
      <c r="G157" s="85">
        <f>主要材料品牌单价!E$43</f>
        <v>15.5</v>
      </c>
      <c r="H157" s="83">
        <f t="shared" si="17"/>
        <v>12.4</v>
      </c>
      <c r="I157" s="11"/>
    </row>
    <row r="158" customHeight="1" spans="1:9">
      <c r="A158" s="85">
        <v>4.3</v>
      </c>
      <c r="B158" s="80" t="s">
        <v>212</v>
      </c>
      <c r="C158" s="81"/>
      <c r="D158" s="9" t="s">
        <v>210</v>
      </c>
      <c r="E158" s="86">
        <v>0.2</v>
      </c>
      <c r="F158" s="85"/>
      <c r="G158" s="85">
        <f>主要材料品牌单价!E$45</f>
        <v>16.8</v>
      </c>
      <c r="H158" s="83">
        <f t="shared" si="17"/>
        <v>3.36</v>
      </c>
      <c r="I158" s="11"/>
    </row>
    <row r="159" customHeight="1" spans="1:9">
      <c r="A159" s="85">
        <v>4.4</v>
      </c>
      <c r="B159" s="87" t="s">
        <v>213</v>
      </c>
      <c r="C159" s="88"/>
      <c r="D159" s="9" t="s">
        <v>210</v>
      </c>
      <c r="E159" s="77">
        <v>0.1</v>
      </c>
      <c r="F159" s="9"/>
      <c r="G159" s="85">
        <f>主要材料品牌单价!E$46</f>
        <v>25</v>
      </c>
      <c r="H159" s="83">
        <f t="shared" si="17"/>
        <v>2.5</v>
      </c>
      <c r="I159" s="11"/>
    </row>
    <row r="160" customHeight="1" spans="1:9">
      <c r="A160" s="85">
        <v>4.5</v>
      </c>
      <c r="B160" s="27" t="s">
        <v>214</v>
      </c>
      <c r="C160" s="27"/>
      <c r="D160" s="9" t="s">
        <v>215</v>
      </c>
      <c r="E160" s="77">
        <v>1</v>
      </c>
      <c r="F160" s="9"/>
      <c r="G160" s="85">
        <v>8</v>
      </c>
      <c r="H160" s="83">
        <f t="shared" si="17"/>
        <v>8</v>
      </c>
      <c r="I160" s="11"/>
    </row>
    <row r="161" customHeight="1" spans="1:9">
      <c r="A161" s="78">
        <v>5</v>
      </c>
      <c r="B161" s="78" t="s">
        <v>216</v>
      </c>
      <c r="C161" s="78"/>
      <c r="D161" s="78"/>
      <c r="E161" s="78"/>
      <c r="F161" s="78"/>
      <c r="G161" s="78"/>
      <c r="H161" s="79">
        <f>SUM(H162:H164)</f>
        <v>10.6</v>
      </c>
      <c r="I161" s="95" t="s">
        <v>208</v>
      </c>
    </row>
    <row r="162" customHeight="1" spans="1:9">
      <c r="A162" s="85">
        <v>5.1</v>
      </c>
      <c r="B162" s="9" t="s">
        <v>217</v>
      </c>
      <c r="C162" s="9"/>
      <c r="D162" s="9" t="s">
        <v>218</v>
      </c>
      <c r="E162" s="86">
        <v>0.2</v>
      </c>
      <c r="F162" s="85"/>
      <c r="G162" s="85">
        <f>主要材料品牌单价!E48</f>
        <v>18</v>
      </c>
      <c r="H162" s="83">
        <f t="shared" ref="H162:H171" si="18">E162*(1+F162)*G162</f>
        <v>3.6</v>
      </c>
      <c r="I162" s="11"/>
    </row>
    <row r="163" customHeight="1" spans="1:9">
      <c r="A163" s="85">
        <v>5.2</v>
      </c>
      <c r="B163" s="80" t="s">
        <v>219</v>
      </c>
      <c r="C163" s="81"/>
      <c r="D163" s="9" t="s">
        <v>215</v>
      </c>
      <c r="E163" s="86">
        <v>0</v>
      </c>
      <c r="F163" s="85"/>
      <c r="G163" s="85"/>
      <c r="H163" s="83">
        <f t="shared" si="18"/>
        <v>0</v>
      </c>
      <c r="I163" s="11"/>
    </row>
    <row r="164" customHeight="1" spans="1:9">
      <c r="A164" s="85">
        <v>5.3</v>
      </c>
      <c r="B164" s="89" t="s">
        <v>220</v>
      </c>
      <c r="C164" s="90"/>
      <c r="D164" s="91" t="s">
        <v>206</v>
      </c>
      <c r="E164" s="77">
        <v>7</v>
      </c>
      <c r="F164" s="9"/>
      <c r="G164" s="85"/>
      <c r="H164" s="83">
        <v>7</v>
      </c>
      <c r="I164" s="11"/>
    </row>
    <row r="165" customHeight="1" spans="1:9">
      <c r="A165" s="92">
        <v>6</v>
      </c>
      <c r="B165" s="91" t="s">
        <v>221</v>
      </c>
      <c r="C165" s="91"/>
      <c r="D165" s="91" t="s">
        <v>206</v>
      </c>
      <c r="E165" s="91">
        <v>1</v>
      </c>
      <c r="F165" s="78">
        <v>0</v>
      </c>
      <c r="G165" s="85">
        <v>45</v>
      </c>
      <c r="H165" s="79">
        <f t="shared" si="18"/>
        <v>45</v>
      </c>
      <c r="I165" s="95" t="s">
        <v>208</v>
      </c>
    </row>
    <row r="166" customHeight="1" spans="1:9">
      <c r="A166" s="78">
        <v>7</v>
      </c>
      <c r="B166" s="93" t="s">
        <v>222</v>
      </c>
      <c r="C166" s="94"/>
      <c r="D166" s="91" t="s">
        <v>206</v>
      </c>
      <c r="E166" s="91">
        <v>1</v>
      </c>
      <c r="F166" s="78">
        <v>0</v>
      </c>
      <c r="G166" s="85">
        <v>60</v>
      </c>
      <c r="H166" s="79">
        <f t="shared" si="18"/>
        <v>60</v>
      </c>
      <c r="I166" s="95" t="s">
        <v>208</v>
      </c>
    </row>
    <row r="167" customHeight="1" spans="1:9">
      <c r="A167" s="78">
        <v>8</v>
      </c>
      <c r="B167" s="91" t="s">
        <v>223</v>
      </c>
      <c r="C167" s="91"/>
      <c r="D167" s="91" t="s">
        <v>206</v>
      </c>
      <c r="E167" s="91">
        <v>1</v>
      </c>
      <c r="F167" s="78">
        <v>0</v>
      </c>
      <c r="G167" s="85">
        <v>8</v>
      </c>
      <c r="H167" s="79">
        <f t="shared" si="18"/>
        <v>8</v>
      </c>
      <c r="I167" s="95" t="s">
        <v>208</v>
      </c>
    </row>
    <row r="168" customHeight="1" spans="1:9">
      <c r="A168" s="91">
        <v>9</v>
      </c>
      <c r="B168" s="91" t="s">
        <v>224</v>
      </c>
      <c r="C168" s="91"/>
      <c r="D168" s="91" t="s">
        <v>206</v>
      </c>
      <c r="E168" s="91">
        <v>1</v>
      </c>
      <c r="F168" s="91">
        <v>0</v>
      </c>
      <c r="G168" s="85">
        <v>1</v>
      </c>
      <c r="H168" s="79">
        <f t="shared" si="18"/>
        <v>1</v>
      </c>
      <c r="I168" s="95" t="s">
        <v>208</v>
      </c>
    </row>
    <row r="169" customHeight="1" spans="1:9">
      <c r="A169" s="91">
        <v>10</v>
      </c>
      <c r="B169" s="91" t="s">
        <v>225</v>
      </c>
      <c r="C169" s="91"/>
      <c r="D169" s="91" t="s">
        <v>206</v>
      </c>
      <c r="E169" s="91">
        <v>1</v>
      </c>
      <c r="F169" s="91">
        <v>0</v>
      </c>
      <c r="G169" s="85">
        <v>1</v>
      </c>
      <c r="H169" s="79">
        <f t="shared" si="18"/>
        <v>1</v>
      </c>
      <c r="I169" s="95" t="s">
        <v>208</v>
      </c>
    </row>
    <row r="170" customHeight="1" spans="1:9">
      <c r="A170" s="91">
        <v>11</v>
      </c>
      <c r="B170" s="93" t="s">
        <v>226</v>
      </c>
      <c r="C170" s="94"/>
      <c r="D170" s="91" t="s">
        <v>206</v>
      </c>
      <c r="E170" s="91">
        <v>1</v>
      </c>
      <c r="F170" s="91">
        <v>0</v>
      </c>
      <c r="G170" s="85">
        <v>1.5</v>
      </c>
      <c r="H170" s="79">
        <f t="shared" si="18"/>
        <v>1.5</v>
      </c>
      <c r="I170" s="95" t="s">
        <v>208</v>
      </c>
    </row>
    <row r="171" customHeight="1" spans="1:9">
      <c r="A171" s="91">
        <v>12</v>
      </c>
      <c r="B171" s="91" t="s">
        <v>227</v>
      </c>
      <c r="C171" s="91"/>
      <c r="D171" s="91" t="s">
        <v>206</v>
      </c>
      <c r="E171" s="91">
        <v>1</v>
      </c>
      <c r="F171" s="91">
        <v>0</v>
      </c>
      <c r="G171" s="85">
        <v>0.5</v>
      </c>
      <c r="H171" s="79">
        <f t="shared" si="18"/>
        <v>0.5</v>
      </c>
      <c r="I171" s="95" t="s">
        <v>208</v>
      </c>
    </row>
    <row r="172" customHeight="1" spans="1:9">
      <c r="A172" s="91">
        <v>13</v>
      </c>
      <c r="B172" s="93" t="s">
        <v>228</v>
      </c>
      <c r="C172" s="94"/>
      <c r="D172" s="91" t="s">
        <v>6</v>
      </c>
      <c r="E172" s="93" t="s">
        <v>229</v>
      </c>
      <c r="F172" s="94"/>
      <c r="G172" s="95"/>
      <c r="H172" s="79">
        <f>H146+H150+H155+H161+H165+H166+H167+H168+H169+H171+H170+H152</f>
        <v>800.986514</v>
      </c>
      <c r="I172" s="98" t="s">
        <v>230</v>
      </c>
    </row>
    <row r="173" customHeight="1" spans="1:9">
      <c r="A173" s="91">
        <v>14</v>
      </c>
      <c r="B173" s="93" t="s">
        <v>231</v>
      </c>
      <c r="C173" s="94"/>
      <c r="D173" s="91" t="s">
        <v>6</v>
      </c>
      <c r="E173" s="93" t="s">
        <v>235</v>
      </c>
      <c r="F173" s="94"/>
      <c r="G173" s="96">
        <v>0.12</v>
      </c>
      <c r="H173" s="79">
        <f>H172*(G173)</f>
        <v>96.11838168</v>
      </c>
      <c r="I173" s="99"/>
    </row>
    <row r="174" customHeight="1" spans="1:9">
      <c r="A174" s="91">
        <v>15</v>
      </c>
      <c r="B174" s="93" t="s">
        <v>233</v>
      </c>
      <c r="C174" s="94"/>
      <c r="D174" s="91" t="s">
        <v>6</v>
      </c>
      <c r="E174" s="93" t="s">
        <v>234</v>
      </c>
      <c r="F174" s="94"/>
      <c r="G174" s="95"/>
      <c r="H174" s="79">
        <f>H172+H173</f>
        <v>897.10489568</v>
      </c>
      <c r="I174" s="100">
        <f>H174</f>
        <v>897.10489568</v>
      </c>
    </row>
    <row r="176" customHeight="1" spans="1:9">
      <c r="A176" s="76" t="s">
        <v>237</v>
      </c>
      <c r="E176" s="70"/>
      <c r="G176" s="70"/>
      <c r="H176" s="70"/>
      <c r="I176" s="70"/>
    </row>
    <row r="177" customHeight="1" spans="1:9">
      <c r="A177" s="9" t="s">
        <v>181</v>
      </c>
      <c r="B177" s="97"/>
      <c r="C177" s="97"/>
      <c r="D177" s="97"/>
      <c r="E177" s="9" t="s">
        <v>182</v>
      </c>
      <c r="F177" s="9" t="s">
        <v>140</v>
      </c>
      <c r="G177" s="9"/>
      <c r="H177" s="9" t="s">
        <v>183</v>
      </c>
      <c r="I177" s="9"/>
    </row>
    <row r="178" customHeight="1" spans="1:9">
      <c r="A178" s="9" t="s">
        <v>86</v>
      </c>
      <c r="B178" s="9"/>
      <c r="C178" s="9"/>
      <c r="D178" s="9"/>
      <c r="E178" s="9" t="s">
        <v>184</v>
      </c>
      <c r="F178" s="9"/>
      <c r="G178" s="9"/>
      <c r="H178" s="9"/>
      <c r="I178" s="9"/>
    </row>
    <row r="179" customHeight="1" spans="1:9">
      <c r="A179" s="13" t="s">
        <v>185</v>
      </c>
      <c r="B179" s="9" t="e">
        <f>VLOOKUP(J178,[1]工程量清单清单!A:AD,29,FALSE)</f>
        <v>#N/A</v>
      </c>
      <c r="C179" s="13" t="s">
        <v>186</v>
      </c>
      <c r="D179" s="9" t="e">
        <f>VLOOKUP(J178,[1]工程量清单清单!A:ZC,30,FALSE)</f>
        <v>#N/A</v>
      </c>
      <c r="E179" s="9" t="s">
        <v>187</v>
      </c>
      <c r="F179" s="77">
        <v>0</v>
      </c>
      <c r="G179" s="11" t="s">
        <v>188</v>
      </c>
      <c r="H179" s="9"/>
      <c r="I179" s="9"/>
    </row>
    <row r="180" customHeight="1" spans="1:9">
      <c r="A180" s="13"/>
      <c r="B180" s="9"/>
      <c r="C180" s="13"/>
      <c r="D180" s="9"/>
      <c r="E180" s="9"/>
      <c r="F180" s="77">
        <v>0</v>
      </c>
      <c r="G180" s="12" t="s">
        <v>189</v>
      </c>
      <c r="H180" s="9"/>
      <c r="I180" s="9"/>
    </row>
    <row r="181" customHeight="1" spans="1:9">
      <c r="A181" s="9" t="s">
        <v>38</v>
      </c>
      <c r="B181" s="9" t="s">
        <v>190</v>
      </c>
      <c r="C181" s="9"/>
      <c r="D181" s="9" t="s">
        <v>191</v>
      </c>
      <c r="E181" s="9" t="s">
        <v>192</v>
      </c>
      <c r="F181" s="9" t="s">
        <v>193</v>
      </c>
      <c r="G181" s="11" t="s">
        <v>194</v>
      </c>
      <c r="H181" s="11" t="s">
        <v>195</v>
      </c>
      <c r="I181" s="12" t="s">
        <v>196</v>
      </c>
    </row>
    <row r="182" customHeight="1" spans="1:9">
      <c r="A182" s="78">
        <v>1</v>
      </c>
      <c r="B182" s="78" t="s">
        <v>197</v>
      </c>
      <c r="C182" s="78"/>
      <c r="D182" s="78"/>
      <c r="E182" s="78"/>
      <c r="F182" s="78"/>
      <c r="G182" s="78"/>
      <c r="H182" s="79">
        <f>SUM(H183:H185)</f>
        <v>221.096026</v>
      </c>
      <c r="I182" s="95"/>
    </row>
    <row r="183" customHeight="1" spans="1:9">
      <c r="A183" s="9">
        <v>1.1</v>
      </c>
      <c r="B183" s="80" t="s">
        <v>239</v>
      </c>
      <c r="C183" s="81"/>
      <c r="D183" s="9" t="s">
        <v>199</v>
      </c>
      <c r="E183" s="77">
        <v>5.65</v>
      </c>
      <c r="F183" s="82">
        <v>0.07</v>
      </c>
      <c r="G183" s="83">
        <f>主要材料品牌单价!E$6/1000</f>
        <v>29.5</v>
      </c>
      <c r="H183" s="83">
        <f t="shared" ref="H183:H187" si="19">E183*(1+F183)*G183</f>
        <v>178.34225</v>
      </c>
      <c r="I183" s="11"/>
    </row>
    <row r="184" customHeight="1" spans="1:9">
      <c r="A184" s="9">
        <v>1.2</v>
      </c>
      <c r="B184" s="80" t="s">
        <v>198</v>
      </c>
      <c r="C184" s="81"/>
      <c r="D184" s="9" t="s">
        <v>199</v>
      </c>
      <c r="E184" s="77">
        <f>E183*0.16</f>
        <v>0.904</v>
      </c>
      <c r="F184" s="82">
        <v>0.07</v>
      </c>
      <c r="G184" s="83">
        <f>主要材料品牌单价!E$5/1000</f>
        <v>29.8</v>
      </c>
      <c r="H184" s="83">
        <f t="shared" si="19"/>
        <v>28.824944</v>
      </c>
      <c r="I184" s="11"/>
    </row>
    <row r="185" customHeight="1" spans="1:9">
      <c r="A185" s="9">
        <v>1.3</v>
      </c>
      <c r="B185" s="9" t="s">
        <v>200</v>
      </c>
      <c r="C185" s="9"/>
      <c r="D185" s="9" t="s">
        <v>199</v>
      </c>
      <c r="E185" s="77">
        <f>E183*0.08</f>
        <v>0.452</v>
      </c>
      <c r="F185" s="82">
        <v>0.07</v>
      </c>
      <c r="G185" s="83">
        <f>(主要材料品牌单价!E$5-1000)/1000</f>
        <v>28.8</v>
      </c>
      <c r="H185" s="83">
        <f t="shared" si="19"/>
        <v>13.928832</v>
      </c>
      <c r="I185" s="11"/>
    </row>
    <row r="186" customHeight="1" spans="1:9">
      <c r="A186" s="78">
        <v>2</v>
      </c>
      <c r="B186" s="78" t="s">
        <v>201</v>
      </c>
      <c r="C186" s="78"/>
      <c r="D186" s="78"/>
      <c r="E186" s="78"/>
      <c r="F186" s="78"/>
      <c r="G186" s="78"/>
      <c r="H186" s="84">
        <f>H187</f>
        <v>37.168</v>
      </c>
      <c r="I186" s="95"/>
    </row>
    <row r="187" customHeight="1" spans="1:9">
      <c r="A187" s="9">
        <v>2.1</v>
      </c>
      <c r="B187" s="9" t="s">
        <v>202</v>
      </c>
      <c r="C187" s="9"/>
      <c r="D187" s="9" t="s">
        <v>203</v>
      </c>
      <c r="E187" s="83">
        <v>0.4</v>
      </c>
      <c r="F187" s="82">
        <v>0.01</v>
      </c>
      <c r="G187" s="83">
        <f>主要材料品牌单价!E14</f>
        <v>92</v>
      </c>
      <c r="H187" s="83">
        <f t="shared" si="19"/>
        <v>37.168</v>
      </c>
      <c r="I187" s="11"/>
    </row>
    <row r="188" customHeight="1" spans="1:9">
      <c r="A188" s="78">
        <v>3</v>
      </c>
      <c r="B188" s="78" t="s">
        <v>204</v>
      </c>
      <c r="C188" s="78"/>
      <c r="D188" s="78"/>
      <c r="E188" s="78"/>
      <c r="F188" s="78"/>
      <c r="G188" s="78"/>
      <c r="H188" s="84">
        <f>H189</f>
        <v>130.8915</v>
      </c>
      <c r="I188" s="95"/>
    </row>
    <row r="189" customHeight="1" spans="1:9">
      <c r="A189" s="9">
        <v>3.1</v>
      </c>
      <c r="B189" s="9" t="s">
        <v>243</v>
      </c>
      <c r="C189" s="9"/>
      <c r="D189" s="9" t="s">
        <v>206</v>
      </c>
      <c r="E189" s="83">
        <v>0.9</v>
      </c>
      <c r="F189" s="82">
        <v>0.003</v>
      </c>
      <c r="G189" s="11">
        <f>主要材料品牌单价!E35</f>
        <v>145</v>
      </c>
      <c r="H189" s="83">
        <f>E189*(1+F189)*G189</f>
        <v>130.8915</v>
      </c>
      <c r="I189" s="11"/>
    </row>
    <row r="190" customHeight="1" spans="1:9">
      <c r="A190" s="78">
        <v>4</v>
      </c>
      <c r="B190" s="78" t="s">
        <v>207</v>
      </c>
      <c r="C190" s="78"/>
      <c r="D190" s="78"/>
      <c r="E190" s="78"/>
      <c r="F190" s="78"/>
      <c r="G190" s="78"/>
      <c r="H190" s="79">
        <f>SUM(H191:H195)</f>
        <v>35.51</v>
      </c>
      <c r="I190" s="95" t="s">
        <v>208</v>
      </c>
    </row>
    <row r="191" customHeight="1" spans="1:9">
      <c r="A191" s="85">
        <v>4.1</v>
      </c>
      <c r="B191" s="9" t="s">
        <v>209</v>
      </c>
      <c r="C191" s="9"/>
      <c r="D191" s="9" t="s">
        <v>210</v>
      </c>
      <c r="E191" s="85">
        <v>0.5</v>
      </c>
      <c r="F191" s="85"/>
      <c r="G191" s="85">
        <f>主要材料品牌单价!E$44</f>
        <v>18.5</v>
      </c>
      <c r="H191" s="83">
        <f t="shared" ref="H191:H195" si="20">E191*(1+F191)*G191</f>
        <v>9.25</v>
      </c>
      <c r="I191" s="11"/>
    </row>
    <row r="192" customHeight="1" spans="1:9">
      <c r="A192" s="85">
        <v>4.2</v>
      </c>
      <c r="B192" s="80" t="s">
        <v>211</v>
      </c>
      <c r="C192" s="81"/>
      <c r="D192" s="9" t="s">
        <v>210</v>
      </c>
      <c r="E192" s="86">
        <v>0.8</v>
      </c>
      <c r="F192" s="85"/>
      <c r="G192" s="85">
        <f>主要材料品牌单价!E$43</f>
        <v>15.5</v>
      </c>
      <c r="H192" s="83">
        <f t="shared" si="20"/>
        <v>12.4</v>
      </c>
      <c r="I192" s="11"/>
    </row>
    <row r="193" customHeight="1" spans="1:9">
      <c r="A193" s="85">
        <v>4.3</v>
      </c>
      <c r="B193" s="80" t="s">
        <v>212</v>
      </c>
      <c r="C193" s="81"/>
      <c r="D193" s="9" t="s">
        <v>210</v>
      </c>
      <c r="E193" s="86">
        <v>0.2</v>
      </c>
      <c r="F193" s="85"/>
      <c r="G193" s="85">
        <f>主要材料品牌单价!E$45</f>
        <v>16.8</v>
      </c>
      <c r="H193" s="83">
        <f t="shared" si="20"/>
        <v>3.36</v>
      </c>
      <c r="I193" s="11"/>
    </row>
    <row r="194" customHeight="1" spans="1:9">
      <c r="A194" s="85">
        <v>4.4</v>
      </c>
      <c r="B194" s="87" t="s">
        <v>213</v>
      </c>
      <c r="C194" s="88"/>
      <c r="D194" s="9" t="s">
        <v>210</v>
      </c>
      <c r="E194" s="77">
        <v>0.1</v>
      </c>
      <c r="F194" s="9"/>
      <c r="G194" s="85">
        <f>主要材料品牌单价!E$46</f>
        <v>25</v>
      </c>
      <c r="H194" s="83">
        <f t="shared" si="20"/>
        <v>2.5</v>
      </c>
      <c r="I194" s="11"/>
    </row>
    <row r="195" customHeight="1" spans="1:9">
      <c r="A195" s="85">
        <v>4.5</v>
      </c>
      <c r="B195" s="27" t="s">
        <v>214</v>
      </c>
      <c r="C195" s="27"/>
      <c r="D195" s="9" t="s">
        <v>215</v>
      </c>
      <c r="E195" s="77">
        <v>1</v>
      </c>
      <c r="F195" s="9"/>
      <c r="G195" s="85">
        <v>8</v>
      </c>
      <c r="H195" s="83">
        <f t="shared" si="20"/>
        <v>8</v>
      </c>
      <c r="I195" s="11"/>
    </row>
    <row r="196" customHeight="1" spans="1:9">
      <c r="A196" s="78">
        <v>5</v>
      </c>
      <c r="B196" s="78" t="s">
        <v>216</v>
      </c>
      <c r="C196" s="78"/>
      <c r="D196" s="78"/>
      <c r="E196" s="78"/>
      <c r="F196" s="78"/>
      <c r="G196" s="78"/>
      <c r="H196" s="79">
        <f>SUM(H197:H199)</f>
        <v>9.8</v>
      </c>
      <c r="I196" s="95" t="s">
        <v>208</v>
      </c>
    </row>
    <row r="197" customHeight="1" spans="1:9">
      <c r="A197" s="85">
        <v>5.1</v>
      </c>
      <c r="B197" s="9" t="s">
        <v>217</v>
      </c>
      <c r="C197" s="9"/>
      <c r="D197" s="9" t="s">
        <v>218</v>
      </c>
      <c r="E197" s="86">
        <v>0.1</v>
      </c>
      <c r="F197" s="85"/>
      <c r="G197" s="85">
        <f>主要材料品牌单价!E$48</f>
        <v>18</v>
      </c>
      <c r="H197" s="83">
        <f t="shared" ref="H197:H206" si="21">E197*(1+F197)*G197</f>
        <v>1.8</v>
      </c>
      <c r="I197" s="11"/>
    </row>
    <row r="198" customHeight="1" spans="1:9">
      <c r="A198" s="85">
        <v>5.2</v>
      </c>
      <c r="B198" s="80" t="s">
        <v>219</v>
      </c>
      <c r="C198" s="81"/>
      <c r="D198" s="9" t="s">
        <v>215</v>
      </c>
      <c r="E198" s="86">
        <v>0</v>
      </c>
      <c r="F198" s="85"/>
      <c r="G198" s="85"/>
      <c r="H198" s="83">
        <f t="shared" si="21"/>
        <v>0</v>
      </c>
      <c r="I198" s="11"/>
    </row>
    <row r="199" customHeight="1" spans="1:9">
      <c r="A199" s="85">
        <v>5.3</v>
      </c>
      <c r="B199" s="89" t="s">
        <v>220</v>
      </c>
      <c r="C199" s="90"/>
      <c r="D199" s="91" t="s">
        <v>206</v>
      </c>
      <c r="E199" s="77">
        <v>8</v>
      </c>
      <c r="F199" s="9"/>
      <c r="G199" s="85"/>
      <c r="H199" s="83">
        <v>8</v>
      </c>
      <c r="I199" s="11"/>
    </row>
    <row r="200" customHeight="1" spans="1:9">
      <c r="A200" s="92">
        <v>6</v>
      </c>
      <c r="B200" s="91" t="s">
        <v>221</v>
      </c>
      <c r="C200" s="91"/>
      <c r="D200" s="91" t="s">
        <v>206</v>
      </c>
      <c r="E200" s="91">
        <v>1</v>
      </c>
      <c r="F200" s="78">
        <v>0</v>
      </c>
      <c r="G200" s="85">
        <v>45</v>
      </c>
      <c r="H200" s="79">
        <f t="shared" si="21"/>
        <v>45</v>
      </c>
      <c r="I200" s="95" t="s">
        <v>208</v>
      </c>
    </row>
    <row r="201" customHeight="1" spans="1:9">
      <c r="A201" s="78">
        <v>7</v>
      </c>
      <c r="B201" s="93" t="s">
        <v>222</v>
      </c>
      <c r="C201" s="94"/>
      <c r="D201" s="91" t="s">
        <v>206</v>
      </c>
      <c r="E201" s="91">
        <v>1</v>
      </c>
      <c r="F201" s="78">
        <v>0</v>
      </c>
      <c r="G201" s="85">
        <v>60</v>
      </c>
      <c r="H201" s="79">
        <f t="shared" si="21"/>
        <v>60</v>
      </c>
      <c r="I201" s="95" t="s">
        <v>208</v>
      </c>
    </row>
    <row r="202" customHeight="1" spans="1:9">
      <c r="A202" s="78">
        <v>8</v>
      </c>
      <c r="B202" s="91" t="s">
        <v>223</v>
      </c>
      <c r="C202" s="91"/>
      <c r="D202" s="91" t="s">
        <v>206</v>
      </c>
      <c r="E202" s="91">
        <v>1</v>
      </c>
      <c r="F202" s="78">
        <v>0</v>
      </c>
      <c r="G202" s="85">
        <v>8</v>
      </c>
      <c r="H202" s="79">
        <f t="shared" si="21"/>
        <v>8</v>
      </c>
      <c r="I202" s="95" t="s">
        <v>208</v>
      </c>
    </row>
    <row r="203" customHeight="1" spans="1:9">
      <c r="A203" s="91">
        <v>9</v>
      </c>
      <c r="B203" s="91" t="s">
        <v>224</v>
      </c>
      <c r="C203" s="91"/>
      <c r="D203" s="91" t="s">
        <v>206</v>
      </c>
      <c r="E203" s="91">
        <v>1</v>
      </c>
      <c r="F203" s="91">
        <v>0</v>
      </c>
      <c r="G203" s="85">
        <v>1</v>
      </c>
      <c r="H203" s="79">
        <f t="shared" si="21"/>
        <v>1</v>
      </c>
      <c r="I203" s="95" t="s">
        <v>208</v>
      </c>
    </row>
    <row r="204" customHeight="1" spans="1:9">
      <c r="A204" s="91">
        <v>10</v>
      </c>
      <c r="B204" s="91" t="s">
        <v>225</v>
      </c>
      <c r="C204" s="91"/>
      <c r="D204" s="91" t="s">
        <v>206</v>
      </c>
      <c r="E204" s="91">
        <v>1</v>
      </c>
      <c r="F204" s="91">
        <v>0</v>
      </c>
      <c r="G204" s="85">
        <v>1</v>
      </c>
      <c r="H204" s="79">
        <f t="shared" si="21"/>
        <v>1</v>
      </c>
      <c r="I204" s="95" t="s">
        <v>208</v>
      </c>
    </row>
    <row r="205" customHeight="1" spans="1:9">
      <c r="A205" s="91">
        <v>11</v>
      </c>
      <c r="B205" s="93" t="s">
        <v>226</v>
      </c>
      <c r="C205" s="94"/>
      <c r="D205" s="91" t="s">
        <v>206</v>
      </c>
      <c r="E205" s="91">
        <v>1</v>
      </c>
      <c r="F205" s="91">
        <v>0</v>
      </c>
      <c r="G205" s="85">
        <v>1.5</v>
      </c>
      <c r="H205" s="79">
        <f t="shared" si="21"/>
        <v>1.5</v>
      </c>
      <c r="I205" s="95" t="s">
        <v>208</v>
      </c>
    </row>
    <row r="206" customHeight="1" spans="1:9">
      <c r="A206" s="91">
        <v>12</v>
      </c>
      <c r="B206" s="91" t="s">
        <v>227</v>
      </c>
      <c r="C206" s="91"/>
      <c r="D206" s="91" t="s">
        <v>206</v>
      </c>
      <c r="E206" s="91">
        <v>1</v>
      </c>
      <c r="F206" s="91">
        <v>0</v>
      </c>
      <c r="G206" s="85">
        <v>0.5</v>
      </c>
      <c r="H206" s="79">
        <f t="shared" si="21"/>
        <v>0.5</v>
      </c>
      <c r="I206" s="95" t="s">
        <v>208</v>
      </c>
    </row>
    <row r="207" customHeight="1" spans="1:9">
      <c r="A207" s="91">
        <v>13</v>
      </c>
      <c r="B207" s="93" t="s">
        <v>228</v>
      </c>
      <c r="C207" s="94"/>
      <c r="D207" s="91" t="s">
        <v>6</v>
      </c>
      <c r="E207" s="93" t="s">
        <v>229</v>
      </c>
      <c r="F207" s="94"/>
      <c r="G207" s="95"/>
      <c r="H207" s="79">
        <f>H182+H186+H190+H196+H200+H201+H202+H203+H204+H206+H205+H188</f>
        <v>551.465526</v>
      </c>
      <c r="I207" s="98" t="s">
        <v>230</v>
      </c>
    </row>
    <row r="208" customHeight="1" spans="1:9">
      <c r="A208" s="91">
        <v>14</v>
      </c>
      <c r="B208" s="93" t="s">
        <v>231</v>
      </c>
      <c r="C208" s="94"/>
      <c r="D208" s="91" t="s">
        <v>6</v>
      </c>
      <c r="E208" s="93" t="s">
        <v>244</v>
      </c>
      <c r="F208" s="94"/>
      <c r="G208" s="96">
        <v>0.12</v>
      </c>
      <c r="H208" s="79">
        <f>H207*(G208)</f>
        <v>66.17586312</v>
      </c>
      <c r="I208" s="99"/>
    </row>
    <row r="209" customHeight="1" spans="1:9">
      <c r="A209" s="91">
        <v>15</v>
      </c>
      <c r="B209" s="93" t="s">
        <v>233</v>
      </c>
      <c r="C209" s="94"/>
      <c r="D209" s="91" t="s">
        <v>6</v>
      </c>
      <c r="E209" s="93" t="s">
        <v>234</v>
      </c>
      <c r="F209" s="94"/>
      <c r="G209" s="95"/>
      <c r="H209" s="79">
        <f>H207+H208</f>
        <v>617.64138912</v>
      </c>
      <c r="I209" s="100">
        <f>H209</f>
        <v>617.64138912</v>
      </c>
    </row>
    <row r="211" customHeight="1" spans="1:9">
      <c r="A211" s="76" t="s">
        <v>237</v>
      </c>
      <c r="E211" s="70"/>
      <c r="G211" s="70"/>
      <c r="H211" s="70"/>
      <c r="I211" s="70"/>
    </row>
    <row r="212" customHeight="1" spans="1:9">
      <c r="A212" s="9" t="s">
        <v>181</v>
      </c>
      <c r="B212" s="97"/>
      <c r="C212" s="97"/>
      <c r="D212" s="97"/>
      <c r="E212" s="9" t="s">
        <v>182</v>
      </c>
      <c r="F212" s="9" t="s">
        <v>142</v>
      </c>
      <c r="G212" s="9"/>
      <c r="H212" s="9" t="s">
        <v>183</v>
      </c>
      <c r="I212" s="9"/>
    </row>
    <row r="213" customHeight="1" spans="1:9">
      <c r="A213" s="9" t="s">
        <v>86</v>
      </c>
      <c r="B213" s="9"/>
      <c r="C213" s="9"/>
      <c r="D213" s="9"/>
      <c r="E213" s="9" t="s">
        <v>184</v>
      </c>
      <c r="F213" s="9"/>
      <c r="G213" s="9"/>
      <c r="H213" s="9"/>
      <c r="I213" s="9"/>
    </row>
    <row r="214" customHeight="1" spans="1:9">
      <c r="A214" s="13" t="s">
        <v>185</v>
      </c>
      <c r="B214" s="9" t="e">
        <f>VLOOKUP(J213,[1]工程量清单清单!A:AD,29,FALSE)</f>
        <v>#N/A</v>
      </c>
      <c r="C214" s="13" t="s">
        <v>186</v>
      </c>
      <c r="D214" s="9" t="e">
        <f>VLOOKUP(J213,[1]工程量清单清单!A:ZC,30,FALSE)</f>
        <v>#N/A</v>
      </c>
      <c r="E214" s="9" t="s">
        <v>187</v>
      </c>
      <c r="F214" s="77">
        <v>0</v>
      </c>
      <c r="G214" s="11" t="s">
        <v>188</v>
      </c>
      <c r="H214" s="9"/>
      <c r="I214" s="9"/>
    </row>
    <row r="215" customHeight="1" spans="1:9">
      <c r="A215" s="13"/>
      <c r="B215" s="9"/>
      <c r="C215" s="13"/>
      <c r="D215" s="9"/>
      <c r="E215" s="9"/>
      <c r="F215" s="77">
        <v>0</v>
      </c>
      <c r="G215" s="12" t="s">
        <v>189</v>
      </c>
      <c r="H215" s="9"/>
      <c r="I215" s="9"/>
    </row>
    <row r="216" customHeight="1" spans="1:9">
      <c r="A216" s="9" t="s">
        <v>38</v>
      </c>
      <c r="B216" s="9" t="s">
        <v>190</v>
      </c>
      <c r="C216" s="9"/>
      <c r="D216" s="9" t="s">
        <v>191</v>
      </c>
      <c r="E216" s="9" t="s">
        <v>192</v>
      </c>
      <c r="F216" s="9" t="s">
        <v>193</v>
      </c>
      <c r="G216" s="11" t="s">
        <v>194</v>
      </c>
      <c r="H216" s="11" t="s">
        <v>195</v>
      </c>
      <c r="I216" s="12" t="s">
        <v>196</v>
      </c>
    </row>
    <row r="217" customHeight="1" spans="1:9">
      <c r="A217" s="78">
        <v>1</v>
      </c>
      <c r="B217" s="78" t="s">
        <v>197</v>
      </c>
      <c r="C217" s="78"/>
      <c r="D217" s="78"/>
      <c r="E217" s="78"/>
      <c r="F217" s="78"/>
      <c r="G217" s="78"/>
      <c r="H217" s="79">
        <f>SUM(H218:H220)</f>
        <v>268.8371148</v>
      </c>
      <c r="I217" s="95"/>
    </row>
    <row r="218" customHeight="1" spans="1:9">
      <c r="A218" s="9">
        <v>1.1</v>
      </c>
      <c r="B218" s="80" t="s">
        <v>239</v>
      </c>
      <c r="C218" s="81"/>
      <c r="D218" s="9" t="s">
        <v>199</v>
      </c>
      <c r="E218" s="77">
        <v>6.87</v>
      </c>
      <c r="F218" s="82">
        <v>0.07</v>
      </c>
      <c r="G218" s="83">
        <f>主要材料品牌单价!E$6/1000</f>
        <v>29.5</v>
      </c>
      <c r="H218" s="83">
        <f t="shared" ref="H218:H220" si="22">E218*(1+F218)*G218</f>
        <v>216.85155</v>
      </c>
      <c r="I218" s="11"/>
    </row>
    <row r="219" customHeight="1" spans="1:9">
      <c r="A219" s="9">
        <v>1.2</v>
      </c>
      <c r="B219" s="80" t="s">
        <v>198</v>
      </c>
      <c r="C219" s="81"/>
      <c r="D219" s="9" t="s">
        <v>199</v>
      </c>
      <c r="E219" s="77">
        <f>E218*0.16</f>
        <v>1.0992</v>
      </c>
      <c r="F219" s="82">
        <v>0.07</v>
      </c>
      <c r="G219" s="83">
        <f>主要材料品牌单价!E$5/1000</f>
        <v>29.8</v>
      </c>
      <c r="H219" s="83">
        <f t="shared" si="22"/>
        <v>35.0490912</v>
      </c>
      <c r="I219" s="11"/>
    </row>
    <row r="220" customHeight="1" spans="1:9">
      <c r="A220" s="9">
        <v>1.3</v>
      </c>
      <c r="B220" s="9" t="s">
        <v>200</v>
      </c>
      <c r="C220" s="9"/>
      <c r="D220" s="9" t="s">
        <v>199</v>
      </c>
      <c r="E220" s="77">
        <f>E218*0.08</f>
        <v>0.5496</v>
      </c>
      <c r="F220" s="82">
        <v>0.07</v>
      </c>
      <c r="G220" s="83">
        <f>(主要材料品牌单价!E$5-1000)/1000</f>
        <v>28.8</v>
      </c>
      <c r="H220" s="83">
        <f t="shared" si="22"/>
        <v>16.9364736</v>
      </c>
      <c r="I220" s="11"/>
    </row>
    <row r="221" customHeight="1" spans="1:9">
      <c r="A221" s="78">
        <v>2</v>
      </c>
      <c r="B221" s="78" t="s">
        <v>201</v>
      </c>
      <c r="C221" s="78"/>
      <c r="D221" s="78"/>
      <c r="E221" s="78"/>
      <c r="F221" s="78"/>
      <c r="G221" s="78"/>
      <c r="H221" s="84">
        <f>H222</f>
        <v>42.2685</v>
      </c>
      <c r="I221" s="95"/>
    </row>
    <row r="222" customHeight="1" spans="1:9">
      <c r="A222" s="9">
        <v>2.1</v>
      </c>
      <c r="B222" s="9" t="s">
        <v>202</v>
      </c>
      <c r="C222" s="9"/>
      <c r="D222" s="9" t="s">
        <v>203</v>
      </c>
      <c r="E222" s="83">
        <v>0.31</v>
      </c>
      <c r="F222" s="82">
        <v>0.01</v>
      </c>
      <c r="G222" s="83">
        <f>主要材料品牌单价!E26</f>
        <v>135</v>
      </c>
      <c r="H222" s="83">
        <f>E222*(1+F222)*G222</f>
        <v>42.2685</v>
      </c>
      <c r="I222" s="11"/>
    </row>
    <row r="223" customHeight="1" spans="1:9">
      <c r="A223" s="78">
        <v>3</v>
      </c>
      <c r="B223" s="78" t="s">
        <v>204</v>
      </c>
      <c r="C223" s="78"/>
      <c r="D223" s="78"/>
      <c r="E223" s="78"/>
      <c r="F223" s="78"/>
      <c r="G223" s="78"/>
      <c r="H223" s="84">
        <f>H224+H225</f>
        <v>193.1778</v>
      </c>
      <c r="I223" s="95"/>
    </row>
    <row r="224" ht="26" customHeight="1" spans="1:9">
      <c r="A224" s="9">
        <v>3.1</v>
      </c>
      <c r="B224" s="13" t="s">
        <v>245</v>
      </c>
      <c r="C224" s="13"/>
      <c r="D224" s="9" t="s">
        <v>206</v>
      </c>
      <c r="E224" s="83">
        <v>0.72</v>
      </c>
      <c r="F224" s="82">
        <v>0.003</v>
      </c>
      <c r="G224" s="11">
        <f>主要材料品牌单价!E40</f>
        <v>210</v>
      </c>
      <c r="H224" s="83">
        <f>E224*(1+F224)*G224</f>
        <v>151.6536</v>
      </c>
      <c r="I224" s="11"/>
    </row>
    <row r="225" ht="26" customHeight="1" spans="1:9">
      <c r="A225" s="9">
        <v>3.2</v>
      </c>
      <c r="B225" s="101" t="s">
        <v>246</v>
      </c>
      <c r="C225" s="102"/>
      <c r="D225" s="9" t="s">
        <v>206</v>
      </c>
      <c r="E225" s="83">
        <v>0.18</v>
      </c>
      <c r="F225" s="82">
        <v>0.003</v>
      </c>
      <c r="G225" s="11">
        <f>主要材料品牌单价!E41</f>
        <v>230</v>
      </c>
      <c r="H225" s="83">
        <f>E225*(1+F225)*G225</f>
        <v>41.5242</v>
      </c>
      <c r="I225" s="11"/>
    </row>
    <row r="226" customHeight="1" spans="1:9">
      <c r="A226" s="78">
        <v>4</v>
      </c>
      <c r="B226" s="78" t="s">
        <v>207</v>
      </c>
      <c r="C226" s="78"/>
      <c r="D226" s="78"/>
      <c r="E226" s="78"/>
      <c r="F226" s="78"/>
      <c r="G226" s="78"/>
      <c r="H226" s="79">
        <f>SUM(H227:H231)</f>
        <v>48.12</v>
      </c>
      <c r="I226" s="95" t="s">
        <v>208</v>
      </c>
    </row>
    <row r="227" customHeight="1" spans="1:9">
      <c r="A227" s="85">
        <v>4.1</v>
      </c>
      <c r="B227" s="9" t="s">
        <v>209</v>
      </c>
      <c r="C227" s="9"/>
      <c r="D227" s="9" t="s">
        <v>210</v>
      </c>
      <c r="E227" s="85">
        <v>1</v>
      </c>
      <c r="F227" s="85"/>
      <c r="G227" s="85">
        <f>主要材料品牌单价!E$44</f>
        <v>18.5</v>
      </c>
      <c r="H227" s="83">
        <f t="shared" ref="H226:H231" si="23">E227*(1+F227)*G227</f>
        <v>18.5</v>
      </c>
      <c r="I227" s="11"/>
    </row>
    <row r="228" customHeight="1" spans="1:9">
      <c r="A228" s="85">
        <v>4.2</v>
      </c>
      <c r="B228" s="80" t="s">
        <v>211</v>
      </c>
      <c r="C228" s="81"/>
      <c r="D228" s="9" t="s">
        <v>210</v>
      </c>
      <c r="E228" s="86">
        <v>0.8</v>
      </c>
      <c r="F228" s="85"/>
      <c r="G228" s="85">
        <f>主要材料品牌单价!E$43</f>
        <v>15.5</v>
      </c>
      <c r="H228" s="83">
        <f t="shared" si="23"/>
        <v>12.4</v>
      </c>
      <c r="I228" s="11"/>
    </row>
    <row r="229" customHeight="1" spans="1:9">
      <c r="A229" s="85">
        <v>4.3</v>
      </c>
      <c r="B229" s="80" t="s">
        <v>212</v>
      </c>
      <c r="C229" s="81"/>
      <c r="D229" s="9" t="s">
        <v>210</v>
      </c>
      <c r="E229" s="86">
        <v>0.4</v>
      </c>
      <c r="F229" s="85"/>
      <c r="G229" s="85">
        <f>主要材料品牌单价!E$45</f>
        <v>16.8</v>
      </c>
      <c r="H229" s="83">
        <f t="shared" si="23"/>
        <v>6.72</v>
      </c>
      <c r="I229" s="11"/>
    </row>
    <row r="230" customHeight="1" spans="1:9">
      <c r="A230" s="85">
        <v>4.4</v>
      </c>
      <c r="B230" s="87" t="s">
        <v>213</v>
      </c>
      <c r="C230" s="88"/>
      <c r="D230" s="9" t="s">
        <v>210</v>
      </c>
      <c r="E230" s="77">
        <v>0.1</v>
      </c>
      <c r="F230" s="9"/>
      <c r="G230" s="85">
        <f>主要材料品牌单价!E$46</f>
        <v>25</v>
      </c>
      <c r="H230" s="83">
        <f t="shared" si="23"/>
        <v>2.5</v>
      </c>
      <c r="I230" s="11"/>
    </row>
    <row r="231" customHeight="1" spans="1:9">
      <c r="A231" s="85">
        <v>4.5</v>
      </c>
      <c r="B231" s="27" t="s">
        <v>214</v>
      </c>
      <c r="C231" s="27"/>
      <c r="D231" s="9" t="s">
        <v>215</v>
      </c>
      <c r="E231" s="77">
        <v>1</v>
      </c>
      <c r="F231" s="9"/>
      <c r="G231" s="85">
        <v>8</v>
      </c>
      <c r="H231" s="83">
        <f t="shared" si="23"/>
        <v>8</v>
      </c>
      <c r="I231" s="11"/>
    </row>
    <row r="232" customHeight="1" spans="1:9">
      <c r="A232" s="78">
        <v>5</v>
      </c>
      <c r="B232" s="78" t="s">
        <v>216</v>
      </c>
      <c r="C232" s="78"/>
      <c r="D232" s="78"/>
      <c r="E232" s="78"/>
      <c r="F232" s="78"/>
      <c r="G232" s="78"/>
      <c r="H232" s="79">
        <f>SUM(H233:H235)</f>
        <v>19.8</v>
      </c>
      <c r="I232" s="95" t="s">
        <v>208</v>
      </c>
    </row>
    <row r="233" customHeight="1" spans="1:9">
      <c r="A233" s="85">
        <v>5.1</v>
      </c>
      <c r="B233" s="9" t="s">
        <v>217</v>
      </c>
      <c r="C233" s="9"/>
      <c r="D233" s="9" t="s">
        <v>218</v>
      </c>
      <c r="E233" s="86">
        <v>0.1</v>
      </c>
      <c r="F233" s="85"/>
      <c r="G233" s="85">
        <f>主要材料品牌单价!E$48</f>
        <v>18</v>
      </c>
      <c r="H233" s="83">
        <f t="shared" ref="H233:H242" si="24">E233*(1+F233)*G233</f>
        <v>1.8</v>
      </c>
      <c r="I233" s="11"/>
    </row>
    <row r="234" customHeight="1" spans="1:9">
      <c r="A234" s="85">
        <v>5.2</v>
      </c>
      <c r="B234" s="80" t="s">
        <v>219</v>
      </c>
      <c r="C234" s="81"/>
      <c r="D234" s="9" t="s">
        <v>215</v>
      </c>
      <c r="E234" s="86">
        <v>0</v>
      </c>
      <c r="F234" s="85"/>
      <c r="G234" s="85"/>
      <c r="H234" s="83">
        <f t="shared" si="24"/>
        <v>0</v>
      </c>
      <c r="I234" s="11"/>
    </row>
    <row r="235" customHeight="1" spans="1:9">
      <c r="A235" s="85">
        <v>5.3</v>
      </c>
      <c r="B235" s="89" t="s">
        <v>220</v>
      </c>
      <c r="C235" s="90"/>
      <c r="D235" s="91" t="s">
        <v>206</v>
      </c>
      <c r="E235" s="77">
        <v>18</v>
      </c>
      <c r="F235" s="9"/>
      <c r="G235" s="85"/>
      <c r="H235" s="83">
        <f>E235</f>
        <v>18</v>
      </c>
      <c r="I235" s="11"/>
    </row>
    <row r="236" customHeight="1" spans="1:9">
      <c r="A236" s="92">
        <v>6</v>
      </c>
      <c r="B236" s="91" t="s">
        <v>221</v>
      </c>
      <c r="C236" s="91"/>
      <c r="D236" s="91" t="s">
        <v>206</v>
      </c>
      <c r="E236" s="91">
        <v>1</v>
      </c>
      <c r="F236" s="78">
        <v>0</v>
      </c>
      <c r="G236" s="85">
        <v>65</v>
      </c>
      <c r="H236" s="79">
        <f t="shared" si="24"/>
        <v>65</v>
      </c>
      <c r="I236" s="95" t="s">
        <v>208</v>
      </c>
    </row>
    <row r="237" customHeight="1" spans="1:9">
      <c r="A237" s="78">
        <v>7</v>
      </c>
      <c r="B237" s="93" t="s">
        <v>222</v>
      </c>
      <c r="C237" s="94"/>
      <c r="D237" s="91" t="s">
        <v>206</v>
      </c>
      <c r="E237" s="91">
        <v>1</v>
      </c>
      <c r="F237" s="78">
        <v>0</v>
      </c>
      <c r="G237" s="85">
        <v>75</v>
      </c>
      <c r="H237" s="79">
        <f t="shared" si="24"/>
        <v>75</v>
      </c>
      <c r="I237" s="95" t="s">
        <v>208</v>
      </c>
    </row>
    <row r="238" customHeight="1" spans="1:9">
      <c r="A238" s="78">
        <v>8</v>
      </c>
      <c r="B238" s="91" t="s">
        <v>223</v>
      </c>
      <c r="C238" s="91"/>
      <c r="D238" s="91" t="s">
        <v>206</v>
      </c>
      <c r="E238" s="91">
        <v>1</v>
      </c>
      <c r="F238" s="78">
        <v>0</v>
      </c>
      <c r="G238" s="85">
        <v>8</v>
      </c>
      <c r="H238" s="79">
        <f t="shared" si="24"/>
        <v>8</v>
      </c>
      <c r="I238" s="95" t="s">
        <v>208</v>
      </c>
    </row>
    <row r="239" customHeight="1" spans="1:9">
      <c r="A239" s="91">
        <v>9</v>
      </c>
      <c r="B239" s="91" t="s">
        <v>224</v>
      </c>
      <c r="C239" s="91"/>
      <c r="D239" s="91" t="s">
        <v>206</v>
      </c>
      <c r="E239" s="91">
        <v>1</v>
      </c>
      <c r="F239" s="91">
        <v>0</v>
      </c>
      <c r="G239" s="85">
        <v>1</v>
      </c>
      <c r="H239" s="79">
        <f t="shared" si="24"/>
        <v>1</v>
      </c>
      <c r="I239" s="95" t="s">
        <v>208</v>
      </c>
    </row>
    <row r="240" customHeight="1" spans="1:9">
      <c r="A240" s="91">
        <v>10</v>
      </c>
      <c r="B240" s="91" t="s">
        <v>225</v>
      </c>
      <c r="C240" s="91"/>
      <c r="D240" s="91" t="s">
        <v>206</v>
      </c>
      <c r="E240" s="91">
        <v>1</v>
      </c>
      <c r="F240" s="91">
        <v>0</v>
      </c>
      <c r="G240" s="85">
        <v>1</v>
      </c>
      <c r="H240" s="79">
        <f t="shared" si="24"/>
        <v>1</v>
      </c>
      <c r="I240" s="95" t="s">
        <v>208</v>
      </c>
    </row>
    <row r="241" customHeight="1" spans="1:9">
      <c r="A241" s="91">
        <v>11</v>
      </c>
      <c r="B241" s="93" t="s">
        <v>226</v>
      </c>
      <c r="C241" s="94"/>
      <c r="D241" s="91" t="s">
        <v>206</v>
      </c>
      <c r="E241" s="91">
        <v>1</v>
      </c>
      <c r="F241" s="91">
        <v>0</v>
      </c>
      <c r="G241" s="85">
        <v>1.5</v>
      </c>
      <c r="H241" s="79">
        <f t="shared" si="24"/>
        <v>1.5</v>
      </c>
      <c r="I241" s="95" t="s">
        <v>208</v>
      </c>
    </row>
    <row r="242" customHeight="1" spans="1:9">
      <c r="A242" s="91">
        <v>12</v>
      </c>
      <c r="B242" s="91" t="s">
        <v>227</v>
      </c>
      <c r="C242" s="91"/>
      <c r="D242" s="91" t="s">
        <v>206</v>
      </c>
      <c r="E242" s="91">
        <v>1</v>
      </c>
      <c r="F242" s="91">
        <v>0</v>
      </c>
      <c r="G242" s="85">
        <v>0.5</v>
      </c>
      <c r="H242" s="79">
        <f t="shared" si="24"/>
        <v>0.5</v>
      </c>
      <c r="I242" s="95" t="s">
        <v>208</v>
      </c>
    </row>
    <row r="243" customHeight="1" spans="1:9">
      <c r="A243" s="91">
        <v>13</v>
      </c>
      <c r="B243" s="93" t="s">
        <v>228</v>
      </c>
      <c r="C243" s="94"/>
      <c r="D243" s="91" t="s">
        <v>6</v>
      </c>
      <c r="E243" s="93" t="s">
        <v>229</v>
      </c>
      <c r="F243" s="94"/>
      <c r="G243" s="95"/>
      <c r="H243" s="79">
        <f>H217+H221+H226+H232+H236+H237+H238+H239+H240+H242+H241+H223</f>
        <v>724.2034148</v>
      </c>
      <c r="I243" s="98" t="s">
        <v>230</v>
      </c>
    </row>
    <row r="244" customHeight="1" spans="1:9">
      <c r="A244" s="91">
        <v>14</v>
      </c>
      <c r="B244" s="93" t="s">
        <v>231</v>
      </c>
      <c r="C244" s="94"/>
      <c r="D244" s="91" t="s">
        <v>6</v>
      </c>
      <c r="E244" s="93" t="s">
        <v>244</v>
      </c>
      <c r="F244" s="94"/>
      <c r="G244" s="96">
        <v>0.12</v>
      </c>
      <c r="H244" s="79">
        <f>H243*(G244)</f>
        <v>86.904409776</v>
      </c>
      <c r="I244" s="99"/>
    </row>
    <row r="245" customHeight="1" spans="1:9">
      <c r="A245" s="91">
        <v>15</v>
      </c>
      <c r="B245" s="93" t="s">
        <v>233</v>
      </c>
      <c r="C245" s="94"/>
      <c r="D245" s="91" t="s">
        <v>6</v>
      </c>
      <c r="E245" s="93" t="s">
        <v>234</v>
      </c>
      <c r="F245" s="94"/>
      <c r="G245" s="95"/>
      <c r="H245" s="79">
        <f>H243+H244</f>
        <v>811.107824576</v>
      </c>
      <c r="I245" s="100">
        <f>H245</f>
        <v>811.107824576</v>
      </c>
    </row>
    <row r="247" customHeight="1" spans="1:9">
      <c r="A247" s="76" t="s">
        <v>237</v>
      </c>
      <c r="E247" s="70"/>
      <c r="G247" s="70"/>
      <c r="H247" s="70"/>
      <c r="I247" s="70"/>
    </row>
    <row r="248" customHeight="1" spans="1:9">
      <c r="A248" s="9" t="s">
        <v>181</v>
      </c>
      <c r="B248" s="97"/>
      <c r="C248" s="97"/>
      <c r="D248" s="97"/>
      <c r="E248" s="9" t="s">
        <v>182</v>
      </c>
      <c r="F248" s="9" t="s">
        <v>145</v>
      </c>
      <c r="G248" s="9"/>
      <c r="H248" s="9" t="s">
        <v>183</v>
      </c>
      <c r="I248" s="9"/>
    </row>
    <row r="249" customHeight="1" spans="1:9">
      <c r="A249" s="9" t="s">
        <v>86</v>
      </c>
      <c r="B249" s="9"/>
      <c r="C249" s="9"/>
      <c r="D249" s="9"/>
      <c r="E249" s="9" t="s">
        <v>184</v>
      </c>
      <c r="F249" s="9"/>
      <c r="G249" s="9"/>
      <c r="H249" s="9"/>
      <c r="I249" s="9"/>
    </row>
    <row r="250" customHeight="1" spans="1:9">
      <c r="A250" s="13" t="s">
        <v>185</v>
      </c>
      <c r="B250" s="9"/>
      <c r="C250" s="13" t="s">
        <v>186</v>
      </c>
      <c r="D250" s="9"/>
      <c r="E250" s="9" t="s">
        <v>187</v>
      </c>
      <c r="F250" s="77">
        <v>0</v>
      </c>
      <c r="G250" s="11" t="s">
        <v>188</v>
      </c>
      <c r="H250" s="9"/>
      <c r="I250" s="9"/>
    </row>
    <row r="251" customHeight="1" spans="1:9">
      <c r="A251" s="13"/>
      <c r="B251" s="9"/>
      <c r="C251" s="13"/>
      <c r="D251" s="9"/>
      <c r="E251" s="9"/>
      <c r="F251" s="77">
        <v>0</v>
      </c>
      <c r="G251" s="12" t="s">
        <v>189</v>
      </c>
      <c r="H251" s="9"/>
      <c r="I251" s="9"/>
    </row>
    <row r="252" customHeight="1" spans="1:9">
      <c r="A252" s="9" t="s">
        <v>38</v>
      </c>
      <c r="B252" s="9" t="s">
        <v>190</v>
      </c>
      <c r="C252" s="9"/>
      <c r="D252" s="9" t="s">
        <v>191</v>
      </c>
      <c r="E252" s="9" t="s">
        <v>192</v>
      </c>
      <c r="F252" s="9" t="s">
        <v>193</v>
      </c>
      <c r="G252" s="11" t="s">
        <v>194</v>
      </c>
      <c r="H252" s="11" t="s">
        <v>195</v>
      </c>
      <c r="I252" s="12" t="s">
        <v>196</v>
      </c>
    </row>
    <row r="253" customHeight="1" spans="1:9">
      <c r="A253" s="78">
        <v>1</v>
      </c>
      <c r="B253" s="78" t="s">
        <v>197</v>
      </c>
      <c r="C253" s="78"/>
      <c r="D253" s="78"/>
      <c r="E253" s="78"/>
      <c r="F253" s="78"/>
      <c r="G253" s="78"/>
      <c r="H253" s="79">
        <f>SUM(H254:H255)</f>
        <v>193.86688</v>
      </c>
      <c r="I253" s="95"/>
    </row>
    <row r="254" customHeight="1" spans="1:9">
      <c r="A254" s="9">
        <v>1.1</v>
      </c>
      <c r="B254" s="80" t="s">
        <v>198</v>
      </c>
      <c r="C254" s="81"/>
      <c r="D254" s="9" t="s">
        <v>199</v>
      </c>
      <c r="E254" s="77">
        <v>6.08</v>
      </c>
      <c r="F254" s="82">
        <v>0.07</v>
      </c>
      <c r="G254" s="83">
        <f>主要材料品牌单价!E$5/1000</f>
        <v>29.8</v>
      </c>
      <c r="H254" s="83">
        <f t="shared" ref="H254:H257" si="25">E254*(1+F254)*G254</f>
        <v>193.86688</v>
      </c>
      <c r="I254" s="11"/>
    </row>
    <row r="255" customHeight="1" spans="1:9">
      <c r="A255" s="9">
        <v>1.2</v>
      </c>
      <c r="B255" s="9" t="s">
        <v>200</v>
      </c>
      <c r="C255" s="9"/>
      <c r="D255" s="9" t="s">
        <v>199</v>
      </c>
      <c r="E255" s="77">
        <v>0</v>
      </c>
      <c r="F255" s="82">
        <v>0.07</v>
      </c>
      <c r="G255" s="83">
        <f>(主要材料品牌单价!E$6-1000)/1000</f>
        <v>28.5</v>
      </c>
      <c r="H255" s="83">
        <f t="shared" si="25"/>
        <v>0</v>
      </c>
      <c r="I255" s="11"/>
    </row>
    <row r="256" customHeight="1" spans="1:9">
      <c r="A256" s="78">
        <v>2</v>
      </c>
      <c r="B256" s="78" t="s">
        <v>201</v>
      </c>
      <c r="C256" s="78"/>
      <c r="D256" s="78"/>
      <c r="E256" s="78"/>
      <c r="F256" s="78"/>
      <c r="G256" s="78"/>
      <c r="H256" s="84">
        <f>H257</f>
        <v>27.7245</v>
      </c>
      <c r="I256" s="95"/>
    </row>
    <row r="257" customHeight="1" spans="1:9">
      <c r="A257" s="9">
        <v>2.1</v>
      </c>
      <c r="B257" s="9" t="s">
        <v>202</v>
      </c>
      <c r="C257" s="9"/>
      <c r="D257" s="9" t="s">
        <v>203</v>
      </c>
      <c r="E257" s="83">
        <v>0.45</v>
      </c>
      <c r="F257" s="82">
        <v>0.01</v>
      </c>
      <c r="G257" s="83">
        <f>主要材料品牌单价!E19</f>
        <v>61</v>
      </c>
      <c r="H257" s="83">
        <f t="shared" si="25"/>
        <v>27.7245</v>
      </c>
      <c r="I257" s="11"/>
    </row>
    <row r="258" customHeight="1" spans="1:9">
      <c r="A258" s="78">
        <v>3</v>
      </c>
      <c r="B258" s="78" t="s">
        <v>204</v>
      </c>
      <c r="C258" s="78"/>
      <c r="D258" s="78"/>
      <c r="E258" s="78"/>
      <c r="F258" s="78"/>
      <c r="G258" s="78"/>
      <c r="H258" s="84">
        <f>H259</f>
        <v>58.6755</v>
      </c>
      <c r="I258" s="95"/>
    </row>
    <row r="259" customHeight="1" spans="1:9">
      <c r="A259" s="9">
        <v>3.1</v>
      </c>
      <c r="B259" s="9" t="s">
        <v>205</v>
      </c>
      <c r="C259" s="9"/>
      <c r="D259" s="9" t="s">
        <v>206</v>
      </c>
      <c r="E259" s="83">
        <v>0.9</v>
      </c>
      <c r="F259" s="82">
        <v>0.003</v>
      </c>
      <c r="G259" s="11">
        <f>主要材料品牌单价!E$29</f>
        <v>65</v>
      </c>
      <c r="H259" s="83">
        <f>E259*(1+F259)*G259</f>
        <v>58.6755</v>
      </c>
      <c r="I259" s="11"/>
    </row>
    <row r="260" customHeight="1" spans="1:9">
      <c r="A260" s="78">
        <v>4</v>
      </c>
      <c r="B260" s="78" t="s">
        <v>207</v>
      </c>
      <c r="C260" s="78"/>
      <c r="D260" s="78"/>
      <c r="E260" s="78"/>
      <c r="F260" s="78"/>
      <c r="G260" s="78"/>
      <c r="H260" s="79">
        <f>SUM(H261:H265)</f>
        <v>35.01</v>
      </c>
      <c r="I260" s="95" t="s">
        <v>208</v>
      </c>
    </row>
    <row r="261" customHeight="1" spans="1:9">
      <c r="A261" s="85">
        <v>4.1</v>
      </c>
      <c r="B261" s="9" t="s">
        <v>209</v>
      </c>
      <c r="C261" s="9"/>
      <c r="D261" s="9" t="s">
        <v>210</v>
      </c>
      <c r="E261" s="85">
        <v>0.5</v>
      </c>
      <c r="F261" s="85"/>
      <c r="G261" s="85">
        <f>主要材料品牌单价!E$44</f>
        <v>18.5</v>
      </c>
      <c r="H261" s="83">
        <f t="shared" ref="H260:H265" si="26">E261*(1+F261)*G261</f>
        <v>9.25</v>
      </c>
      <c r="I261" s="11"/>
    </row>
    <row r="262" customHeight="1" spans="1:9">
      <c r="A262" s="85">
        <v>4.2</v>
      </c>
      <c r="B262" s="80" t="s">
        <v>211</v>
      </c>
      <c r="C262" s="81"/>
      <c r="D262" s="9" t="s">
        <v>210</v>
      </c>
      <c r="E262" s="86">
        <v>0.8</v>
      </c>
      <c r="F262" s="85"/>
      <c r="G262" s="85">
        <f>主要材料品牌单价!E$43</f>
        <v>15.5</v>
      </c>
      <c r="H262" s="83">
        <f t="shared" si="26"/>
        <v>12.4</v>
      </c>
      <c r="I262" s="11"/>
    </row>
    <row r="263" customHeight="1" spans="1:9">
      <c r="A263" s="85">
        <v>4.3</v>
      </c>
      <c r="B263" s="80" t="s">
        <v>212</v>
      </c>
      <c r="C263" s="81"/>
      <c r="D263" s="9" t="s">
        <v>210</v>
      </c>
      <c r="E263" s="86">
        <v>0.2</v>
      </c>
      <c r="F263" s="85"/>
      <c r="G263" s="85">
        <f>主要材料品牌单价!E$45</f>
        <v>16.8</v>
      </c>
      <c r="H263" s="83">
        <f t="shared" si="26"/>
        <v>3.36</v>
      </c>
      <c r="I263" s="11"/>
    </row>
    <row r="264" customHeight="1" spans="1:9">
      <c r="A264" s="85">
        <v>4.4</v>
      </c>
      <c r="B264" s="87" t="s">
        <v>213</v>
      </c>
      <c r="C264" s="88"/>
      <c r="D264" s="9" t="s">
        <v>210</v>
      </c>
      <c r="E264" s="77">
        <v>0</v>
      </c>
      <c r="F264" s="9"/>
      <c r="G264" s="85">
        <f>主要材料品牌单价!E$46</f>
        <v>25</v>
      </c>
      <c r="H264" s="83">
        <f t="shared" si="26"/>
        <v>0</v>
      </c>
      <c r="I264" s="11"/>
    </row>
    <row r="265" customHeight="1" spans="1:9">
      <c r="A265" s="85">
        <v>4.5</v>
      </c>
      <c r="B265" s="27" t="s">
        <v>214</v>
      </c>
      <c r="C265" s="27"/>
      <c r="D265" s="9" t="s">
        <v>215</v>
      </c>
      <c r="E265" s="77">
        <v>1</v>
      </c>
      <c r="F265" s="9"/>
      <c r="G265" s="85">
        <v>10</v>
      </c>
      <c r="H265" s="83">
        <f t="shared" si="26"/>
        <v>10</v>
      </c>
      <c r="I265" s="11"/>
    </row>
    <row r="266" customHeight="1" spans="1:9">
      <c r="A266" s="78">
        <v>5</v>
      </c>
      <c r="B266" s="78" t="s">
        <v>216</v>
      </c>
      <c r="C266" s="78"/>
      <c r="D266" s="78"/>
      <c r="E266" s="78"/>
      <c r="F266" s="78"/>
      <c r="G266" s="78"/>
      <c r="H266" s="79">
        <f>SUM(H267:H269)</f>
        <v>11.8</v>
      </c>
      <c r="I266" s="95" t="s">
        <v>208</v>
      </c>
    </row>
    <row r="267" customHeight="1" spans="1:9">
      <c r="A267" s="85">
        <v>5.1</v>
      </c>
      <c r="B267" s="9" t="s">
        <v>217</v>
      </c>
      <c r="C267" s="9"/>
      <c r="D267" s="9" t="s">
        <v>218</v>
      </c>
      <c r="E267" s="86">
        <v>0</v>
      </c>
      <c r="F267" s="85"/>
      <c r="G267" s="85">
        <f>主要材料品牌单价!E48</f>
        <v>18</v>
      </c>
      <c r="H267" s="83">
        <f t="shared" ref="H267:H276" si="27">E267*(1+F267)*G267</f>
        <v>0</v>
      </c>
      <c r="I267" s="11"/>
    </row>
    <row r="268" customHeight="1" spans="1:9">
      <c r="A268" s="85">
        <v>5.2</v>
      </c>
      <c r="B268" s="80" t="s">
        <v>219</v>
      </c>
      <c r="C268" s="81"/>
      <c r="D268" s="9" t="s">
        <v>215</v>
      </c>
      <c r="E268" s="86">
        <v>8</v>
      </c>
      <c r="F268" s="85"/>
      <c r="G268" s="85">
        <f>主要材料品牌单价!E49</f>
        <v>0.85</v>
      </c>
      <c r="H268" s="83">
        <f t="shared" si="27"/>
        <v>6.8</v>
      </c>
      <c r="I268" s="11"/>
    </row>
    <row r="269" customHeight="1" spans="1:9">
      <c r="A269" s="85">
        <v>5.3</v>
      </c>
      <c r="B269" s="89" t="s">
        <v>220</v>
      </c>
      <c r="C269" s="90"/>
      <c r="D269" s="91" t="s">
        <v>206</v>
      </c>
      <c r="E269" s="77">
        <v>5</v>
      </c>
      <c r="F269" s="9"/>
      <c r="G269" s="85"/>
      <c r="H269" s="83">
        <v>5</v>
      </c>
      <c r="I269" s="11"/>
    </row>
    <row r="270" customHeight="1" spans="1:9">
      <c r="A270" s="92">
        <v>6</v>
      </c>
      <c r="B270" s="91" t="s">
        <v>221</v>
      </c>
      <c r="C270" s="91"/>
      <c r="D270" s="91" t="s">
        <v>206</v>
      </c>
      <c r="E270" s="91">
        <v>1</v>
      </c>
      <c r="F270" s="78">
        <v>0</v>
      </c>
      <c r="G270" s="85">
        <v>65</v>
      </c>
      <c r="H270" s="79">
        <f t="shared" si="27"/>
        <v>65</v>
      </c>
      <c r="I270" s="95" t="s">
        <v>208</v>
      </c>
    </row>
    <row r="271" customHeight="1" spans="1:9">
      <c r="A271" s="78">
        <v>7</v>
      </c>
      <c r="B271" s="93" t="s">
        <v>222</v>
      </c>
      <c r="C271" s="94"/>
      <c r="D271" s="91" t="s">
        <v>206</v>
      </c>
      <c r="E271" s="91">
        <v>1</v>
      </c>
      <c r="F271" s="78">
        <v>0</v>
      </c>
      <c r="G271" s="85">
        <v>75</v>
      </c>
      <c r="H271" s="79">
        <f t="shared" si="27"/>
        <v>75</v>
      </c>
      <c r="I271" s="95" t="s">
        <v>208</v>
      </c>
    </row>
    <row r="272" customHeight="1" spans="1:9">
      <c r="A272" s="78">
        <v>8</v>
      </c>
      <c r="B272" s="91" t="s">
        <v>223</v>
      </c>
      <c r="C272" s="91"/>
      <c r="D272" s="91" t="s">
        <v>206</v>
      </c>
      <c r="E272" s="91">
        <v>1</v>
      </c>
      <c r="F272" s="78">
        <v>0</v>
      </c>
      <c r="G272" s="85">
        <v>8</v>
      </c>
      <c r="H272" s="79">
        <f t="shared" si="27"/>
        <v>8</v>
      </c>
      <c r="I272" s="95" t="s">
        <v>208</v>
      </c>
    </row>
    <row r="273" customHeight="1" spans="1:9">
      <c r="A273" s="91">
        <v>9</v>
      </c>
      <c r="B273" s="91" t="s">
        <v>224</v>
      </c>
      <c r="C273" s="91"/>
      <c r="D273" s="91" t="s">
        <v>206</v>
      </c>
      <c r="E273" s="91">
        <v>1</v>
      </c>
      <c r="F273" s="91">
        <v>0</v>
      </c>
      <c r="G273" s="85">
        <v>1</v>
      </c>
      <c r="H273" s="79">
        <f t="shared" si="27"/>
        <v>1</v>
      </c>
      <c r="I273" s="95" t="s">
        <v>208</v>
      </c>
    </row>
    <row r="274" customHeight="1" spans="1:9">
      <c r="A274" s="91">
        <v>10</v>
      </c>
      <c r="B274" s="91" t="s">
        <v>225</v>
      </c>
      <c r="C274" s="91"/>
      <c r="D274" s="91" t="s">
        <v>206</v>
      </c>
      <c r="E274" s="91">
        <v>1</v>
      </c>
      <c r="F274" s="91">
        <v>0</v>
      </c>
      <c r="G274" s="85">
        <v>1</v>
      </c>
      <c r="H274" s="79">
        <f t="shared" si="27"/>
        <v>1</v>
      </c>
      <c r="I274" s="95" t="s">
        <v>208</v>
      </c>
    </row>
    <row r="275" customHeight="1" spans="1:9">
      <c r="A275" s="91">
        <v>11</v>
      </c>
      <c r="B275" s="93" t="s">
        <v>226</v>
      </c>
      <c r="C275" s="94"/>
      <c r="D275" s="91" t="s">
        <v>206</v>
      </c>
      <c r="E275" s="91">
        <v>1</v>
      </c>
      <c r="F275" s="91">
        <v>0</v>
      </c>
      <c r="G275" s="85">
        <v>1.5</v>
      </c>
      <c r="H275" s="79">
        <f t="shared" si="27"/>
        <v>1.5</v>
      </c>
      <c r="I275" s="95" t="s">
        <v>208</v>
      </c>
    </row>
    <row r="276" customHeight="1" spans="1:9">
      <c r="A276" s="91">
        <v>12</v>
      </c>
      <c r="B276" s="91" t="s">
        <v>227</v>
      </c>
      <c r="C276" s="91"/>
      <c r="D276" s="91" t="s">
        <v>206</v>
      </c>
      <c r="E276" s="91">
        <v>1</v>
      </c>
      <c r="F276" s="91">
        <v>0</v>
      </c>
      <c r="G276" s="85">
        <v>0.5</v>
      </c>
      <c r="H276" s="79">
        <f t="shared" si="27"/>
        <v>0.5</v>
      </c>
      <c r="I276" s="95" t="s">
        <v>208</v>
      </c>
    </row>
    <row r="277" customHeight="1" spans="1:9">
      <c r="A277" s="91">
        <v>13</v>
      </c>
      <c r="B277" s="93" t="s">
        <v>228</v>
      </c>
      <c r="C277" s="94"/>
      <c r="D277" s="91" t="s">
        <v>6</v>
      </c>
      <c r="E277" s="93" t="s">
        <v>229</v>
      </c>
      <c r="F277" s="94"/>
      <c r="G277" s="95"/>
      <c r="H277" s="79">
        <f>H253+H256+H260+H266+H270+H271+H272+H273+H274+H276+H275+H258</f>
        <v>479.07688</v>
      </c>
      <c r="I277" s="98" t="s">
        <v>230</v>
      </c>
    </row>
    <row r="278" customHeight="1" spans="1:9">
      <c r="A278" s="91">
        <v>14</v>
      </c>
      <c r="B278" s="93" t="s">
        <v>231</v>
      </c>
      <c r="C278" s="94"/>
      <c r="D278" s="91" t="s">
        <v>6</v>
      </c>
      <c r="E278" s="93" t="s">
        <v>235</v>
      </c>
      <c r="F278" s="94"/>
      <c r="G278" s="96">
        <v>0.12</v>
      </c>
      <c r="H278" s="79">
        <f>H277*(G278)</f>
        <v>57.4892256</v>
      </c>
      <c r="I278" s="99"/>
    </row>
    <row r="279" customHeight="1" spans="1:9">
      <c r="A279" s="91">
        <v>15</v>
      </c>
      <c r="B279" s="93" t="s">
        <v>233</v>
      </c>
      <c r="C279" s="94"/>
      <c r="D279" s="91" t="s">
        <v>6</v>
      </c>
      <c r="E279" s="93" t="s">
        <v>234</v>
      </c>
      <c r="F279" s="94"/>
      <c r="G279" s="95"/>
      <c r="H279" s="79">
        <f>H277+H278</f>
        <v>536.5661056</v>
      </c>
      <c r="I279" s="100">
        <f>H279</f>
        <v>536.5661056</v>
      </c>
    </row>
    <row r="281" customHeight="1" spans="1:9">
      <c r="A281" s="76" t="s">
        <v>237</v>
      </c>
      <c r="E281" s="70"/>
      <c r="G281" s="70"/>
      <c r="H281" s="70"/>
      <c r="I281" s="70"/>
    </row>
    <row r="282" customHeight="1" spans="1:9">
      <c r="A282" s="9" t="s">
        <v>181</v>
      </c>
      <c r="B282" s="97"/>
      <c r="C282" s="97"/>
      <c r="D282" s="97"/>
      <c r="E282" s="9" t="s">
        <v>182</v>
      </c>
      <c r="F282" s="9" t="s">
        <v>147</v>
      </c>
      <c r="G282" s="9"/>
      <c r="H282" s="9" t="s">
        <v>183</v>
      </c>
      <c r="I282" s="9"/>
    </row>
    <row r="283" customHeight="1" spans="1:9">
      <c r="A283" s="9" t="s">
        <v>86</v>
      </c>
      <c r="B283" s="9"/>
      <c r="C283" s="9"/>
      <c r="D283" s="9"/>
      <c r="E283" s="9" t="s">
        <v>184</v>
      </c>
      <c r="F283" s="9"/>
      <c r="G283" s="9"/>
      <c r="H283" s="9"/>
      <c r="I283" s="9"/>
    </row>
    <row r="284" customHeight="1" spans="1:9">
      <c r="A284" s="13" t="s">
        <v>185</v>
      </c>
      <c r="B284" s="9"/>
      <c r="C284" s="13" t="s">
        <v>186</v>
      </c>
      <c r="D284" s="9"/>
      <c r="E284" s="9" t="s">
        <v>187</v>
      </c>
      <c r="F284" s="77">
        <v>0</v>
      </c>
      <c r="G284" s="11" t="s">
        <v>188</v>
      </c>
      <c r="H284" s="9"/>
      <c r="I284" s="9"/>
    </row>
    <row r="285" customHeight="1" spans="1:9">
      <c r="A285" s="13"/>
      <c r="B285" s="9"/>
      <c r="C285" s="13"/>
      <c r="D285" s="9"/>
      <c r="E285" s="9"/>
      <c r="F285" s="77">
        <v>0</v>
      </c>
      <c r="G285" s="12" t="s">
        <v>189</v>
      </c>
      <c r="H285" s="9"/>
      <c r="I285" s="9"/>
    </row>
    <row r="286" customHeight="1" spans="1:9">
      <c r="A286" s="9" t="s">
        <v>38</v>
      </c>
      <c r="B286" s="9" t="s">
        <v>190</v>
      </c>
      <c r="C286" s="9"/>
      <c r="D286" s="9" t="s">
        <v>191</v>
      </c>
      <c r="E286" s="9" t="s">
        <v>192</v>
      </c>
      <c r="F286" s="9" t="s">
        <v>193</v>
      </c>
      <c r="G286" s="11" t="s">
        <v>194</v>
      </c>
      <c r="H286" s="11" t="s">
        <v>195</v>
      </c>
      <c r="I286" s="12" t="s">
        <v>196</v>
      </c>
    </row>
    <row r="287" customHeight="1" spans="1:9">
      <c r="A287" s="78">
        <v>1</v>
      </c>
      <c r="B287" s="78" t="s">
        <v>197</v>
      </c>
      <c r="C287" s="78"/>
      <c r="D287" s="78"/>
      <c r="E287" s="78"/>
      <c r="F287" s="78"/>
      <c r="G287" s="78"/>
      <c r="H287" s="79">
        <f>SUM(H288:H290)</f>
        <v>243.3794608</v>
      </c>
      <c r="I287" s="95"/>
    </row>
    <row r="288" customHeight="1" spans="1:9">
      <c r="A288" s="9">
        <v>1.1</v>
      </c>
      <c r="B288" s="80" t="s">
        <v>198</v>
      </c>
      <c r="C288" s="81"/>
      <c r="D288" s="9" t="s">
        <v>199</v>
      </c>
      <c r="E288" s="77">
        <v>6.58</v>
      </c>
      <c r="F288" s="82">
        <v>0.07</v>
      </c>
      <c r="G288" s="83">
        <f>主要材料品牌单价!E$5/1000</f>
        <v>29.8</v>
      </c>
      <c r="H288" s="83">
        <f t="shared" ref="H288:H292" si="28">E288*(1+F288)*G288</f>
        <v>209.80988</v>
      </c>
      <c r="I288" s="11"/>
    </row>
    <row r="289" customHeight="1" spans="1:9">
      <c r="A289" s="9">
        <v>1.2</v>
      </c>
      <c r="B289" s="80" t="s">
        <v>198</v>
      </c>
      <c r="C289" s="81"/>
      <c r="D289" s="9" t="s">
        <v>199</v>
      </c>
      <c r="E289" s="77">
        <f>E288*0.16</f>
        <v>1.0528</v>
      </c>
      <c r="F289" s="82">
        <v>0.07</v>
      </c>
      <c r="G289" s="83">
        <f>主要材料品牌单价!E$5/1000</f>
        <v>29.8</v>
      </c>
      <c r="H289" s="83">
        <f t="shared" si="28"/>
        <v>33.5695808</v>
      </c>
      <c r="I289" s="11"/>
    </row>
    <row r="290" customHeight="1" spans="1:9">
      <c r="A290" s="9">
        <v>1.3</v>
      </c>
      <c r="B290" s="9" t="s">
        <v>200</v>
      </c>
      <c r="C290" s="9"/>
      <c r="D290" s="9" t="s">
        <v>199</v>
      </c>
      <c r="E290" s="77"/>
      <c r="F290" s="82"/>
      <c r="G290" s="83"/>
      <c r="H290" s="83">
        <f t="shared" si="28"/>
        <v>0</v>
      </c>
      <c r="I290" s="11"/>
    </row>
    <row r="291" customHeight="1" spans="1:9">
      <c r="A291" s="78">
        <v>2</v>
      </c>
      <c r="B291" s="78" t="s">
        <v>201</v>
      </c>
      <c r="C291" s="78"/>
      <c r="D291" s="78"/>
      <c r="E291" s="78"/>
      <c r="F291" s="78"/>
      <c r="G291" s="78"/>
      <c r="H291" s="84">
        <f>H292</f>
        <v>27.7245</v>
      </c>
      <c r="I291" s="95"/>
    </row>
    <row r="292" customHeight="1" spans="1:9">
      <c r="A292" s="9">
        <v>2.1</v>
      </c>
      <c r="B292" s="9" t="s">
        <v>202</v>
      </c>
      <c r="C292" s="9"/>
      <c r="D292" s="9" t="s">
        <v>203</v>
      </c>
      <c r="E292" s="83">
        <v>0.45</v>
      </c>
      <c r="F292" s="82">
        <v>0.01</v>
      </c>
      <c r="G292" s="83">
        <f>主要材料品牌单价!E20</f>
        <v>61</v>
      </c>
      <c r="H292" s="83">
        <f t="shared" si="28"/>
        <v>27.7245</v>
      </c>
      <c r="I292" s="11"/>
    </row>
    <row r="293" customHeight="1" spans="1:9">
      <c r="A293" s="78">
        <v>3</v>
      </c>
      <c r="B293" s="78" t="s">
        <v>204</v>
      </c>
      <c r="C293" s="78"/>
      <c r="D293" s="78"/>
      <c r="E293" s="78"/>
      <c r="F293" s="78"/>
      <c r="G293" s="78"/>
      <c r="H293" s="84">
        <f>H294</f>
        <v>103.8105</v>
      </c>
      <c r="I293" s="95"/>
    </row>
    <row r="294" customHeight="1" spans="1:9">
      <c r="A294" s="9">
        <v>3.1</v>
      </c>
      <c r="B294" s="13" t="s">
        <v>247</v>
      </c>
      <c r="C294" s="13"/>
      <c r="D294" s="9" t="s">
        <v>206</v>
      </c>
      <c r="E294" s="83">
        <v>0.9</v>
      </c>
      <c r="F294" s="82">
        <v>0.003</v>
      </c>
      <c r="G294" s="11">
        <f>主要材料品牌单价!E34</f>
        <v>115</v>
      </c>
      <c r="H294" s="83">
        <f>E294*(1+F294)*G294</f>
        <v>103.8105</v>
      </c>
      <c r="I294" s="11"/>
    </row>
    <row r="295" customHeight="1" spans="1:9">
      <c r="A295" s="78">
        <v>4</v>
      </c>
      <c r="B295" s="78" t="s">
        <v>207</v>
      </c>
      <c r="C295" s="78"/>
      <c r="D295" s="78"/>
      <c r="E295" s="78"/>
      <c r="F295" s="78"/>
      <c r="G295" s="78"/>
      <c r="H295" s="79">
        <f>SUM(H296:H300)</f>
        <v>35.01</v>
      </c>
      <c r="I295" s="95" t="s">
        <v>208</v>
      </c>
    </row>
    <row r="296" customHeight="1" spans="1:9">
      <c r="A296" s="85">
        <v>4.1</v>
      </c>
      <c r="B296" s="9" t="s">
        <v>209</v>
      </c>
      <c r="C296" s="9"/>
      <c r="D296" s="9" t="s">
        <v>210</v>
      </c>
      <c r="E296" s="85">
        <v>0.5</v>
      </c>
      <c r="F296" s="85"/>
      <c r="G296" s="85">
        <f>主要材料品牌单价!E$44</f>
        <v>18.5</v>
      </c>
      <c r="H296" s="83">
        <f t="shared" ref="H296:H300" si="29">E296*(1+F296)*G296</f>
        <v>9.25</v>
      </c>
      <c r="I296" s="11"/>
    </row>
    <row r="297" customHeight="1" spans="1:9">
      <c r="A297" s="85">
        <v>4.2</v>
      </c>
      <c r="B297" s="80" t="s">
        <v>211</v>
      </c>
      <c r="C297" s="81"/>
      <c r="D297" s="9" t="s">
        <v>210</v>
      </c>
      <c r="E297" s="86">
        <v>0.8</v>
      </c>
      <c r="F297" s="85"/>
      <c r="G297" s="85">
        <f>主要材料品牌单价!E$43</f>
        <v>15.5</v>
      </c>
      <c r="H297" s="83">
        <f t="shared" si="29"/>
        <v>12.4</v>
      </c>
      <c r="I297" s="11"/>
    </row>
    <row r="298" customHeight="1" spans="1:9">
      <c r="A298" s="85">
        <v>4.3</v>
      </c>
      <c r="B298" s="80" t="s">
        <v>212</v>
      </c>
      <c r="C298" s="81"/>
      <c r="D298" s="9" t="s">
        <v>210</v>
      </c>
      <c r="E298" s="86">
        <v>0.2</v>
      </c>
      <c r="F298" s="85"/>
      <c r="G298" s="85">
        <f>主要材料品牌单价!E$45</f>
        <v>16.8</v>
      </c>
      <c r="H298" s="83">
        <f t="shared" si="29"/>
        <v>3.36</v>
      </c>
      <c r="I298" s="11"/>
    </row>
    <row r="299" customHeight="1" spans="1:9">
      <c r="A299" s="85">
        <v>4.4</v>
      </c>
      <c r="B299" s="87" t="s">
        <v>213</v>
      </c>
      <c r="C299" s="88"/>
      <c r="D299" s="9" t="s">
        <v>210</v>
      </c>
      <c r="E299" s="77">
        <v>0</v>
      </c>
      <c r="F299" s="9"/>
      <c r="G299" s="85">
        <f>主要材料品牌单价!E$46</f>
        <v>25</v>
      </c>
      <c r="H299" s="83">
        <f t="shared" si="29"/>
        <v>0</v>
      </c>
      <c r="I299" s="11"/>
    </row>
    <row r="300" customHeight="1" spans="1:9">
      <c r="A300" s="85">
        <v>4.5</v>
      </c>
      <c r="B300" s="27" t="s">
        <v>214</v>
      </c>
      <c r="C300" s="27"/>
      <c r="D300" s="9" t="s">
        <v>215</v>
      </c>
      <c r="E300" s="77">
        <v>1</v>
      </c>
      <c r="F300" s="9"/>
      <c r="G300" s="85">
        <v>10</v>
      </c>
      <c r="H300" s="83">
        <f t="shared" si="29"/>
        <v>10</v>
      </c>
      <c r="I300" s="11"/>
    </row>
    <row r="301" customHeight="1" spans="1:9">
      <c r="A301" s="78">
        <v>5</v>
      </c>
      <c r="B301" s="78" t="s">
        <v>216</v>
      </c>
      <c r="C301" s="78"/>
      <c r="D301" s="78"/>
      <c r="E301" s="78"/>
      <c r="F301" s="78"/>
      <c r="G301" s="78"/>
      <c r="H301" s="79">
        <f>SUM(H302:H304)</f>
        <v>11.8</v>
      </c>
      <c r="I301" s="95" t="s">
        <v>208</v>
      </c>
    </row>
    <row r="302" customHeight="1" spans="1:9">
      <c r="A302" s="85">
        <v>5.1</v>
      </c>
      <c r="B302" s="9" t="s">
        <v>217</v>
      </c>
      <c r="C302" s="9"/>
      <c r="D302" s="9" t="s">
        <v>218</v>
      </c>
      <c r="E302" s="86">
        <v>0</v>
      </c>
      <c r="F302" s="85"/>
      <c r="G302" s="85">
        <v>0</v>
      </c>
      <c r="H302" s="83">
        <f t="shared" ref="H302:H311" si="30">E302*(1+F302)*G302</f>
        <v>0</v>
      </c>
      <c r="I302" s="11"/>
    </row>
    <row r="303" customHeight="1" spans="1:9">
      <c r="A303" s="85">
        <v>5.2</v>
      </c>
      <c r="B303" s="80" t="s">
        <v>219</v>
      </c>
      <c r="C303" s="81"/>
      <c r="D303" s="9" t="s">
        <v>215</v>
      </c>
      <c r="E303" s="86">
        <v>8</v>
      </c>
      <c r="F303" s="85"/>
      <c r="G303" s="85">
        <f>主要材料品牌单价!E49</f>
        <v>0.85</v>
      </c>
      <c r="H303" s="83">
        <f t="shared" si="30"/>
        <v>6.8</v>
      </c>
      <c r="I303" s="11"/>
    </row>
    <row r="304" customHeight="1" spans="1:9">
      <c r="A304" s="85">
        <v>5.3</v>
      </c>
      <c r="B304" s="89" t="s">
        <v>220</v>
      </c>
      <c r="C304" s="90"/>
      <c r="D304" s="91" t="s">
        <v>206</v>
      </c>
      <c r="E304" s="77">
        <v>5</v>
      </c>
      <c r="F304" s="9"/>
      <c r="G304" s="85"/>
      <c r="H304" s="83">
        <v>5</v>
      </c>
      <c r="I304" s="11"/>
    </row>
    <row r="305" customHeight="1" spans="1:9">
      <c r="A305" s="92">
        <v>6</v>
      </c>
      <c r="B305" s="91" t="s">
        <v>221</v>
      </c>
      <c r="C305" s="91"/>
      <c r="D305" s="91" t="s">
        <v>206</v>
      </c>
      <c r="E305" s="91">
        <v>1</v>
      </c>
      <c r="F305" s="78">
        <v>0</v>
      </c>
      <c r="G305" s="85">
        <v>65</v>
      </c>
      <c r="H305" s="79">
        <f t="shared" si="30"/>
        <v>65</v>
      </c>
      <c r="I305" s="95" t="s">
        <v>208</v>
      </c>
    </row>
    <row r="306" customHeight="1" spans="1:9">
      <c r="A306" s="78">
        <v>7</v>
      </c>
      <c r="B306" s="93" t="s">
        <v>222</v>
      </c>
      <c r="C306" s="94"/>
      <c r="D306" s="91" t="s">
        <v>206</v>
      </c>
      <c r="E306" s="91">
        <v>1</v>
      </c>
      <c r="F306" s="78">
        <v>0</v>
      </c>
      <c r="G306" s="85">
        <v>75</v>
      </c>
      <c r="H306" s="79">
        <f t="shared" si="30"/>
        <v>75</v>
      </c>
      <c r="I306" s="95" t="s">
        <v>208</v>
      </c>
    </row>
    <row r="307" customHeight="1" spans="1:9">
      <c r="A307" s="78">
        <v>8</v>
      </c>
      <c r="B307" s="91" t="s">
        <v>223</v>
      </c>
      <c r="C307" s="91"/>
      <c r="D307" s="91" t="s">
        <v>206</v>
      </c>
      <c r="E307" s="91">
        <v>1</v>
      </c>
      <c r="F307" s="78">
        <v>0</v>
      </c>
      <c r="G307" s="85">
        <v>8</v>
      </c>
      <c r="H307" s="79">
        <f t="shared" si="30"/>
        <v>8</v>
      </c>
      <c r="I307" s="95" t="s">
        <v>208</v>
      </c>
    </row>
    <row r="308" customHeight="1" spans="1:9">
      <c r="A308" s="91">
        <v>9</v>
      </c>
      <c r="B308" s="91" t="s">
        <v>224</v>
      </c>
      <c r="C308" s="91"/>
      <c r="D308" s="91" t="s">
        <v>206</v>
      </c>
      <c r="E308" s="91">
        <v>1</v>
      </c>
      <c r="F308" s="91">
        <v>0</v>
      </c>
      <c r="G308" s="85">
        <v>1</v>
      </c>
      <c r="H308" s="79">
        <f t="shared" si="30"/>
        <v>1</v>
      </c>
      <c r="I308" s="95" t="s">
        <v>208</v>
      </c>
    </row>
    <row r="309" customHeight="1" spans="1:9">
      <c r="A309" s="91">
        <v>10</v>
      </c>
      <c r="B309" s="91" t="s">
        <v>225</v>
      </c>
      <c r="C309" s="91"/>
      <c r="D309" s="91" t="s">
        <v>206</v>
      </c>
      <c r="E309" s="91">
        <v>1</v>
      </c>
      <c r="F309" s="91">
        <v>0</v>
      </c>
      <c r="G309" s="85">
        <v>1</v>
      </c>
      <c r="H309" s="79">
        <f t="shared" si="30"/>
        <v>1</v>
      </c>
      <c r="I309" s="95" t="s">
        <v>208</v>
      </c>
    </row>
    <row r="310" customHeight="1" spans="1:9">
      <c r="A310" s="91">
        <v>11</v>
      </c>
      <c r="B310" s="93" t="s">
        <v>226</v>
      </c>
      <c r="C310" s="94"/>
      <c r="D310" s="91" t="s">
        <v>206</v>
      </c>
      <c r="E310" s="91">
        <v>1</v>
      </c>
      <c r="F310" s="91">
        <v>0</v>
      </c>
      <c r="G310" s="85">
        <v>1.5</v>
      </c>
      <c r="H310" s="79">
        <f t="shared" si="30"/>
        <v>1.5</v>
      </c>
      <c r="I310" s="95" t="s">
        <v>208</v>
      </c>
    </row>
    <row r="311" customHeight="1" spans="1:9">
      <c r="A311" s="91">
        <v>12</v>
      </c>
      <c r="B311" s="91" t="s">
        <v>227</v>
      </c>
      <c r="C311" s="91"/>
      <c r="D311" s="91" t="s">
        <v>206</v>
      </c>
      <c r="E311" s="91">
        <v>1</v>
      </c>
      <c r="F311" s="91">
        <v>0</v>
      </c>
      <c r="G311" s="85">
        <v>0.5</v>
      </c>
      <c r="H311" s="79">
        <f t="shared" si="30"/>
        <v>0.5</v>
      </c>
      <c r="I311" s="95" t="s">
        <v>208</v>
      </c>
    </row>
    <row r="312" customHeight="1" spans="1:9">
      <c r="A312" s="91">
        <v>13</v>
      </c>
      <c r="B312" s="93" t="s">
        <v>228</v>
      </c>
      <c r="C312" s="94"/>
      <c r="D312" s="91" t="s">
        <v>6</v>
      </c>
      <c r="E312" s="93" t="s">
        <v>229</v>
      </c>
      <c r="F312" s="94"/>
      <c r="G312" s="95"/>
      <c r="H312" s="79">
        <f>H287+H291+H295+H301+H305+H306+H307+H308+H309+H311+H310+H293</f>
        <v>573.7244608</v>
      </c>
      <c r="I312" s="98" t="s">
        <v>230</v>
      </c>
    </row>
    <row r="313" customHeight="1" spans="1:9">
      <c r="A313" s="91">
        <v>14</v>
      </c>
      <c r="B313" s="93" t="s">
        <v>231</v>
      </c>
      <c r="C313" s="94"/>
      <c r="D313" s="91" t="s">
        <v>6</v>
      </c>
      <c r="E313" s="93" t="s">
        <v>235</v>
      </c>
      <c r="F313" s="94"/>
      <c r="G313" s="96">
        <v>0.12</v>
      </c>
      <c r="H313" s="79">
        <f>H312*(G313)</f>
        <v>68.846935296</v>
      </c>
      <c r="I313" s="99"/>
    </row>
    <row r="314" customHeight="1" spans="1:9">
      <c r="A314" s="91">
        <v>15</v>
      </c>
      <c r="B314" s="93" t="s">
        <v>233</v>
      </c>
      <c r="C314" s="94"/>
      <c r="D314" s="91" t="s">
        <v>6</v>
      </c>
      <c r="E314" s="93" t="s">
        <v>234</v>
      </c>
      <c r="F314" s="94"/>
      <c r="G314" s="95"/>
      <c r="H314" s="79">
        <f>H312+H313</f>
        <v>642.571396096</v>
      </c>
      <c r="I314" s="100">
        <f>H314</f>
        <v>642.571396096</v>
      </c>
    </row>
    <row r="316" customHeight="1" spans="1:9">
      <c r="A316" s="76" t="s">
        <v>237</v>
      </c>
      <c r="E316" s="70"/>
      <c r="G316" s="70"/>
      <c r="H316" s="70"/>
      <c r="I316" s="70"/>
    </row>
    <row r="317" customHeight="1" spans="1:9">
      <c r="A317" s="9" t="s">
        <v>181</v>
      </c>
      <c r="B317" s="97"/>
      <c r="C317" s="97"/>
      <c r="D317" s="97"/>
      <c r="E317" s="9" t="s">
        <v>182</v>
      </c>
      <c r="F317" s="9" t="s">
        <v>152</v>
      </c>
      <c r="G317" s="9"/>
      <c r="H317" s="9" t="s">
        <v>183</v>
      </c>
      <c r="I317" s="9"/>
    </row>
    <row r="318" customHeight="1" spans="1:9">
      <c r="A318" s="9" t="s">
        <v>86</v>
      </c>
      <c r="B318" s="9"/>
      <c r="C318" s="9"/>
      <c r="D318" s="9"/>
      <c r="E318" s="9" t="s">
        <v>184</v>
      </c>
      <c r="F318" s="9"/>
      <c r="G318" s="9"/>
      <c r="H318" s="9"/>
      <c r="I318" s="9"/>
    </row>
    <row r="319" customHeight="1" spans="1:9">
      <c r="A319" s="13" t="s">
        <v>185</v>
      </c>
      <c r="B319" s="9">
        <v>0</v>
      </c>
      <c r="C319" s="13" t="s">
        <v>186</v>
      </c>
      <c r="D319" s="9">
        <v>0</v>
      </c>
      <c r="E319" s="9" t="s">
        <v>187</v>
      </c>
      <c r="F319" s="77">
        <v>0</v>
      </c>
      <c r="G319" s="11" t="s">
        <v>188</v>
      </c>
      <c r="H319" s="9"/>
      <c r="I319" s="9"/>
    </row>
    <row r="320" customHeight="1" spans="1:9">
      <c r="A320" s="13"/>
      <c r="B320" s="9"/>
      <c r="C320" s="13"/>
      <c r="D320" s="9"/>
      <c r="E320" s="9"/>
      <c r="F320" s="77">
        <v>0</v>
      </c>
      <c r="G320" s="12" t="s">
        <v>189</v>
      </c>
      <c r="H320" s="9"/>
      <c r="I320" s="9"/>
    </row>
    <row r="321" customHeight="1" spans="1:9">
      <c r="A321" s="9" t="s">
        <v>38</v>
      </c>
      <c r="B321" s="9" t="s">
        <v>190</v>
      </c>
      <c r="C321" s="9"/>
      <c r="D321" s="9" t="s">
        <v>191</v>
      </c>
      <c r="E321" s="9" t="s">
        <v>192</v>
      </c>
      <c r="F321" s="9" t="s">
        <v>193</v>
      </c>
      <c r="G321" s="11" t="s">
        <v>194</v>
      </c>
      <c r="H321" s="11" t="s">
        <v>195</v>
      </c>
      <c r="I321" s="12" t="s">
        <v>196</v>
      </c>
    </row>
    <row r="322" customHeight="1" spans="1:9">
      <c r="A322" s="78">
        <v>1</v>
      </c>
      <c r="B322" s="78" t="s">
        <v>197</v>
      </c>
      <c r="C322" s="78"/>
      <c r="D322" s="78"/>
      <c r="E322" s="78"/>
      <c r="F322" s="78"/>
      <c r="G322" s="78"/>
      <c r="H322" s="79">
        <f>SUM(H323:H325)</f>
        <v>338.1008256</v>
      </c>
      <c r="I322" s="95"/>
    </row>
    <row r="323" customHeight="1" spans="1:9">
      <c r="A323" s="9">
        <v>1.1</v>
      </c>
      <c r="B323" s="80" t="s">
        <v>239</v>
      </c>
      <c r="C323" s="81"/>
      <c r="D323" s="9" t="s">
        <v>199</v>
      </c>
      <c r="E323" s="77">
        <v>8.64</v>
      </c>
      <c r="F323" s="82">
        <v>0.07</v>
      </c>
      <c r="G323" s="83">
        <f>主要材料品牌单价!E$6/1000</f>
        <v>29.5</v>
      </c>
      <c r="H323" s="83">
        <f t="shared" ref="H323:H325" si="31">E323*(1+F323)*G323</f>
        <v>272.7216</v>
      </c>
      <c r="I323" s="11"/>
    </row>
    <row r="324" customHeight="1" spans="1:9">
      <c r="A324" s="9">
        <v>1.2</v>
      </c>
      <c r="B324" s="80" t="s">
        <v>198</v>
      </c>
      <c r="C324" s="81"/>
      <c r="D324" s="9" t="s">
        <v>199</v>
      </c>
      <c r="E324" s="77">
        <f>E323*0.16</f>
        <v>1.3824</v>
      </c>
      <c r="F324" s="82">
        <v>0.07</v>
      </c>
      <c r="G324" s="83">
        <f>主要材料品牌单价!E$5/1000</f>
        <v>29.8</v>
      </c>
      <c r="H324" s="83">
        <f t="shared" si="31"/>
        <v>44.0792064</v>
      </c>
      <c r="I324" s="11"/>
    </row>
    <row r="325" customHeight="1" spans="1:9">
      <c r="A325" s="9">
        <v>1.3</v>
      </c>
      <c r="B325" s="9" t="s">
        <v>200</v>
      </c>
      <c r="C325" s="9"/>
      <c r="D325" s="9" t="s">
        <v>199</v>
      </c>
      <c r="E325" s="77">
        <f>E323*0.08</f>
        <v>0.6912</v>
      </c>
      <c r="F325" s="82">
        <v>0.07</v>
      </c>
      <c r="G325" s="83">
        <f>(主要材料品牌单价!E$5-1000)/1000</f>
        <v>28.8</v>
      </c>
      <c r="H325" s="83">
        <f t="shared" si="31"/>
        <v>21.3000192</v>
      </c>
      <c r="I325" s="11"/>
    </row>
    <row r="326" customHeight="1" spans="1:9">
      <c r="A326" s="78">
        <v>2</v>
      </c>
      <c r="B326" s="78" t="s">
        <v>201</v>
      </c>
      <c r="C326" s="78"/>
      <c r="D326" s="78"/>
      <c r="E326" s="78"/>
      <c r="F326" s="78"/>
      <c r="G326" s="78"/>
      <c r="H326" s="84">
        <f>H327</f>
        <v>44.4703</v>
      </c>
      <c r="I326" s="95"/>
    </row>
    <row r="327" customHeight="1" spans="1:9">
      <c r="A327" s="9">
        <v>2.1</v>
      </c>
      <c r="B327" s="9" t="s">
        <v>202</v>
      </c>
      <c r="C327" s="9"/>
      <c r="D327" s="9" t="s">
        <v>203</v>
      </c>
      <c r="E327" s="83">
        <v>0.37</v>
      </c>
      <c r="F327" s="82">
        <v>0.01</v>
      </c>
      <c r="G327" s="83">
        <f>主要材料品牌单价!E23</f>
        <v>119</v>
      </c>
      <c r="H327" s="83">
        <f>E327*(1+F327)*G327</f>
        <v>44.4703</v>
      </c>
      <c r="I327" s="11"/>
    </row>
    <row r="328" customHeight="1" spans="1:9">
      <c r="A328" s="78">
        <v>3</v>
      </c>
      <c r="B328" s="78" t="s">
        <v>204</v>
      </c>
      <c r="C328" s="78"/>
      <c r="D328" s="78"/>
      <c r="E328" s="78"/>
      <c r="F328" s="78"/>
      <c r="G328" s="78"/>
      <c r="H328" s="84">
        <f>H329</f>
        <v>189.567</v>
      </c>
      <c r="I328" s="95"/>
    </row>
    <row r="329" customHeight="1" spans="1:9">
      <c r="A329" s="9">
        <v>3.1</v>
      </c>
      <c r="B329" s="13" t="s">
        <v>248</v>
      </c>
      <c r="C329" s="13"/>
      <c r="D329" s="9" t="s">
        <v>206</v>
      </c>
      <c r="E329" s="83">
        <v>0.9</v>
      </c>
      <c r="F329" s="82">
        <v>0.003</v>
      </c>
      <c r="G329" s="11">
        <f>主要材料品牌单价!E40</f>
        <v>210</v>
      </c>
      <c r="H329" s="83">
        <f>E329*(1+F329)*G329</f>
        <v>189.567</v>
      </c>
      <c r="I329" s="11"/>
    </row>
    <row r="330" customHeight="1" spans="1:9">
      <c r="A330" s="78">
        <v>4</v>
      </c>
      <c r="B330" s="78" t="s">
        <v>207</v>
      </c>
      <c r="C330" s="78"/>
      <c r="D330" s="78"/>
      <c r="E330" s="78"/>
      <c r="F330" s="78"/>
      <c r="G330" s="78"/>
      <c r="H330" s="79">
        <f>SUM(H331:H335)</f>
        <v>48.12</v>
      </c>
      <c r="I330" s="95" t="s">
        <v>208</v>
      </c>
    </row>
    <row r="331" customHeight="1" spans="1:9">
      <c r="A331" s="85">
        <v>4.1</v>
      </c>
      <c r="B331" s="9" t="s">
        <v>209</v>
      </c>
      <c r="C331" s="9"/>
      <c r="D331" s="9" t="s">
        <v>210</v>
      </c>
      <c r="E331" s="85">
        <v>1</v>
      </c>
      <c r="F331" s="85"/>
      <c r="G331" s="85">
        <f>主要材料品牌单价!E$44</f>
        <v>18.5</v>
      </c>
      <c r="H331" s="83">
        <f t="shared" ref="H331:H335" si="32">E331*(1+F331)*G331</f>
        <v>18.5</v>
      </c>
      <c r="I331" s="11"/>
    </row>
    <row r="332" customHeight="1" spans="1:9">
      <c r="A332" s="85">
        <v>4.2</v>
      </c>
      <c r="B332" s="80" t="s">
        <v>211</v>
      </c>
      <c r="C332" s="81"/>
      <c r="D332" s="9" t="s">
        <v>210</v>
      </c>
      <c r="E332" s="86">
        <v>0.8</v>
      </c>
      <c r="F332" s="85"/>
      <c r="G332" s="85">
        <f>主要材料品牌单价!E$43</f>
        <v>15.5</v>
      </c>
      <c r="H332" s="83">
        <f t="shared" si="32"/>
        <v>12.4</v>
      </c>
      <c r="I332" s="11"/>
    </row>
    <row r="333" customHeight="1" spans="1:9">
      <c r="A333" s="85">
        <v>4.3</v>
      </c>
      <c r="B333" s="80" t="s">
        <v>212</v>
      </c>
      <c r="C333" s="81"/>
      <c r="D333" s="9" t="s">
        <v>210</v>
      </c>
      <c r="E333" s="86">
        <v>0.4</v>
      </c>
      <c r="F333" s="85"/>
      <c r="G333" s="85">
        <f>主要材料品牌单价!E$45</f>
        <v>16.8</v>
      </c>
      <c r="H333" s="83">
        <f t="shared" si="32"/>
        <v>6.72</v>
      </c>
      <c r="I333" s="11"/>
    </row>
    <row r="334" customHeight="1" spans="1:9">
      <c r="A334" s="85">
        <v>4.4</v>
      </c>
      <c r="B334" s="87" t="s">
        <v>213</v>
      </c>
      <c r="C334" s="88"/>
      <c r="D334" s="9" t="s">
        <v>210</v>
      </c>
      <c r="E334" s="77">
        <v>0.1</v>
      </c>
      <c r="F334" s="9"/>
      <c r="G334" s="85">
        <f>主要材料品牌单价!E$46</f>
        <v>25</v>
      </c>
      <c r="H334" s="83">
        <f t="shared" si="32"/>
        <v>2.5</v>
      </c>
      <c r="I334" s="11"/>
    </row>
    <row r="335" customHeight="1" spans="1:9">
      <c r="A335" s="85">
        <v>4.5</v>
      </c>
      <c r="B335" s="27" t="s">
        <v>214</v>
      </c>
      <c r="C335" s="27"/>
      <c r="D335" s="9" t="s">
        <v>215</v>
      </c>
      <c r="E335" s="77">
        <v>1</v>
      </c>
      <c r="F335" s="9"/>
      <c r="G335" s="85">
        <v>8</v>
      </c>
      <c r="H335" s="83">
        <f t="shared" si="32"/>
        <v>8</v>
      </c>
      <c r="I335" s="11"/>
    </row>
    <row r="336" customHeight="1" spans="1:9">
      <c r="A336" s="78">
        <v>5</v>
      </c>
      <c r="B336" s="78" t="s">
        <v>216</v>
      </c>
      <c r="C336" s="78"/>
      <c r="D336" s="78"/>
      <c r="E336" s="78"/>
      <c r="F336" s="78"/>
      <c r="G336" s="78"/>
      <c r="H336" s="79">
        <f>SUM(H337:H339)</f>
        <v>22.5</v>
      </c>
      <c r="I336" s="95" t="s">
        <v>208</v>
      </c>
    </row>
    <row r="337" customHeight="1" spans="1:9">
      <c r="A337" s="85">
        <v>5.1</v>
      </c>
      <c r="B337" s="9" t="s">
        <v>217</v>
      </c>
      <c r="C337" s="9"/>
      <c r="D337" s="9" t="s">
        <v>218</v>
      </c>
      <c r="E337" s="86">
        <v>0.25</v>
      </c>
      <c r="F337" s="85"/>
      <c r="G337" s="85">
        <f>主要材料品牌单价!E$48</f>
        <v>18</v>
      </c>
      <c r="H337" s="83">
        <f t="shared" ref="H337:H346" si="33">E337*(1+F337)*G337</f>
        <v>4.5</v>
      </c>
      <c r="I337" s="11"/>
    </row>
    <row r="338" customHeight="1" spans="1:9">
      <c r="A338" s="85">
        <v>5.2</v>
      </c>
      <c r="B338" s="80" t="s">
        <v>219</v>
      </c>
      <c r="C338" s="81"/>
      <c r="D338" s="9" t="s">
        <v>215</v>
      </c>
      <c r="E338" s="86">
        <v>0</v>
      </c>
      <c r="F338" s="85"/>
      <c r="G338" s="85"/>
      <c r="H338" s="83">
        <f t="shared" si="33"/>
        <v>0</v>
      </c>
      <c r="I338" s="11"/>
    </row>
    <row r="339" customHeight="1" spans="1:9">
      <c r="A339" s="85">
        <v>5.3</v>
      </c>
      <c r="B339" s="89" t="s">
        <v>220</v>
      </c>
      <c r="C339" s="90"/>
      <c r="D339" s="91" t="s">
        <v>206</v>
      </c>
      <c r="E339" s="77">
        <v>18</v>
      </c>
      <c r="F339" s="9"/>
      <c r="G339" s="85"/>
      <c r="H339" s="83">
        <v>18</v>
      </c>
      <c r="I339" s="11"/>
    </row>
    <row r="340" customHeight="1" spans="1:9">
      <c r="A340" s="92">
        <v>6</v>
      </c>
      <c r="B340" s="91" t="s">
        <v>221</v>
      </c>
      <c r="C340" s="91"/>
      <c r="D340" s="91" t="s">
        <v>206</v>
      </c>
      <c r="E340" s="91">
        <v>1</v>
      </c>
      <c r="F340" s="78">
        <v>0</v>
      </c>
      <c r="G340" s="85">
        <v>65</v>
      </c>
      <c r="H340" s="79">
        <f t="shared" si="33"/>
        <v>65</v>
      </c>
      <c r="I340" s="95" t="s">
        <v>208</v>
      </c>
    </row>
    <row r="341" customHeight="1" spans="1:9">
      <c r="A341" s="78">
        <v>7</v>
      </c>
      <c r="B341" s="93" t="s">
        <v>222</v>
      </c>
      <c r="C341" s="94"/>
      <c r="D341" s="91" t="s">
        <v>206</v>
      </c>
      <c r="E341" s="91">
        <v>1</v>
      </c>
      <c r="F341" s="78">
        <v>0</v>
      </c>
      <c r="G341" s="85">
        <v>75</v>
      </c>
      <c r="H341" s="79">
        <f t="shared" si="33"/>
        <v>75</v>
      </c>
      <c r="I341" s="95" t="s">
        <v>208</v>
      </c>
    </row>
    <row r="342" customHeight="1" spans="1:9">
      <c r="A342" s="78">
        <v>8</v>
      </c>
      <c r="B342" s="91" t="s">
        <v>223</v>
      </c>
      <c r="C342" s="91"/>
      <c r="D342" s="91" t="s">
        <v>206</v>
      </c>
      <c r="E342" s="91">
        <v>1</v>
      </c>
      <c r="F342" s="78">
        <v>0</v>
      </c>
      <c r="G342" s="85">
        <v>8</v>
      </c>
      <c r="H342" s="79">
        <f t="shared" si="33"/>
        <v>8</v>
      </c>
      <c r="I342" s="95" t="s">
        <v>208</v>
      </c>
    </row>
    <row r="343" customHeight="1" spans="1:9">
      <c r="A343" s="91">
        <v>9</v>
      </c>
      <c r="B343" s="91" t="s">
        <v>224</v>
      </c>
      <c r="C343" s="91"/>
      <c r="D343" s="91" t="s">
        <v>206</v>
      </c>
      <c r="E343" s="91">
        <v>1</v>
      </c>
      <c r="F343" s="91">
        <v>0</v>
      </c>
      <c r="G343" s="85">
        <v>1</v>
      </c>
      <c r="H343" s="79">
        <f t="shared" si="33"/>
        <v>1</v>
      </c>
      <c r="I343" s="95" t="s">
        <v>208</v>
      </c>
    </row>
    <row r="344" customHeight="1" spans="1:9">
      <c r="A344" s="91">
        <v>10</v>
      </c>
      <c r="B344" s="91" t="s">
        <v>225</v>
      </c>
      <c r="C344" s="91"/>
      <c r="D344" s="91" t="s">
        <v>206</v>
      </c>
      <c r="E344" s="91">
        <v>1</v>
      </c>
      <c r="F344" s="91">
        <v>0</v>
      </c>
      <c r="G344" s="85">
        <v>1</v>
      </c>
      <c r="H344" s="79">
        <f t="shared" si="33"/>
        <v>1</v>
      </c>
      <c r="I344" s="95" t="s">
        <v>208</v>
      </c>
    </row>
    <row r="345" customHeight="1" spans="1:9">
      <c r="A345" s="91">
        <v>11</v>
      </c>
      <c r="B345" s="93" t="s">
        <v>226</v>
      </c>
      <c r="C345" s="94"/>
      <c r="D345" s="91" t="s">
        <v>206</v>
      </c>
      <c r="E345" s="91">
        <v>1</v>
      </c>
      <c r="F345" s="91">
        <v>0</v>
      </c>
      <c r="G345" s="85">
        <v>1.5</v>
      </c>
      <c r="H345" s="79">
        <f t="shared" si="33"/>
        <v>1.5</v>
      </c>
      <c r="I345" s="95" t="s">
        <v>208</v>
      </c>
    </row>
    <row r="346" customHeight="1" spans="1:9">
      <c r="A346" s="91">
        <v>12</v>
      </c>
      <c r="B346" s="91" t="s">
        <v>227</v>
      </c>
      <c r="C346" s="91"/>
      <c r="D346" s="91" t="s">
        <v>206</v>
      </c>
      <c r="E346" s="91">
        <v>1</v>
      </c>
      <c r="F346" s="91">
        <v>0</v>
      </c>
      <c r="G346" s="85">
        <v>0.5</v>
      </c>
      <c r="H346" s="79">
        <f t="shared" si="33"/>
        <v>0.5</v>
      </c>
      <c r="I346" s="95" t="s">
        <v>208</v>
      </c>
    </row>
    <row r="347" customHeight="1" spans="1:9">
      <c r="A347" s="91">
        <v>13</v>
      </c>
      <c r="B347" s="93" t="s">
        <v>228</v>
      </c>
      <c r="C347" s="94"/>
      <c r="D347" s="91" t="s">
        <v>6</v>
      </c>
      <c r="E347" s="93" t="s">
        <v>229</v>
      </c>
      <c r="F347" s="94"/>
      <c r="G347" s="95"/>
      <c r="H347" s="79">
        <f>H322+H326+H330+H336+H340+H341+H342+H343+H344+H346+H345+H328</f>
        <v>794.7581256</v>
      </c>
      <c r="I347" s="98" t="s">
        <v>230</v>
      </c>
    </row>
    <row r="348" customHeight="1" spans="1:9">
      <c r="A348" s="91">
        <v>14</v>
      </c>
      <c r="B348" s="93" t="s">
        <v>231</v>
      </c>
      <c r="C348" s="94"/>
      <c r="D348" s="91" t="s">
        <v>6</v>
      </c>
      <c r="E348" s="93" t="s">
        <v>235</v>
      </c>
      <c r="F348" s="94"/>
      <c r="G348" s="96">
        <v>0.12</v>
      </c>
      <c r="H348" s="79">
        <f>H347*(G348)</f>
        <v>95.370975072</v>
      </c>
      <c r="I348" s="99"/>
    </row>
    <row r="349" customHeight="1" spans="1:9">
      <c r="A349" s="91">
        <v>15</v>
      </c>
      <c r="B349" s="93" t="s">
        <v>233</v>
      </c>
      <c r="C349" s="94"/>
      <c r="D349" s="91" t="s">
        <v>6</v>
      </c>
      <c r="E349" s="93" t="s">
        <v>234</v>
      </c>
      <c r="F349" s="94"/>
      <c r="G349" s="95"/>
      <c r="H349" s="79">
        <f>H347+H348</f>
        <v>890.129100672</v>
      </c>
      <c r="I349" s="100">
        <f>H349</f>
        <v>890.129100672</v>
      </c>
    </row>
    <row r="350" customHeight="1" spans="1:9">
      <c r="A350" s="76" t="s">
        <v>237</v>
      </c>
      <c r="E350" s="70"/>
      <c r="G350" s="70"/>
      <c r="H350" s="70"/>
      <c r="I350" s="70"/>
    </row>
    <row r="351" customHeight="1" spans="1:9">
      <c r="A351" s="9" t="s">
        <v>181</v>
      </c>
      <c r="B351" s="97"/>
      <c r="C351" s="97"/>
      <c r="D351" s="97"/>
      <c r="E351" s="9" t="s">
        <v>182</v>
      </c>
      <c r="F351" s="9" t="s">
        <v>150</v>
      </c>
      <c r="G351" s="9"/>
      <c r="H351" s="9" t="s">
        <v>183</v>
      </c>
      <c r="I351" s="9"/>
    </row>
    <row r="352" customHeight="1" spans="1:9">
      <c r="A352" s="9" t="s">
        <v>86</v>
      </c>
      <c r="B352" s="9"/>
      <c r="C352" s="9"/>
      <c r="D352" s="9"/>
      <c r="E352" s="9" t="s">
        <v>184</v>
      </c>
      <c r="F352" s="9"/>
      <c r="G352" s="9"/>
      <c r="H352" s="9"/>
      <c r="I352" s="9"/>
    </row>
    <row r="353" customHeight="1" spans="1:9">
      <c r="A353" s="13" t="s">
        <v>185</v>
      </c>
      <c r="B353" s="9">
        <v>0</v>
      </c>
      <c r="C353" s="13" t="s">
        <v>186</v>
      </c>
      <c r="D353" s="9">
        <v>0</v>
      </c>
      <c r="E353" s="9" t="s">
        <v>187</v>
      </c>
      <c r="F353" s="77">
        <v>0</v>
      </c>
      <c r="G353" s="11" t="s">
        <v>188</v>
      </c>
      <c r="H353" s="9"/>
      <c r="I353" s="9"/>
    </row>
    <row r="354" customHeight="1" spans="1:9">
      <c r="A354" s="13"/>
      <c r="B354" s="9"/>
      <c r="C354" s="13"/>
      <c r="D354" s="9"/>
      <c r="E354" s="9"/>
      <c r="F354" s="77">
        <v>0</v>
      </c>
      <c r="G354" s="12" t="s">
        <v>189</v>
      </c>
      <c r="H354" s="9"/>
      <c r="I354" s="9"/>
    </row>
    <row r="355" customHeight="1" spans="1:9">
      <c r="A355" s="9" t="s">
        <v>38</v>
      </c>
      <c r="B355" s="9" t="s">
        <v>190</v>
      </c>
      <c r="C355" s="9"/>
      <c r="D355" s="9" t="s">
        <v>191</v>
      </c>
      <c r="E355" s="9" t="s">
        <v>192</v>
      </c>
      <c r="F355" s="9" t="s">
        <v>193</v>
      </c>
      <c r="G355" s="11" t="s">
        <v>194</v>
      </c>
      <c r="H355" s="11" t="s">
        <v>195</v>
      </c>
      <c r="I355" s="12" t="s">
        <v>196</v>
      </c>
    </row>
    <row r="356" customHeight="1" spans="1:9">
      <c r="A356" s="78">
        <v>1</v>
      </c>
      <c r="B356" s="78" t="s">
        <v>197</v>
      </c>
      <c r="C356" s="78"/>
      <c r="D356" s="78"/>
      <c r="E356" s="78"/>
      <c r="F356" s="78"/>
      <c r="G356" s="78"/>
      <c r="H356" s="79">
        <f>SUM(H357:H359)</f>
        <v>109.49952</v>
      </c>
      <c r="I356" s="95"/>
    </row>
    <row r="357" customHeight="1" spans="1:9">
      <c r="A357" s="9">
        <v>1.1</v>
      </c>
      <c r="B357" s="80" t="s">
        <v>198</v>
      </c>
      <c r="C357" s="81"/>
      <c r="D357" s="9" t="s">
        <v>199</v>
      </c>
      <c r="E357" s="77">
        <v>0</v>
      </c>
      <c r="F357" s="82"/>
      <c r="G357" s="83"/>
      <c r="H357" s="83">
        <f t="shared" ref="H357:H361" si="34">E357*(1+F357)*G357</f>
        <v>0</v>
      </c>
      <c r="I357" s="11"/>
    </row>
    <row r="358" customHeight="1" spans="1:9">
      <c r="A358" s="9">
        <v>1.2</v>
      </c>
      <c r="B358" s="80" t="s">
        <v>249</v>
      </c>
      <c r="C358" s="81"/>
      <c r="D358" s="9" t="s">
        <v>199</v>
      </c>
      <c r="E358" s="77">
        <v>8.32</v>
      </c>
      <c r="F358" s="82">
        <v>0.07</v>
      </c>
      <c r="G358" s="83">
        <f>主要材料品牌单价!E$7/1000</f>
        <v>12.3</v>
      </c>
      <c r="H358" s="83">
        <f t="shared" si="34"/>
        <v>109.49952</v>
      </c>
      <c r="I358" s="11"/>
    </row>
    <row r="359" customHeight="1" spans="1:9">
      <c r="A359" s="9">
        <v>1.3</v>
      </c>
      <c r="B359" s="9" t="s">
        <v>200</v>
      </c>
      <c r="C359" s="9"/>
      <c r="D359" s="9" t="s">
        <v>199</v>
      </c>
      <c r="E359" s="77">
        <v>0</v>
      </c>
      <c r="F359" s="82"/>
      <c r="G359" s="83"/>
      <c r="H359" s="83">
        <f t="shared" si="34"/>
        <v>0</v>
      </c>
      <c r="I359" s="11"/>
    </row>
    <row r="360" customHeight="1" spans="1:9">
      <c r="A360" s="78">
        <v>2</v>
      </c>
      <c r="B360" s="78" t="s">
        <v>201</v>
      </c>
      <c r="C360" s="78"/>
      <c r="D360" s="78"/>
      <c r="E360" s="78"/>
      <c r="F360" s="78"/>
      <c r="G360" s="78"/>
      <c r="H360" s="84">
        <f>H361</f>
        <v>37.875</v>
      </c>
      <c r="I360" s="95"/>
    </row>
    <row r="361" customHeight="1" spans="1:9">
      <c r="A361" s="9">
        <v>2.1</v>
      </c>
      <c r="B361" s="9" t="s">
        <v>202</v>
      </c>
      <c r="C361" s="9"/>
      <c r="D361" s="9" t="s">
        <v>203</v>
      </c>
      <c r="E361" s="83">
        <v>0.3</v>
      </c>
      <c r="F361" s="82">
        <v>0.01</v>
      </c>
      <c r="G361" s="83">
        <v>125</v>
      </c>
      <c r="H361" s="83">
        <f t="shared" si="34"/>
        <v>37.875</v>
      </c>
      <c r="I361" s="11"/>
    </row>
    <row r="362" customHeight="1" spans="1:9">
      <c r="A362" s="78">
        <v>3</v>
      </c>
      <c r="B362" s="78" t="s">
        <v>204</v>
      </c>
      <c r="C362" s="78"/>
      <c r="D362" s="78"/>
      <c r="E362" s="78"/>
      <c r="F362" s="78"/>
      <c r="G362" s="78"/>
      <c r="H362" s="84">
        <f>H363</f>
        <v>112.8375</v>
      </c>
      <c r="I362" s="95"/>
    </row>
    <row r="363" customHeight="1" spans="1:9">
      <c r="A363" s="9">
        <v>3.1</v>
      </c>
      <c r="B363" s="13" t="s">
        <v>250</v>
      </c>
      <c r="C363" s="13"/>
      <c r="D363" s="9" t="s">
        <v>206</v>
      </c>
      <c r="E363" s="83">
        <v>0.9</v>
      </c>
      <c r="F363" s="82">
        <v>0.003</v>
      </c>
      <c r="G363" s="11">
        <f>主要材料品牌单价!E32</f>
        <v>125</v>
      </c>
      <c r="H363" s="83">
        <f>E363*(1+F363)*G363</f>
        <v>112.8375</v>
      </c>
      <c r="I363" s="11"/>
    </row>
    <row r="364" customHeight="1" spans="1:9">
      <c r="A364" s="78">
        <v>4</v>
      </c>
      <c r="B364" s="78" t="s">
        <v>207</v>
      </c>
      <c r="C364" s="78"/>
      <c r="D364" s="78"/>
      <c r="E364" s="78"/>
      <c r="F364" s="78"/>
      <c r="G364" s="78"/>
      <c r="H364" s="79">
        <f>SUM(H365:H369)</f>
        <v>26.86</v>
      </c>
      <c r="I364" s="95" t="s">
        <v>208</v>
      </c>
    </row>
    <row r="365" customHeight="1" spans="1:9">
      <c r="A365" s="85">
        <v>4.1</v>
      </c>
      <c r="B365" s="9" t="s">
        <v>209</v>
      </c>
      <c r="C365" s="9"/>
      <c r="D365" s="9" t="s">
        <v>210</v>
      </c>
      <c r="E365" s="85">
        <v>0</v>
      </c>
      <c r="F365" s="85"/>
      <c r="G365" s="85">
        <f>主要材料品牌单价!E$44</f>
        <v>18.5</v>
      </c>
      <c r="H365" s="83">
        <f t="shared" ref="H364:H369" si="35">E365*(1+F365)*G365</f>
        <v>0</v>
      </c>
      <c r="I365" s="11"/>
    </row>
    <row r="366" customHeight="1" spans="1:9">
      <c r="A366" s="85">
        <v>4.2</v>
      </c>
      <c r="B366" s="80" t="s">
        <v>211</v>
      </c>
      <c r="C366" s="81"/>
      <c r="D366" s="9" t="s">
        <v>210</v>
      </c>
      <c r="E366" s="86">
        <v>1</v>
      </c>
      <c r="F366" s="85"/>
      <c r="G366" s="85">
        <f>主要材料品牌单价!E$43</f>
        <v>15.5</v>
      </c>
      <c r="H366" s="83">
        <f t="shared" si="35"/>
        <v>15.5</v>
      </c>
      <c r="I366" s="11"/>
    </row>
    <row r="367" customHeight="1" spans="1:9">
      <c r="A367" s="85">
        <v>4.3</v>
      </c>
      <c r="B367" s="80" t="s">
        <v>212</v>
      </c>
      <c r="C367" s="81"/>
      <c r="D367" s="9" t="s">
        <v>210</v>
      </c>
      <c r="E367" s="86">
        <v>0.2</v>
      </c>
      <c r="F367" s="85"/>
      <c r="G367" s="85">
        <f>主要材料品牌单价!E$45</f>
        <v>16.8</v>
      </c>
      <c r="H367" s="83">
        <f t="shared" si="35"/>
        <v>3.36</v>
      </c>
      <c r="I367" s="11"/>
    </row>
    <row r="368" customHeight="1" spans="1:9">
      <c r="A368" s="85">
        <v>4.4</v>
      </c>
      <c r="B368" s="87" t="s">
        <v>213</v>
      </c>
      <c r="C368" s="88"/>
      <c r="D368" s="9" t="s">
        <v>210</v>
      </c>
      <c r="E368" s="77">
        <v>0</v>
      </c>
      <c r="F368" s="9"/>
      <c r="G368" s="85">
        <f>主要材料品牌单价!E$46</f>
        <v>25</v>
      </c>
      <c r="H368" s="83">
        <f t="shared" si="35"/>
        <v>0</v>
      </c>
      <c r="I368" s="11"/>
    </row>
    <row r="369" customHeight="1" spans="1:9">
      <c r="A369" s="85">
        <v>4.5</v>
      </c>
      <c r="B369" s="27" t="s">
        <v>214</v>
      </c>
      <c r="C369" s="27"/>
      <c r="D369" s="9" t="s">
        <v>215</v>
      </c>
      <c r="E369" s="77">
        <v>1</v>
      </c>
      <c r="F369" s="9"/>
      <c r="G369" s="85">
        <v>8</v>
      </c>
      <c r="H369" s="83">
        <f t="shared" si="35"/>
        <v>8</v>
      </c>
      <c r="I369" s="11"/>
    </row>
    <row r="370" customHeight="1" spans="1:9">
      <c r="A370" s="78">
        <v>5</v>
      </c>
      <c r="B370" s="78" t="s">
        <v>216</v>
      </c>
      <c r="C370" s="78"/>
      <c r="D370" s="78"/>
      <c r="E370" s="78"/>
      <c r="F370" s="78"/>
      <c r="G370" s="78"/>
      <c r="H370" s="79">
        <f>SUM(H371:H373)</f>
        <v>7.7</v>
      </c>
      <c r="I370" s="95" t="s">
        <v>208</v>
      </c>
    </row>
    <row r="371" customHeight="1" spans="1:9">
      <c r="A371" s="85">
        <v>5.1</v>
      </c>
      <c r="B371" s="9" t="s">
        <v>217</v>
      </c>
      <c r="C371" s="9"/>
      <c r="D371" s="9" t="s">
        <v>218</v>
      </c>
      <c r="E371" s="86">
        <v>0.15</v>
      </c>
      <c r="F371" s="85"/>
      <c r="G371" s="85">
        <f>主要材料品牌单价!E$48</f>
        <v>18</v>
      </c>
      <c r="H371" s="83">
        <f t="shared" ref="H371:H380" si="36">E371*(1+F371)*G371</f>
        <v>2.7</v>
      </c>
      <c r="I371" s="11"/>
    </row>
    <row r="372" customHeight="1" spans="1:9">
      <c r="A372" s="85">
        <v>5.2</v>
      </c>
      <c r="B372" s="80" t="s">
        <v>219</v>
      </c>
      <c r="C372" s="81"/>
      <c r="D372" s="9" t="s">
        <v>215</v>
      </c>
      <c r="E372" s="86">
        <v>0</v>
      </c>
      <c r="F372" s="85"/>
      <c r="G372" s="85"/>
      <c r="H372" s="83">
        <f t="shared" si="36"/>
        <v>0</v>
      </c>
      <c r="I372" s="11"/>
    </row>
    <row r="373" customHeight="1" spans="1:9">
      <c r="A373" s="85">
        <v>5.3</v>
      </c>
      <c r="B373" s="89" t="s">
        <v>220</v>
      </c>
      <c r="C373" s="90"/>
      <c r="D373" s="91" t="s">
        <v>206</v>
      </c>
      <c r="E373" s="77">
        <v>5</v>
      </c>
      <c r="F373" s="9"/>
      <c r="G373" s="85"/>
      <c r="H373" s="83">
        <v>5</v>
      </c>
      <c r="I373" s="11"/>
    </row>
    <row r="374" customHeight="1" spans="1:9">
      <c r="A374" s="92">
        <v>6</v>
      </c>
      <c r="B374" s="91" t="s">
        <v>221</v>
      </c>
      <c r="C374" s="91"/>
      <c r="D374" s="91" t="s">
        <v>206</v>
      </c>
      <c r="E374" s="91">
        <v>1</v>
      </c>
      <c r="F374" s="78">
        <v>0</v>
      </c>
      <c r="G374" s="85">
        <v>65</v>
      </c>
      <c r="H374" s="79">
        <f t="shared" si="36"/>
        <v>65</v>
      </c>
      <c r="I374" s="95" t="s">
        <v>208</v>
      </c>
    </row>
    <row r="375" customHeight="1" spans="1:9">
      <c r="A375" s="78">
        <v>7</v>
      </c>
      <c r="B375" s="93" t="s">
        <v>222</v>
      </c>
      <c r="C375" s="94"/>
      <c r="D375" s="91" t="s">
        <v>206</v>
      </c>
      <c r="E375" s="91">
        <v>1</v>
      </c>
      <c r="F375" s="78">
        <v>0</v>
      </c>
      <c r="G375" s="85">
        <v>75</v>
      </c>
      <c r="H375" s="79">
        <f t="shared" si="36"/>
        <v>75</v>
      </c>
      <c r="I375" s="95" t="s">
        <v>208</v>
      </c>
    </row>
    <row r="376" customHeight="1" spans="1:9">
      <c r="A376" s="78">
        <v>8</v>
      </c>
      <c r="B376" s="91" t="s">
        <v>223</v>
      </c>
      <c r="C376" s="91"/>
      <c r="D376" s="91" t="s">
        <v>206</v>
      </c>
      <c r="E376" s="91">
        <v>1</v>
      </c>
      <c r="F376" s="78">
        <v>0</v>
      </c>
      <c r="G376" s="85">
        <v>8</v>
      </c>
      <c r="H376" s="79">
        <f t="shared" si="36"/>
        <v>8</v>
      </c>
      <c r="I376" s="95" t="s">
        <v>208</v>
      </c>
    </row>
    <row r="377" customHeight="1" spans="1:9">
      <c r="A377" s="91">
        <v>9</v>
      </c>
      <c r="B377" s="91" t="s">
        <v>224</v>
      </c>
      <c r="C377" s="91"/>
      <c r="D377" s="91" t="s">
        <v>206</v>
      </c>
      <c r="E377" s="91">
        <v>1</v>
      </c>
      <c r="F377" s="91">
        <v>0</v>
      </c>
      <c r="G377" s="85">
        <v>1</v>
      </c>
      <c r="H377" s="79">
        <f t="shared" si="36"/>
        <v>1</v>
      </c>
      <c r="I377" s="95" t="s">
        <v>208</v>
      </c>
    </row>
    <row r="378" customHeight="1" spans="1:9">
      <c r="A378" s="91">
        <v>10</v>
      </c>
      <c r="B378" s="91" t="s">
        <v>225</v>
      </c>
      <c r="C378" s="91"/>
      <c r="D378" s="91" t="s">
        <v>206</v>
      </c>
      <c r="E378" s="91">
        <v>1</v>
      </c>
      <c r="F378" s="91">
        <v>0</v>
      </c>
      <c r="G378" s="85">
        <v>1</v>
      </c>
      <c r="H378" s="79">
        <f t="shared" si="36"/>
        <v>1</v>
      </c>
      <c r="I378" s="95" t="s">
        <v>208</v>
      </c>
    </row>
    <row r="379" customHeight="1" spans="1:9">
      <c r="A379" s="91">
        <v>11</v>
      </c>
      <c r="B379" s="93" t="s">
        <v>226</v>
      </c>
      <c r="C379" s="94"/>
      <c r="D379" s="91" t="s">
        <v>206</v>
      </c>
      <c r="E379" s="91">
        <v>1</v>
      </c>
      <c r="F379" s="91">
        <v>0</v>
      </c>
      <c r="G379" s="85">
        <v>1.5</v>
      </c>
      <c r="H379" s="79">
        <f t="shared" si="36"/>
        <v>1.5</v>
      </c>
      <c r="I379" s="95" t="s">
        <v>208</v>
      </c>
    </row>
    <row r="380" customHeight="1" spans="1:9">
      <c r="A380" s="91">
        <v>12</v>
      </c>
      <c r="B380" s="91" t="s">
        <v>227</v>
      </c>
      <c r="C380" s="91"/>
      <c r="D380" s="91" t="s">
        <v>206</v>
      </c>
      <c r="E380" s="91">
        <v>1</v>
      </c>
      <c r="F380" s="91">
        <v>0</v>
      </c>
      <c r="G380" s="85">
        <v>0.5</v>
      </c>
      <c r="H380" s="79">
        <f t="shared" si="36"/>
        <v>0.5</v>
      </c>
      <c r="I380" s="95" t="s">
        <v>208</v>
      </c>
    </row>
    <row r="381" customHeight="1" spans="1:9">
      <c r="A381" s="91">
        <v>13</v>
      </c>
      <c r="B381" s="93" t="s">
        <v>228</v>
      </c>
      <c r="C381" s="94"/>
      <c r="D381" s="91" t="s">
        <v>6</v>
      </c>
      <c r="E381" s="93" t="s">
        <v>229</v>
      </c>
      <c r="F381" s="94"/>
      <c r="G381" s="95"/>
      <c r="H381" s="79">
        <f>H356+H360+H364+H370+H374+H375+H376+H377+H378+H380+H379+H362</f>
        <v>446.77202</v>
      </c>
      <c r="I381" s="98" t="s">
        <v>230</v>
      </c>
    </row>
    <row r="382" customHeight="1" spans="1:9">
      <c r="A382" s="91">
        <v>14</v>
      </c>
      <c r="B382" s="93" t="s">
        <v>231</v>
      </c>
      <c r="C382" s="94"/>
      <c r="D382" s="91" t="s">
        <v>6</v>
      </c>
      <c r="E382" s="93" t="s">
        <v>235</v>
      </c>
      <c r="F382" s="94"/>
      <c r="G382" s="96">
        <v>0.12</v>
      </c>
      <c r="H382" s="79">
        <f>H381*(G382)</f>
        <v>53.6126424</v>
      </c>
      <c r="I382" s="99"/>
    </row>
    <row r="383" customHeight="1" spans="1:9">
      <c r="A383" s="91">
        <v>15</v>
      </c>
      <c r="B383" s="93" t="s">
        <v>233</v>
      </c>
      <c r="C383" s="94"/>
      <c r="D383" s="91" t="s">
        <v>6</v>
      </c>
      <c r="E383" s="93" t="s">
        <v>234</v>
      </c>
      <c r="F383" s="94"/>
      <c r="G383" s="95"/>
      <c r="H383" s="79">
        <f>H381+H382</f>
        <v>500.3846624</v>
      </c>
      <c r="I383" s="100">
        <f>H383</f>
        <v>500.3846624</v>
      </c>
    </row>
    <row r="385" customHeight="1" spans="1:9">
      <c r="A385" s="76" t="s">
        <v>237</v>
      </c>
      <c r="E385" s="70"/>
      <c r="G385" s="70"/>
      <c r="H385" s="70"/>
      <c r="I385" s="70"/>
    </row>
    <row r="386" customHeight="1" spans="1:9">
      <c r="A386" s="9" t="s">
        <v>181</v>
      </c>
      <c r="B386" s="97"/>
      <c r="C386" s="97"/>
      <c r="D386" s="97"/>
      <c r="E386" s="9" t="s">
        <v>182</v>
      </c>
      <c r="F386" s="9" t="s">
        <v>155</v>
      </c>
      <c r="G386" s="9"/>
      <c r="H386" s="9" t="s">
        <v>183</v>
      </c>
      <c r="I386" s="9"/>
    </row>
    <row r="387" customHeight="1" spans="1:9">
      <c r="A387" s="9" t="s">
        <v>86</v>
      </c>
      <c r="B387" s="9"/>
      <c r="C387" s="9"/>
      <c r="D387" s="9"/>
      <c r="E387" s="9" t="s">
        <v>184</v>
      </c>
      <c r="F387" s="9"/>
      <c r="G387" s="9"/>
      <c r="H387" s="9"/>
      <c r="I387" s="9"/>
    </row>
    <row r="388" customHeight="1" spans="1:9">
      <c r="A388" s="13" t="s">
        <v>185</v>
      </c>
      <c r="B388" s="9">
        <v>0</v>
      </c>
      <c r="C388" s="13" t="s">
        <v>186</v>
      </c>
      <c r="D388" s="9">
        <v>0</v>
      </c>
      <c r="E388" s="9" t="s">
        <v>187</v>
      </c>
      <c r="F388" s="77">
        <v>0</v>
      </c>
      <c r="G388" s="11" t="s">
        <v>188</v>
      </c>
      <c r="H388" s="9"/>
      <c r="I388" s="9"/>
    </row>
    <row r="389" customHeight="1" spans="1:9">
      <c r="A389" s="13"/>
      <c r="B389" s="9"/>
      <c r="C389" s="13"/>
      <c r="D389" s="9"/>
      <c r="E389" s="9"/>
      <c r="F389" s="77">
        <v>0</v>
      </c>
      <c r="G389" s="12" t="s">
        <v>189</v>
      </c>
      <c r="H389" s="9"/>
      <c r="I389" s="9"/>
    </row>
    <row r="390" customHeight="1" spans="1:9">
      <c r="A390" s="9" t="s">
        <v>38</v>
      </c>
      <c r="B390" s="9" t="s">
        <v>190</v>
      </c>
      <c r="C390" s="9"/>
      <c r="D390" s="9" t="s">
        <v>191</v>
      </c>
      <c r="E390" s="9" t="s">
        <v>192</v>
      </c>
      <c r="F390" s="9" t="s">
        <v>193</v>
      </c>
      <c r="G390" s="11" t="s">
        <v>194</v>
      </c>
      <c r="H390" s="11" t="s">
        <v>195</v>
      </c>
      <c r="I390" s="12" t="s">
        <v>196</v>
      </c>
    </row>
    <row r="391" customHeight="1" spans="1:9">
      <c r="A391" s="78">
        <v>1</v>
      </c>
      <c r="B391" s="78" t="s">
        <v>197</v>
      </c>
      <c r="C391" s="78"/>
      <c r="D391" s="78"/>
      <c r="E391" s="78"/>
      <c r="F391" s="78"/>
      <c r="G391" s="78"/>
      <c r="H391" s="79">
        <f>SUM(H392:H394)</f>
        <v>334.1876216</v>
      </c>
      <c r="I391" s="95"/>
    </row>
    <row r="392" customHeight="1" spans="1:9">
      <c r="A392" s="9">
        <v>1.1</v>
      </c>
      <c r="B392" s="80" t="s">
        <v>239</v>
      </c>
      <c r="C392" s="81"/>
      <c r="D392" s="9" t="s">
        <v>199</v>
      </c>
      <c r="E392" s="77">
        <v>8.54</v>
      </c>
      <c r="F392" s="82">
        <v>0.07</v>
      </c>
      <c r="G392" s="83">
        <f>主要材料品牌单价!E$6/1000</f>
        <v>29.5</v>
      </c>
      <c r="H392" s="83">
        <f t="shared" ref="H392:H394" si="37">E392*(1+F392)*G392</f>
        <v>269.5651</v>
      </c>
      <c r="I392" s="11"/>
    </row>
    <row r="393" customHeight="1" spans="1:9">
      <c r="A393" s="9">
        <v>1.2</v>
      </c>
      <c r="B393" s="80" t="s">
        <v>198</v>
      </c>
      <c r="C393" s="81"/>
      <c r="D393" s="9" t="s">
        <v>199</v>
      </c>
      <c r="E393" s="77">
        <f>E392*0.16</f>
        <v>1.3664</v>
      </c>
      <c r="F393" s="82">
        <v>0.07</v>
      </c>
      <c r="G393" s="83">
        <f>主要材料品牌单价!E$5/1000</f>
        <v>29.8</v>
      </c>
      <c r="H393" s="83">
        <f t="shared" si="37"/>
        <v>43.5690304</v>
      </c>
      <c r="I393" s="11"/>
    </row>
    <row r="394" customHeight="1" spans="1:9">
      <c r="A394" s="9">
        <v>1.3</v>
      </c>
      <c r="B394" s="9" t="s">
        <v>200</v>
      </c>
      <c r="C394" s="9"/>
      <c r="D394" s="9" t="s">
        <v>199</v>
      </c>
      <c r="E394" s="77">
        <f>E392*0.08</f>
        <v>0.6832</v>
      </c>
      <c r="F394" s="82">
        <v>0.07</v>
      </c>
      <c r="G394" s="83">
        <f>(主要材料品牌单价!E$5-1000)/1000</f>
        <v>28.8</v>
      </c>
      <c r="H394" s="83">
        <f t="shared" si="37"/>
        <v>21.0534912</v>
      </c>
      <c r="I394" s="11"/>
    </row>
    <row r="395" customHeight="1" spans="1:9">
      <c r="A395" s="78">
        <v>2</v>
      </c>
      <c r="B395" s="78" t="s">
        <v>201</v>
      </c>
      <c r="C395" s="78"/>
      <c r="D395" s="78"/>
      <c r="E395" s="78"/>
      <c r="F395" s="78"/>
      <c r="G395" s="78"/>
      <c r="H395" s="84">
        <f>H396</f>
        <v>42.0665</v>
      </c>
      <c r="I395" s="95"/>
    </row>
    <row r="396" customHeight="1" spans="1:9">
      <c r="A396" s="9">
        <v>2.1</v>
      </c>
      <c r="B396" s="9" t="s">
        <v>202</v>
      </c>
      <c r="C396" s="9"/>
      <c r="D396" s="9" t="s">
        <v>203</v>
      </c>
      <c r="E396" s="83">
        <v>0.35</v>
      </c>
      <c r="F396" s="82">
        <v>0.01</v>
      </c>
      <c r="G396" s="83">
        <f>主要材料品牌单价!E23</f>
        <v>119</v>
      </c>
      <c r="H396" s="83">
        <f>E396*(1+F396)*G396</f>
        <v>42.0665</v>
      </c>
      <c r="I396" s="11"/>
    </row>
    <row r="397" customHeight="1" spans="1:9">
      <c r="A397" s="78">
        <v>3</v>
      </c>
      <c r="B397" s="78" t="s">
        <v>204</v>
      </c>
      <c r="C397" s="78"/>
      <c r="D397" s="78"/>
      <c r="E397" s="78"/>
      <c r="F397" s="78"/>
      <c r="G397" s="78"/>
      <c r="H397" s="84">
        <f>H398</f>
        <v>112.8375</v>
      </c>
      <c r="I397" s="95"/>
    </row>
    <row r="398" customHeight="1" spans="1:9">
      <c r="A398" s="9">
        <v>3.1</v>
      </c>
      <c r="B398" s="13" t="s">
        <v>251</v>
      </c>
      <c r="C398" s="13"/>
      <c r="D398" s="9" t="s">
        <v>206</v>
      </c>
      <c r="E398" s="83">
        <v>0.9</v>
      </c>
      <c r="F398" s="82">
        <v>0.003</v>
      </c>
      <c r="G398" s="11">
        <f>主要材料品牌单价!E32</f>
        <v>125</v>
      </c>
      <c r="H398" s="83">
        <f t="shared" ref="H398:H404" si="38">E398*(1+F398)*G398</f>
        <v>112.8375</v>
      </c>
      <c r="I398" s="11"/>
    </row>
    <row r="399" customHeight="1" spans="1:9">
      <c r="A399" s="78">
        <v>4</v>
      </c>
      <c r="B399" s="78" t="s">
        <v>207</v>
      </c>
      <c r="C399" s="78"/>
      <c r="D399" s="78"/>
      <c r="E399" s="78"/>
      <c r="F399" s="78"/>
      <c r="G399" s="78"/>
      <c r="H399" s="79">
        <f>SUM(H400:H404)</f>
        <v>48.84</v>
      </c>
      <c r="I399" s="95" t="s">
        <v>208</v>
      </c>
    </row>
    <row r="400" customHeight="1" spans="1:9">
      <c r="A400" s="85">
        <v>4.1</v>
      </c>
      <c r="B400" s="9" t="s">
        <v>209</v>
      </c>
      <c r="C400" s="9"/>
      <c r="D400" s="9" t="s">
        <v>210</v>
      </c>
      <c r="E400" s="85">
        <v>1</v>
      </c>
      <c r="F400" s="85"/>
      <c r="G400" s="85">
        <f>主要材料品牌单价!E$44</f>
        <v>18.5</v>
      </c>
      <c r="H400" s="83">
        <f t="shared" si="38"/>
        <v>18.5</v>
      </c>
      <c r="I400" s="11"/>
    </row>
    <row r="401" customHeight="1" spans="1:9">
      <c r="A401" s="85">
        <v>4.2</v>
      </c>
      <c r="B401" s="80" t="s">
        <v>211</v>
      </c>
      <c r="C401" s="81"/>
      <c r="D401" s="9" t="s">
        <v>210</v>
      </c>
      <c r="E401" s="86">
        <v>0.8</v>
      </c>
      <c r="F401" s="85"/>
      <c r="G401" s="85">
        <f>主要材料品牌单价!E$43</f>
        <v>15.5</v>
      </c>
      <c r="H401" s="83">
        <f t="shared" si="38"/>
        <v>12.4</v>
      </c>
      <c r="I401" s="11"/>
    </row>
    <row r="402" customHeight="1" spans="1:9">
      <c r="A402" s="85">
        <v>4.3</v>
      </c>
      <c r="B402" s="80" t="s">
        <v>212</v>
      </c>
      <c r="C402" s="81"/>
      <c r="D402" s="9" t="s">
        <v>210</v>
      </c>
      <c r="E402" s="86">
        <v>0.4</v>
      </c>
      <c r="F402" s="85"/>
      <c r="G402" s="85">
        <f>主要材料品牌单价!E$45</f>
        <v>16.8</v>
      </c>
      <c r="H402" s="83">
        <f t="shared" si="38"/>
        <v>6.72</v>
      </c>
      <c r="I402" s="11"/>
    </row>
    <row r="403" customHeight="1" spans="1:9">
      <c r="A403" s="85">
        <v>4.4</v>
      </c>
      <c r="B403" s="87" t="s">
        <v>213</v>
      </c>
      <c r="C403" s="88"/>
      <c r="D403" s="9" t="s">
        <v>210</v>
      </c>
      <c r="E403" s="77">
        <v>0.1</v>
      </c>
      <c r="F403" s="9"/>
      <c r="G403" s="85">
        <f>主要材料品牌单价!E$46</f>
        <v>25</v>
      </c>
      <c r="H403" s="83">
        <f t="shared" si="38"/>
        <v>2.5</v>
      </c>
      <c r="I403" s="11"/>
    </row>
    <row r="404" customHeight="1" spans="1:9">
      <c r="A404" s="85">
        <v>4.5</v>
      </c>
      <c r="B404" s="27" t="s">
        <v>214</v>
      </c>
      <c r="C404" s="27"/>
      <c r="D404" s="9" t="s">
        <v>215</v>
      </c>
      <c r="E404" s="77">
        <v>1</v>
      </c>
      <c r="F404" s="9"/>
      <c r="G404" s="85">
        <v>8.72</v>
      </c>
      <c r="H404" s="83">
        <f t="shared" si="38"/>
        <v>8.72</v>
      </c>
      <c r="I404" s="11"/>
    </row>
    <row r="405" customHeight="1" spans="1:9">
      <c r="A405" s="78">
        <v>5</v>
      </c>
      <c r="B405" s="78" t="s">
        <v>216</v>
      </c>
      <c r="C405" s="78"/>
      <c r="D405" s="78"/>
      <c r="E405" s="78"/>
      <c r="F405" s="78"/>
      <c r="G405" s="78"/>
      <c r="H405" s="79">
        <f>SUM(H406:H408)</f>
        <v>14.5</v>
      </c>
      <c r="I405" s="95" t="s">
        <v>208</v>
      </c>
    </row>
    <row r="406" customHeight="1" spans="1:9">
      <c r="A406" s="85">
        <v>5.1</v>
      </c>
      <c r="B406" s="9" t="s">
        <v>217</v>
      </c>
      <c r="C406" s="9"/>
      <c r="D406" s="9" t="s">
        <v>218</v>
      </c>
      <c r="E406" s="86">
        <v>0.25</v>
      </c>
      <c r="F406" s="85"/>
      <c r="G406" s="85">
        <f>主要材料品牌单价!E$48</f>
        <v>18</v>
      </c>
      <c r="H406" s="83">
        <f t="shared" ref="H406:H415" si="39">E406*(1+F406)*G406</f>
        <v>4.5</v>
      </c>
      <c r="I406" s="11"/>
    </row>
    <row r="407" customHeight="1" spans="1:9">
      <c r="A407" s="85">
        <v>5.2</v>
      </c>
      <c r="B407" s="80" t="s">
        <v>219</v>
      </c>
      <c r="C407" s="81"/>
      <c r="D407" s="9" t="s">
        <v>215</v>
      </c>
      <c r="E407" s="86">
        <v>0</v>
      </c>
      <c r="F407" s="85"/>
      <c r="G407" s="85"/>
      <c r="H407" s="83">
        <f t="shared" si="39"/>
        <v>0</v>
      </c>
      <c r="I407" s="11"/>
    </row>
    <row r="408" customHeight="1" spans="1:9">
      <c r="A408" s="85">
        <v>5.3</v>
      </c>
      <c r="B408" s="89" t="s">
        <v>220</v>
      </c>
      <c r="C408" s="90"/>
      <c r="D408" s="91" t="s">
        <v>206</v>
      </c>
      <c r="E408" s="77">
        <v>10</v>
      </c>
      <c r="F408" s="9"/>
      <c r="G408" s="85"/>
      <c r="H408" s="83">
        <v>10</v>
      </c>
      <c r="I408" s="11"/>
    </row>
    <row r="409" customHeight="1" spans="1:9">
      <c r="A409" s="92">
        <v>6</v>
      </c>
      <c r="B409" s="91" t="s">
        <v>221</v>
      </c>
      <c r="C409" s="91"/>
      <c r="D409" s="91" t="s">
        <v>206</v>
      </c>
      <c r="E409" s="91">
        <v>1</v>
      </c>
      <c r="F409" s="78">
        <v>0</v>
      </c>
      <c r="G409" s="85">
        <v>65</v>
      </c>
      <c r="H409" s="79">
        <f t="shared" si="39"/>
        <v>65</v>
      </c>
      <c r="I409" s="95" t="s">
        <v>208</v>
      </c>
    </row>
    <row r="410" customHeight="1" spans="1:9">
      <c r="A410" s="78">
        <v>7</v>
      </c>
      <c r="B410" s="93" t="s">
        <v>222</v>
      </c>
      <c r="C410" s="94"/>
      <c r="D410" s="91" t="s">
        <v>206</v>
      </c>
      <c r="E410" s="91">
        <v>1</v>
      </c>
      <c r="F410" s="78">
        <v>0</v>
      </c>
      <c r="G410" s="85">
        <v>75</v>
      </c>
      <c r="H410" s="79">
        <f t="shared" si="39"/>
        <v>75</v>
      </c>
      <c r="I410" s="95" t="s">
        <v>208</v>
      </c>
    </row>
    <row r="411" customHeight="1" spans="1:9">
      <c r="A411" s="78">
        <v>8</v>
      </c>
      <c r="B411" s="91" t="s">
        <v>223</v>
      </c>
      <c r="C411" s="91"/>
      <c r="D411" s="91" t="s">
        <v>206</v>
      </c>
      <c r="E411" s="91">
        <v>1</v>
      </c>
      <c r="F411" s="78">
        <v>0</v>
      </c>
      <c r="G411" s="85">
        <v>8</v>
      </c>
      <c r="H411" s="79">
        <f t="shared" si="39"/>
        <v>8</v>
      </c>
      <c r="I411" s="95" t="s">
        <v>208</v>
      </c>
    </row>
    <row r="412" customHeight="1" spans="1:9">
      <c r="A412" s="91">
        <v>9</v>
      </c>
      <c r="B412" s="91" t="s">
        <v>224</v>
      </c>
      <c r="C412" s="91"/>
      <c r="D412" s="91" t="s">
        <v>206</v>
      </c>
      <c r="E412" s="91">
        <v>1</v>
      </c>
      <c r="F412" s="91">
        <v>0</v>
      </c>
      <c r="G412" s="85">
        <v>1</v>
      </c>
      <c r="H412" s="79">
        <f t="shared" si="39"/>
        <v>1</v>
      </c>
      <c r="I412" s="95" t="s">
        <v>208</v>
      </c>
    </row>
    <row r="413" customHeight="1" spans="1:9">
      <c r="A413" s="91">
        <v>10</v>
      </c>
      <c r="B413" s="91" t="s">
        <v>225</v>
      </c>
      <c r="C413" s="91"/>
      <c r="D413" s="91" t="s">
        <v>206</v>
      </c>
      <c r="E413" s="91">
        <v>1</v>
      </c>
      <c r="F413" s="91">
        <v>0</v>
      </c>
      <c r="G413" s="85">
        <v>1</v>
      </c>
      <c r="H413" s="79">
        <f t="shared" si="39"/>
        <v>1</v>
      </c>
      <c r="I413" s="95" t="s">
        <v>208</v>
      </c>
    </row>
    <row r="414" customHeight="1" spans="1:9">
      <c r="A414" s="91">
        <v>11</v>
      </c>
      <c r="B414" s="93" t="s">
        <v>226</v>
      </c>
      <c r="C414" s="94"/>
      <c r="D414" s="91" t="s">
        <v>206</v>
      </c>
      <c r="E414" s="91">
        <v>1</v>
      </c>
      <c r="F414" s="91">
        <v>0</v>
      </c>
      <c r="G414" s="85">
        <v>1.5</v>
      </c>
      <c r="H414" s="79">
        <f t="shared" si="39"/>
        <v>1.5</v>
      </c>
      <c r="I414" s="95" t="s">
        <v>208</v>
      </c>
    </row>
    <row r="415" customHeight="1" spans="1:9">
      <c r="A415" s="91">
        <v>12</v>
      </c>
      <c r="B415" s="91" t="s">
        <v>227</v>
      </c>
      <c r="C415" s="91"/>
      <c r="D415" s="91" t="s">
        <v>206</v>
      </c>
      <c r="E415" s="91">
        <v>1</v>
      </c>
      <c r="F415" s="91">
        <v>0</v>
      </c>
      <c r="G415" s="85">
        <v>0.5</v>
      </c>
      <c r="H415" s="79">
        <f t="shared" si="39"/>
        <v>0.5</v>
      </c>
      <c r="I415" s="95" t="s">
        <v>208</v>
      </c>
    </row>
    <row r="416" customHeight="1" spans="1:9">
      <c r="A416" s="91">
        <v>13</v>
      </c>
      <c r="B416" s="93" t="s">
        <v>228</v>
      </c>
      <c r="C416" s="94"/>
      <c r="D416" s="91" t="s">
        <v>6</v>
      </c>
      <c r="E416" s="93" t="s">
        <v>229</v>
      </c>
      <c r="F416" s="94"/>
      <c r="G416" s="95"/>
      <c r="H416" s="79">
        <f>H391+H395+H399+H405+H409+H410+H411+H412+H413+H415+H414+H397</f>
        <v>704.4316216</v>
      </c>
      <c r="I416" s="98" t="s">
        <v>230</v>
      </c>
    </row>
    <row r="417" customHeight="1" spans="1:9">
      <c r="A417" s="91">
        <v>14</v>
      </c>
      <c r="B417" s="93" t="s">
        <v>231</v>
      </c>
      <c r="C417" s="94"/>
      <c r="D417" s="91" t="s">
        <v>6</v>
      </c>
      <c r="E417" s="93" t="s">
        <v>232</v>
      </c>
      <c r="F417" s="94"/>
      <c r="G417" s="103">
        <v>2</v>
      </c>
      <c r="H417" s="79">
        <f>H416*(G417)</f>
        <v>1408.8632432</v>
      </c>
      <c r="I417" s="99"/>
    </row>
    <row r="418" customHeight="1" spans="1:9">
      <c r="A418" s="91">
        <v>15</v>
      </c>
      <c r="B418" s="93" t="s">
        <v>233</v>
      </c>
      <c r="C418" s="94"/>
      <c r="D418" s="91" t="s">
        <v>6</v>
      </c>
      <c r="E418" s="93" t="s">
        <v>234</v>
      </c>
      <c r="F418" s="94"/>
      <c r="G418" s="95"/>
      <c r="H418" s="79">
        <f>H416+H417</f>
        <v>2113.2948648</v>
      </c>
      <c r="I418" s="100">
        <f>H418</f>
        <v>2113.2948648</v>
      </c>
    </row>
    <row r="420" customHeight="1" spans="1:9">
      <c r="A420" s="76" t="s">
        <v>237</v>
      </c>
      <c r="E420" s="70"/>
      <c r="G420" s="70"/>
      <c r="H420" s="70"/>
      <c r="I420" s="70"/>
    </row>
    <row r="421" customHeight="1" spans="1:9">
      <c r="A421" s="9" t="s">
        <v>181</v>
      </c>
      <c r="B421" s="97"/>
      <c r="C421" s="97"/>
      <c r="D421" s="97"/>
      <c r="E421" s="9" t="s">
        <v>182</v>
      </c>
      <c r="F421" s="9" t="s">
        <v>157</v>
      </c>
      <c r="G421" s="9"/>
      <c r="H421" s="9" t="s">
        <v>183</v>
      </c>
      <c r="I421" s="9"/>
    </row>
    <row r="422" customHeight="1" spans="1:9">
      <c r="A422" s="9" t="s">
        <v>86</v>
      </c>
      <c r="B422" s="9"/>
      <c r="C422" s="9"/>
      <c r="D422" s="9"/>
      <c r="E422" s="9" t="s">
        <v>184</v>
      </c>
      <c r="F422" s="9"/>
      <c r="G422" s="9"/>
      <c r="H422" s="9"/>
      <c r="I422" s="9"/>
    </row>
    <row r="423" customHeight="1" spans="1:9">
      <c r="A423" s="13" t="s">
        <v>185</v>
      </c>
      <c r="B423" s="9">
        <v>0</v>
      </c>
      <c r="C423" s="13" t="s">
        <v>186</v>
      </c>
      <c r="D423" s="9">
        <v>0</v>
      </c>
      <c r="E423" s="9" t="s">
        <v>187</v>
      </c>
      <c r="F423" s="77">
        <v>0</v>
      </c>
      <c r="G423" s="11" t="s">
        <v>188</v>
      </c>
      <c r="H423" s="9"/>
      <c r="I423" s="9"/>
    </row>
    <row r="424" customHeight="1" spans="1:9">
      <c r="A424" s="13"/>
      <c r="B424" s="9"/>
      <c r="C424" s="13"/>
      <c r="D424" s="9"/>
      <c r="E424" s="9"/>
      <c r="F424" s="77">
        <v>0</v>
      </c>
      <c r="G424" s="12" t="s">
        <v>189</v>
      </c>
      <c r="H424" s="9"/>
      <c r="I424" s="9"/>
    </row>
    <row r="425" customHeight="1" spans="1:9">
      <c r="A425" s="9" t="s">
        <v>38</v>
      </c>
      <c r="B425" s="9" t="s">
        <v>190</v>
      </c>
      <c r="C425" s="9"/>
      <c r="D425" s="9" t="s">
        <v>191</v>
      </c>
      <c r="E425" s="9" t="s">
        <v>192</v>
      </c>
      <c r="F425" s="9" t="s">
        <v>193</v>
      </c>
      <c r="G425" s="11" t="s">
        <v>194</v>
      </c>
      <c r="H425" s="11" t="s">
        <v>195</v>
      </c>
      <c r="I425" s="12" t="s">
        <v>196</v>
      </c>
    </row>
    <row r="426" customHeight="1" spans="1:9">
      <c r="A426" s="78">
        <v>1</v>
      </c>
      <c r="B426" s="78" t="s">
        <v>197</v>
      </c>
      <c r="C426" s="78"/>
      <c r="D426" s="78"/>
      <c r="E426" s="78"/>
      <c r="F426" s="78"/>
      <c r="G426" s="78"/>
      <c r="H426" s="79">
        <f>SUM(H427:H429)</f>
        <v>98.18106</v>
      </c>
      <c r="I426" s="95"/>
    </row>
    <row r="427" customHeight="1" spans="1:9">
      <c r="A427" s="9">
        <v>1.1</v>
      </c>
      <c r="B427" s="80" t="s">
        <v>198</v>
      </c>
      <c r="C427" s="81"/>
      <c r="D427" s="9" t="s">
        <v>199</v>
      </c>
      <c r="E427" s="77">
        <v>0</v>
      </c>
      <c r="F427" s="82"/>
      <c r="G427" s="83"/>
      <c r="H427" s="83">
        <f t="shared" ref="H427:H429" si="40">E427*(1+F427)*G427</f>
        <v>0</v>
      </c>
      <c r="I427" s="11"/>
    </row>
    <row r="428" customHeight="1" spans="1:9">
      <c r="A428" s="9">
        <v>1.2</v>
      </c>
      <c r="B428" s="80" t="s">
        <v>249</v>
      </c>
      <c r="C428" s="81"/>
      <c r="D428" s="9" t="s">
        <v>199</v>
      </c>
      <c r="E428" s="77">
        <v>7.46</v>
      </c>
      <c r="F428" s="82">
        <v>0.07</v>
      </c>
      <c r="G428" s="83">
        <f>主要材料品牌单价!E$7/1000</f>
        <v>12.3</v>
      </c>
      <c r="H428" s="83">
        <f t="shared" si="40"/>
        <v>98.18106</v>
      </c>
      <c r="I428" s="11"/>
    </row>
    <row r="429" customHeight="1" spans="1:9">
      <c r="A429" s="9">
        <v>1.3</v>
      </c>
      <c r="B429" s="9" t="s">
        <v>200</v>
      </c>
      <c r="C429" s="9"/>
      <c r="D429" s="9" t="s">
        <v>199</v>
      </c>
      <c r="E429" s="77">
        <v>0</v>
      </c>
      <c r="F429" s="82"/>
      <c r="G429" s="83"/>
      <c r="H429" s="83">
        <f t="shared" si="40"/>
        <v>0</v>
      </c>
      <c r="I429" s="11"/>
    </row>
    <row r="430" customHeight="1" spans="1:9">
      <c r="A430" s="78">
        <v>2</v>
      </c>
      <c r="B430" s="78" t="s">
        <v>201</v>
      </c>
      <c r="C430" s="78"/>
      <c r="D430" s="78"/>
      <c r="E430" s="78"/>
      <c r="F430" s="78"/>
      <c r="G430" s="78"/>
      <c r="H430" s="84">
        <f>H431</f>
        <v>14.6652</v>
      </c>
      <c r="I430" s="95"/>
    </row>
    <row r="431" customHeight="1" spans="1:9">
      <c r="A431" s="9">
        <v>2.1</v>
      </c>
      <c r="B431" s="9" t="s">
        <v>202</v>
      </c>
      <c r="C431" s="9"/>
      <c r="D431" s="9" t="s">
        <v>203</v>
      </c>
      <c r="E431" s="83">
        <v>0.22</v>
      </c>
      <c r="F431" s="82">
        <v>0.01</v>
      </c>
      <c r="G431" s="83">
        <f>主要材料品牌单价!E21</f>
        <v>66</v>
      </c>
      <c r="H431" s="83">
        <f>E431*(1+F431)*G431</f>
        <v>14.6652</v>
      </c>
      <c r="I431" s="11"/>
    </row>
    <row r="432" customHeight="1" spans="1:9">
      <c r="A432" s="78">
        <v>3</v>
      </c>
      <c r="B432" s="78" t="s">
        <v>204</v>
      </c>
      <c r="C432" s="78"/>
      <c r="D432" s="78"/>
      <c r="E432" s="78"/>
      <c r="F432" s="78"/>
      <c r="G432" s="78"/>
      <c r="H432" s="79">
        <f>SUM(H433:H434)</f>
        <v>114.8435</v>
      </c>
      <c r="I432" s="95"/>
    </row>
    <row r="433" customHeight="1" spans="1:9">
      <c r="A433" s="9">
        <v>3.1</v>
      </c>
      <c r="B433" s="13" t="s">
        <v>250</v>
      </c>
      <c r="C433" s="13"/>
      <c r="D433" s="9" t="s">
        <v>206</v>
      </c>
      <c r="E433" s="83">
        <v>0.7</v>
      </c>
      <c r="F433" s="82">
        <v>0.003</v>
      </c>
      <c r="G433" s="11">
        <f>主要材料品牌单价!E32</f>
        <v>125</v>
      </c>
      <c r="H433" s="83">
        <f>E433*(1+F433)*G433</f>
        <v>87.7625</v>
      </c>
      <c r="I433" s="11"/>
    </row>
    <row r="434" customHeight="1" spans="1:9">
      <c r="A434" s="9">
        <v>3.2</v>
      </c>
      <c r="B434" s="101" t="s">
        <v>252</v>
      </c>
      <c r="C434" s="102"/>
      <c r="D434" s="9" t="s">
        <v>206</v>
      </c>
      <c r="E434" s="83">
        <v>0.2</v>
      </c>
      <c r="F434" s="82">
        <v>0.003</v>
      </c>
      <c r="G434" s="11">
        <f>主要材料品牌单价!E33</f>
        <v>135</v>
      </c>
      <c r="H434" s="83">
        <f>E434*(1+F434)*G434</f>
        <v>27.081</v>
      </c>
      <c r="I434" s="11"/>
    </row>
    <row r="435" customHeight="1" spans="1:9">
      <c r="A435" s="78">
        <v>4</v>
      </c>
      <c r="B435" s="78" t="s">
        <v>207</v>
      </c>
      <c r="C435" s="78"/>
      <c r="D435" s="78"/>
      <c r="E435" s="78"/>
      <c r="F435" s="78"/>
      <c r="G435" s="78"/>
      <c r="H435" s="79">
        <f>SUM(H436:H440)</f>
        <v>26.86</v>
      </c>
      <c r="I435" s="95" t="s">
        <v>208</v>
      </c>
    </row>
    <row r="436" customHeight="1" spans="1:9">
      <c r="A436" s="85">
        <v>4.1</v>
      </c>
      <c r="B436" s="9" t="s">
        <v>209</v>
      </c>
      <c r="C436" s="9"/>
      <c r="D436" s="9" t="s">
        <v>210</v>
      </c>
      <c r="E436" s="85">
        <v>0</v>
      </c>
      <c r="F436" s="85"/>
      <c r="G436" s="85">
        <f>主要材料品牌单价!E$44</f>
        <v>18.5</v>
      </c>
      <c r="H436" s="83">
        <f t="shared" ref="H435:H440" si="41">E436*(1+F436)*G436</f>
        <v>0</v>
      </c>
      <c r="I436" s="11"/>
    </row>
    <row r="437" customHeight="1" spans="1:9">
      <c r="A437" s="85">
        <v>4.2</v>
      </c>
      <c r="B437" s="80" t="s">
        <v>211</v>
      </c>
      <c r="C437" s="81"/>
      <c r="D437" s="9" t="s">
        <v>210</v>
      </c>
      <c r="E437" s="86">
        <v>1</v>
      </c>
      <c r="F437" s="85"/>
      <c r="G437" s="85">
        <f>主要材料品牌单价!E$43</f>
        <v>15.5</v>
      </c>
      <c r="H437" s="83">
        <f t="shared" si="41"/>
        <v>15.5</v>
      </c>
      <c r="I437" s="11"/>
    </row>
    <row r="438" customHeight="1" spans="1:9">
      <c r="A438" s="85">
        <v>4.3</v>
      </c>
      <c r="B438" s="80" t="s">
        <v>212</v>
      </c>
      <c r="C438" s="81"/>
      <c r="D438" s="9" t="s">
        <v>210</v>
      </c>
      <c r="E438" s="86">
        <v>0.2</v>
      </c>
      <c r="F438" s="85"/>
      <c r="G438" s="85">
        <f>主要材料品牌单价!E$45</f>
        <v>16.8</v>
      </c>
      <c r="H438" s="83">
        <f t="shared" si="41"/>
        <v>3.36</v>
      </c>
      <c r="I438" s="11"/>
    </row>
    <row r="439" customHeight="1" spans="1:9">
      <c r="A439" s="85">
        <v>4.4</v>
      </c>
      <c r="B439" s="87" t="s">
        <v>213</v>
      </c>
      <c r="C439" s="88"/>
      <c r="D439" s="9" t="s">
        <v>210</v>
      </c>
      <c r="E439" s="77">
        <v>0</v>
      </c>
      <c r="F439" s="9"/>
      <c r="G439" s="85">
        <f>主要材料品牌单价!E$46</f>
        <v>25</v>
      </c>
      <c r="H439" s="83">
        <f t="shared" si="41"/>
        <v>0</v>
      </c>
      <c r="I439" s="11"/>
    </row>
    <row r="440" customHeight="1" spans="1:9">
      <c r="A440" s="85">
        <v>4.5</v>
      </c>
      <c r="B440" s="27" t="s">
        <v>214</v>
      </c>
      <c r="C440" s="27"/>
      <c r="D440" s="9" t="s">
        <v>215</v>
      </c>
      <c r="E440" s="77">
        <v>1</v>
      </c>
      <c r="F440" s="9"/>
      <c r="G440" s="85">
        <v>8</v>
      </c>
      <c r="H440" s="83">
        <f t="shared" si="41"/>
        <v>8</v>
      </c>
      <c r="I440" s="11"/>
    </row>
    <row r="441" customHeight="1" spans="1:9">
      <c r="A441" s="78">
        <v>5</v>
      </c>
      <c r="B441" s="78" t="s">
        <v>216</v>
      </c>
      <c r="C441" s="78"/>
      <c r="D441" s="78"/>
      <c r="E441" s="78"/>
      <c r="F441" s="78"/>
      <c r="G441" s="78"/>
      <c r="H441" s="79">
        <f>SUM(H442:H444)</f>
        <v>14.7</v>
      </c>
      <c r="I441" s="95" t="s">
        <v>208</v>
      </c>
    </row>
    <row r="442" customHeight="1" spans="1:9">
      <c r="A442" s="85">
        <v>5.1</v>
      </c>
      <c r="B442" s="9" t="s">
        <v>217</v>
      </c>
      <c r="C442" s="9"/>
      <c r="D442" s="9" t="s">
        <v>218</v>
      </c>
      <c r="E442" s="86">
        <v>0.15</v>
      </c>
      <c r="F442" s="85"/>
      <c r="G442" s="85">
        <f>主要材料品牌单价!E$48</f>
        <v>18</v>
      </c>
      <c r="H442" s="83">
        <f t="shared" ref="H442:H451" si="42">E442*(1+F442)*G442</f>
        <v>2.7</v>
      </c>
      <c r="I442" s="11"/>
    </row>
    <row r="443" customHeight="1" spans="1:9">
      <c r="A443" s="85">
        <v>5.2</v>
      </c>
      <c r="B443" s="80" t="s">
        <v>219</v>
      </c>
      <c r="C443" s="81"/>
      <c r="D443" s="9" t="s">
        <v>215</v>
      </c>
      <c r="E443" s="86">
        <v>0</v>
      </c>
      <c r="F443" s="85"/>
      <c r="G443" s="85"/>
      <c r="H443" s="83">
        <f t="shared" si="42"/>
        <v>0</v>
      </c>
      <c r="I443" s="11"/>
    </row>
    <row r="444" customHeight="1" spans="1:9">
      <c r="A444" s="85">
        <v>5.3</v>
      </c>
      <c r="B444" s="89" t="s">
        <v>220</v>
      </c>
      <c r="C444" s="90"/>
      <c r="D444" s="91" t="s">
        <v>206</v>
      </c>
      <c r="E444" s="77">
        <v>12</v>
      </c>
      <c r="F444" s="9"/>
      <c r="G444" s="85"/>
      <c r="H444" s="83">
        <v>12</v>
      </c>
      <c r="I444" s="11" t="s">
        <v>253</v>
      </c>
    </row>
    <row r="445" customHeight="1" spans="1:9">
      <c r="A445" s="92">
        <v>6</v>
      </c>
      <c r="B445" s="91" t="s">
        <v>221</v>
      </c>
      <c r="C445" s="91"/>
      <c r="D445" s="91" t="s">
        <v>206</v>
      </c>
      <c r="E445" s="91">
        <v>1</v>
      </c>
      <c r="F445" s="78">
        <v>0</v>
      </c>
      <c r="G445" s="85">
        <v>65</v>
      </c>
      <c r="H445" s="79">
        <f t="shared" si="42"/>
        <v>65</v>
      </c>
      <c r="I445" s="95" t="s">
        <v>208</v>
      </c>
    </row>
    <row r="446" customHeight="1" spans="1:9">
      <c r="A446" s="78">
        <v>7</v>
      </c>
      <c r="B446" s="93" t="s">
        <v>222</v>
      </c>
      <c r="C446" s="94"/>
      <c r="D446" s="91" t="s">
        <v>206</v>
      </c>
      <c r="E446" s="91">
        <v>1</v>
      </c>
      <c r="F446" s="78">
        <v>0</v>
      </c>
      <c r="G446" s="85">
        <v>75</v>
      </c>
      <c r="H446" s="79">
        <f t="shared" si="42"/>
        <v>75</v>
      </c>
      <c r="I446" s="95" t="s">
        <v>208</v>
      </c>
    </row>
    <row r="447" customHeight="1" spans="1:9">
      <c r="A447" s="78">
        <v>8</v>
      </c>
      <c r="B447" s="91" t="s">
        <v>223</v>
      </c>
      <c r="C447" s="91"/>
      <c r="D447" s="91" t="s">
        <v>206</v>
      </c>
      <c r="E447" s="91">
        <v>1</v>
      </c>
      <c r="F447" s="78">
        <v>0</v>
      </c>
      <c r="G447" s="85">
        <v>8</v>
      </c>
      <c r="H447" s="79">
        <f t="shared" si="42"/>
        <v>8</v>
      </c>
      <c r="I447" s="95" t="s">
        <v>208</v>
      </c>
    </row>
    <row r="448" customHeight="1" spans="1:9">
      <c r="A448" s="91">
        <v>9</v>
      </c>
      <c r="B448" s="91" t="s">
        <v>224</v>
      </c>
      <c r="C448" s="91"/>
      <c r="D448" s="91" t="s">
        <v>206</v>
      </c>
      <c r="E448" s="91">
        <v>1</v>
      </c>
      <c r="F448" s="91">
        <v>0</v>
      </c>
      <c r="G448" s="85">
        <v>1</v>
      </c>
      <c r="H448" s="79">
        <f t="shared" si="42"/>
        <v>1</v>
      </c>
      <c r="I448" s="95" t="s">
        <v>208</v>
      </c>
    </row>
    <row r="449" customHeight="1" spans="1:9">
      <c r="A449" s="91">
        <v>10</v>
      </c>
      <c r="B449" s="91" t="s">
        <v>225</v>
      </c>
      <c r="C449" s="91"/>
      <c r="D449" s="91" t="s">
        <v>206</v>
      </c>
      <c r="E449" s="91">
        <v>1</v>
      </c>
      <c r="F449" s="91">
        <v>0</v>
      </c>
      <c r="G449" s="85">
        <v>1</v>
      </c>
      <c r="H449" s="79">
        <f t="shared" si="42"/>
        <v>1</v>
      </c>
      <c r="I449" s="95" t="s">
        <v>208</v>
      </c>
    </row>
    <row r="450" customHeight="1" spans="1:9">
      <c r="A450" s="91">
        <v>11</v>
      </c>
      <c r="B450" s="93" t="s">
        <v>226</v>
      </c>
      <c r="C450" s="94"/>
      <c r="D450" s="91" t="s">
        <v>206</v>
      </c>
      <c r="E450" s="91">
        <v>1</v>
      </c>
      <c r="F450" s="91">
        <v>0</v>
      </c>
      <c r="G450" s="85">
        <v>1.5</v>
      </c>
      <c r="H450" s="79">
        <f t="shared" si="42"/>
        <v>1.5</v>
      </c>
      <c r="I450" s="95" t="s">
        <v>208</v>
      </c>
    </row>
    <row r="451" customHeight="1" spans="1:9">
      <c r="A451" s="91">
        <v>12</v>
      </c>
      <c r="B451" s="91" t="s">
        <v>227</v>
      </c>
      <c r="C451" s="91"/>
      <c r="D451" s="91" t="s">
        <v>206</v>
      </c>
      <c r="E451" s="91">
        <v>1</v>
      </c>
      <c r="F451" s="91">
        <v>0</v>
      </c>
      <c r="G451" s="85">
        <v>0.5</v>
      </c>
      <c r="H451" s="79">
        <f t="shared" si="42"/>
        <v>0.5</v>
      </c>
      <c r="I451" s="95" t="s">
        <v>208</v>
      </c>
    </row>
    <row r="452" customHeight="1" spans="1:9">
      <c r="A452" s="91">
        <v>13</v>
      </c>
      <c r="B452" s="93" t="s">
        <v>228</v>
      </c>
      <c r="C452" s="94"/>
      <c r="D452" s="91" t="s">
        <v>6</v>
      </c>
      <c r="E452" s="93" t="s">
        <v>229</v>
      </c>
      <c r="F452" s="94"/>
      <c r="G452" s="95"/>
      <c r="H452" s="79">
        <f>H426+H430+H435+H441+H445+H446+H447+H448+H449+H451+H450+H432</f>
        <v>421.24976</v>
      </c>
      <c r="I452" s="98" t="s">
        <v>230</v>
      </c>
    </row>
    <row r="453" customHeight="1" spans="1:9">
      <c r="A453" s="91">
        <v>14</v>
      </c>
      <c r="B453" s="93" t="s">
        <v>231</v>
      </c>
      <c r="C453" s="94"/>
      <c r="D453" s="91" t="s">
        <v>6</v>
      </c>
      <c r="E453" s="93" t="s">
        <v>235</v>
      </c>
      <c r="F453" s="94"/>
      <c r="G453" s="96">
        <v>0.12</v>
      </c>
      <c r="H453" s="79">
        <f>H452*(G453)</f>
        <v>50.5499712</v>
      </c>
      <c r="I453" s="99"/>
    </row>
    <row r="454" customHeight="1" spans="1:9">
      <c r="A454" s="91">
        <v>15</v>
      </c>
      <c r="B454" s="93" t="s">
        <v>233</v>
      </c>
      <c r="C454" s="94"/>
      <c r="D454" s="91" t="s">
        <v>6</v>
      </c>
      <c r="E454" s="93" t="s">
        <v>234</v>
      </c>
      <c r="F454" s="94"/>
      <c r="G454" s="95"/>
      <c r="H454" s="79">
        <f>H452+H453</f>
        <v>471.7997312</v>
      </c>
      <c r="I454" s="100">
        <f>H454</f>
        <v>471.7997312</v>
      </c>
    </row>
    <row r="456" customHeight="1" spans="1:9">
      <c r="A456" s="76" t="s">
        <v>237</v>
      </c>
      <c r="E456" s="70"/>
      <c r="G456" s="70"/>
      <c r="H456" s="70"/>
      <c r="I456" s="70"/>
    </row>
    <row r="457" customHeight="1" spans="1:9">
      <c r="A457" s="9" t="s">
        <v>181</v>
      </c>
      <c r="B457" s="97"/>
      <c r="C457" s="97"/>
      <c r="D457" s="97"/>
      <c r="E457" s="9" t="s">
        <v>182</v>
      </c>
      <c r="F457" s="9" t="s">
        <v>165</v>
      </c>
      <c r="G457" s="9"/>
      <c r="H457" s="9" t="s">
        <v>183</v>
      </c>
      <c r="I457" s="9"/>
    </row>
    <row r="458" customHeight="1" spans="1:9">
      <c r="A458" s="9" t="s">
        <v>86</v>
      </c>
      <c r="B458" s="9"/>
      <c r="C458" s="9"/>
      <c r="D458" s="9"/>
      <c r="E458" s="9" t="s">
        <v>184</v>
      </c>
      <c r="F458" s="9"/>
      <c r="G458" s="9"/>
      <c r="H458" s="9"/>
      <c r="I458" s="9"/>
    </row>
    <row r="459" customHeight="1" spans="1:9">
      <c r="A459" s="13" t="s">
        <v>185</v>
      </c>
      <c r="B459" s="9">
        <v>0</v>
      </c>
      <c r="C459" s="13" t="s">
        <v>186</v>
      </c>
      <c r="D459" s="9">
        <v>0</v>
      </c>
      <c r="E459" s="9" t="s">
        <v>187</v>
      </c>
      <c r="F459" s="77">
        <v>0</v>
      </c>
      <c r="G459" s="11" t="s">
        <v>188</v>
      </c>
      <c r="H459" s="9"/>
      <c r="I459" s="9"/>
    </row>
    <row r="460" customHeight="1" spans="1:9">
      <c r="A460" s="13"/>
      <c r="B460" s="9"/>
      <c r="C460" s="13"/>
      <c r="D460" s="9"/>
      <c r="E460" s="9"/>
      <c r="F460" s="77">
        <v>0</v>
      </c>
      <c r="G460" s="12" t="s">
        <v>189</v>
      </c>
      <c r="H460" s="9"/>
      <c r="I460" s="9"/>
    </row>
    <row r="461" customHeight="1" spans="1:9">
      <c r="A461" s="9" t="s">
        <v>38</v>
      </c>
      <c r="B461" s="9" t="s">
        <v>190</v>
      </c>
      <c r="C461" s="9"/>
      <c r="D461" s="9" t="s">
        <v>191</v>
      </c>
      <c r="E461" s="9" t="s">
        <v>192</v>
      </c>
      <c r="F461" s="9" t="s">
        <v>193</v>
      </c>
      <c r="G461" s="11" t="s">
        <v>194</v>
      </c>
      <c r="H461" s="11" t="s">
        <v>195</v>
      </c>
      <c r="I461" s="12" t="s">
        <v>196</v>
      </c>
    </row>
    <row r="462" customHeight="1" spans="1:9">
      <c r="A462" s="78">
        <v>1</v>
      </c>
      <c r="B462" s="78" t="s">
        <v>197</v>
      </c>
      <c r="C462" s="78"/>
      <c r="D462" s="78"/>
      <c r="E462" s="78"/>
      <c r="F462" s="78"/>
      <c r="G462" s="78"/>
      <c r="H462" s="79">
        <f>SUM(H463:H465)</f>
        <v>271.98758</v>
      </c>
      <c r="I462" s="95"/>
    </row>
    <row r="463" customHeight="1" spans="1:9">
      <c r="A463" s="9">
        <v>1.1</v>
      </c>
      <c r="B463" s="80" t="s">
        <v>239</v>
      </c>
      <c r="C463" s="81"/>
      <c r="D463" s="9" t="s">
        <v>199</v>
      </c>
      <c r="E463" s="77"/>
      <c r="F463" s="82"/>
      <c r="G463" s="83"/>
      <c r="H463" s="83">
        <f t="shared" ref="H463:H465" si="43">E463*(1+F463)*G463</f>
        <v>0</v>
      </c>
      <c r="I463" s="11"/>
    </row>
    <row r="464" customHeight="1" spans="1:9">
      <c r="A464" s="9">
        <v>1.2</v>
      </c>
      <c r="B464" s="80" t="s">
        <v>198</v>
      </c>
      <c r="C464" s="81"/>
      <c r="D464" s="9" t="s">
        <v>199</v>
      </c>
      <c r="E464" s="77">
        <v>8.53</v>
      </c>
      <c r="F464" s="82">
        <v>0.07</v>
      </c>
      <c r="G464" s="83">
        <f>主要材料品牌单价!E$5/1000</f>
        <v>29.8</v>
      </c>
      <c r="H464" s="83">
        <f t="shared" si="43"/>
        <v>271.98758</v>
      </c>
      <c r="I464" s="11"/>
    </row>
    <row r="465" customHeight="1" spans="1:9">
      <c r="A465" s="9">
        <v>1.3</v>
      </c>
      <c r="B465" s="9" t="s">
        <v>200</v>
      </c>
      <c r="C465" s="9"/>
      <c r="D465" s="9" t="s">
        <v>199</v>
      </c>
      <c r="E465" s="77"/>
      <c r="F465" s="82"/>
      <c r="G465" s="83"/>
      <c r="H465" s="83">
        <f t="shared" si="43"/>
        <v>0</v>
      </c>
      <c r="I465" s="11"/>
    </row>
    <row r="466" customHeight="1" spans="1:9">
      <c r="A466" s="78">
        <v>2</v>
      </c>
      <c r="B466" s="78" t="s">
        <v>201</v>
      </c>
      <c r="C466" s="78"/>
      <c r="D466" s="78"/>
      <c r="E466" s="78"/>
      <c r="F466" s="78"/>
      <c r="G466" s="78"/>
      <c r="H466" s="84">
        <f>H467</f>
        <v>103.02</v>
      </c>
      <c r="I466" s="95"/>
    </row>
    <row r="467" customHeight="1" spans="1:9">
      <c r="A467" s="9">
        <v>2.1</v>
      </c>
      <c r="B467" s="9" t="s">
        <v>202</v>
      </c>
      <c r="C467" s="9"/>
      <c r="D467" s="9" t="s">
        <v>203</v>
      </c>
      <c r="E467" s="83">
        <v>0.2</v>
      </c>
      <c r="F467" s="82">
        <v>0.01</v>
      </c>
      <c r="G467" s="83">
        <f>主要材料品牌单价!E25</f>
        <v>510</v>
      </c>
      <c r="H467" s="83">
        <f>E467*(1+F467)*G467</f>
        <v>103.02</v>
      </c>
      <c r="I467" s="11"/>
    </row>
    <row r="468" customHeight="1" spans="1:9">
      <c r="A468" s="78">
        <v>3</v>
      </c>
      <c r="B468" s="78" t="s">
        <v>204</v>
      </c>
      <c r="C468" s="78"/>
      <c r="D468" s="78"/>
      <c r="E468" s="78"/>
      <c r="F468" s="78"/>
      <c r="G468" s="78"/>
      <c r="H468" s="84">
        <f>H469</f>
        <v>121.8645</v>
      </c>
      <c r="I468" s="95"/>
    </row>
    <row r="469" customHeight="1" spans="1:9">
      <c r="A469" s="9">
        <v>3.1</v>
      </c>
      <c r="B469" s="13" t="s">
        <v>252</v>
      </c>
      <c r="C469" s="13"/>
      <c r="D469" s="9" t="s">
        <v>206</v>
      </c>
      <c r="E469" s="83">
        <v>0.9</v>
      </c>
      <c r="F469" s="82">
        <v>0.003</v>
      </c>
      <c r="G469" s="11">
        <f>主要材料品牌单价!E33</f>
        <v>135</v>
      </c>
      <c r="H469" s="83">
        <f t="shared" ref="H469:H475" si="44">E469*(1+F469)*G469</f>
        <v>121.8645</v>
      </c>
      <c r="I469" s="11"/>
    </row>
    <row r="470" customHeight="1" spans="1:9">
      <c r="A470" s="78">
        <v>4</v>
      </c>
      <c r="B470" s="78" t="s">
        <v>207</v>
      </c>
      <c r="C470" s="78"/>
      <c r="D470" s="78"/>
      <c r="E470" s="78"/>
      <c r="F470" s="78"/>
      <c r="G470" s="78"/>
      <c r="H470" s="79">
        <f>SUM(H471:H475)</f>
        <v>32.36</v>
      </c>
      <c r="I470" s="95" t="s">
        <v>208</v>
      </c>
    </row>
    <row r="471" customHeight="1" spans="1:9">
      <c r="A471" s="85">
        <v>4.1</v>
      </c>
      <c r="B471" s="9" t="s">
        <v>209</v>
      </c>
      <c r="C471" s="9"/>
      <c r="D471" s="9" t="s">
        <v>210</v>
      </c>
      <c r="E471" s="85">
        <v>0.8</v>
      </c>
      <c r="F471" s="85"/>
      <c r="G471" s="85">
        <f>主要材料品牌单价!E$44</f>
        <v>18.5</v>
      </c>
      <c r="H471" s="83">
        <f t="shared" si="44"/>
        <v>14.8</v>
      </c>
      <c r="I471" s="11"/>
    </row>
    <row r="472" customHeight="1" spans="1:9">
      <c r="A472" s="85">
        <v>4.2</v>
      </c>
      <c r="B472" s="80" t="s">
        <v>211</v>
      </c>
      <c r="C472" s="81"/>
      <c r="D472" s="9" t="s">
        <v>210</v>
      </c>
      <c r="E472" s="86">
        <v>0.4</v>
      </c>
      <c r="F472" s="85"/>
      <c r="G472" s="85">
        <f>主要材料品牌单价!E$43</f>
        <v>15.5</v>
      </c>
      <c r="H472" s="83">
        <f t="shared" si="44"/>
        <v>6.2</v>
      </c>
      <c r="I472" s="11"/>
    </row>
    <row r="473" customHeight="1" spans="1:9">
      <c r="A473" s="85">
        <v>4.3</v>
      </c>
      <c r="B473" s="80" t="s">
        <v>212</v>
      </c>
      <c r="C473" s="81"/>
      <c r="D473" s="9" t="s">
        <v>210</v>
      </c>
      <c r="E473" s="86">
        <v>0.2</v>
      </c>
      <c r="F473" s="85"/>
      <c r="G473" s="85">
        <f>主要材料品牌单价!E$45</f>
        <v>16.8</v>
      </c>
      <c r="H473" s="83">
        <f t="shared" si="44"/>
        <v>3.36</v>
      </c>
      <c r="I473" s="11"/>
    </row>
    <row r="474" customHeight="1" spans="1:9">
      <c r="A474" s="85">
        <v>4.4</v>
      </c>
      <c r="B474" s="87" t="s">
        <v>213</v>
      </c>
      <c r="C474" s="88"/>
      <c r="D474" s="9" t="s">
        <v>210</v>
      </c>
      <c r="E474" s="77">
        <v>0</v>
      </c>
      <c r="F474" s="9"/>
      <c r="G474" s="85">
        <f>主要材料品牌单价!E$46</f>
        <v>25</v>
      </c>
      <c r="H474" s="83">
        <f t="shared" si="44"/>
        <v>0</v>
      </c>
      <c r="I474" s="11"/>
    </row>
    <row r="475" customHeight="1" spans="1:9">
      <c r="A475" s="85">
        <v>4.5</v>
      </c>
      <c r="B475" s="27" t="s">
        <v>214</v>
      </c>
      <c r="C475" s="27"/>
      <c r="D475" s="9" t="s">
        <v>215</v>
      </c>
      <c r="E475" s="77">
        <v>1</v>
      </c>
      <c r="F475" s="9"/>
      <c r="G475" s="85">
        <v>8</v>
      </c>
      <c r="H475" s="83">
        <f t="shared" si="44"/>
        <v>8</v>
      </c>
      <c r="I475" s="11"/>
    </row>
    <row r="476" customHeight="1" spans="1:9">
      <c r="A476" s="78">
        <v>5</v>
      </c>
      <c r="B476" s="78" t="s">
        <v>216</v>
      </c>
      <c r="C476" s="78"/>
      <c r="D476" s="78"/>
      <c r="E476" s="78"/>
      <c r="F476" s="78"/>
      <c r="G476" s="78"/>
      <c r="H476" s="79">
        <f>SUM(H477:H479)</f>
        <v>20.9</v>
      </c>
      <c r="I476" s="95" t="s">
        <v>208</v>
      </c>
    </row>
    <row r="477" customHeight="1" spans="1:9">
      <c r="A477" s="85">
        <v>5.1</v>
      </c>
      <c r="B477" s="9" t="s">
        <v>217</v>
      </c>
      <c r="C477" s="9"/>
      <c r="D477" s="9" t="s">
        <v>218</v>
      </c>
      <c r="E477" s="86">
        <v>0.15</v>
      </c>
      <c r="F477" s="85"/>
      <c r="G477" s="85">
        <f>主要材料品牌单价!E$48</f>
        <v>18</v>
      </c>
      <c r="H477" s="83">
        <f t="shared" ref="H477:H486" si="45">E477*(1+F477)*G477</f>
        <v>2.7</v>
      </c>
      <c r="I477" s="11"/>
    </row>
    <row r="478" customHeight="1" spans="1:9">
      <c r="A478" s="85">
        <v>5.2</v>
      </c>
      <c r="B478" s="80" t="s">
        <v>219</v>
      </c>
      <c r="C478" s="81"/>
      <c r="D478" s="9" t="s">
        <v>215</v>
      </c>
      <c r="E478" s="86">
        <v>12</v>
      </c>
      <c r="F478" s="85"/>
      <c r="G478" s="85">
        <f>主要材料品牌单价!E49</f>
        <v>0.85</v>
      </c>
      <c r="H478" s="83">
        <f t="shared" si="45"/>
        <v>10.2</v>
      </c>
      <c r="I478" s="11"/>
    </row>
    <row r="479" customHeight="1" spans="1:9">
      <c r="A479" s="85">
        <v>5.3</v>
      </c>
      <c r="B479" s="89" t="s">
        <v>220</v>
      </c>
      <c r="C479" s="90"/>
      <c r="D479" s="91" t="s">
        <v>206</v>
      </c>
      <c r="E479" s="77">
        <v>8</v>
      </c>
      <c r="F479" s="9"/>
      <c r="G479" s="85"/>
      <c r="H479" s="83">
        <v>8</v>
      </c>
      <c r="I479" s="11"/>
    </row>
    <row r="480" customHeight="1" spans="1:9">
      <c r="A480" s="92">
        <v>6</v>
      </c>
      <c r="B480" s="91" t="s">
        <v>221</v>
      </c>
      <c r="C480" s="91"/>
      <c r="D480" s="91" t="s">
        <v>206</v>
      </c>
      <c r="E480" s="91">
        <v>1</v>
      </c>
      <c r="F480" s="78">
        <v>0</v>
      </c>
      <c r="G480" s="85">
        <v>65</v>
      </c>
      <c r="H480" s="79">
        <f t="shared" si="45"/>
        <v>65</v>
      </c>
      <c r="I480" s="95" t="s">
        <v>208</v>
      </c>
    </row>
    <row r="481" customHeight="1" spans="1:9">
      <c r="A481" s="78">
        <v>7</v>
      </c>
      <c r="B481" s="93" t="s">
        <v>222</v>
      </c>
      <c r="C481" s="94"/>
      <c r="D481" s="91" t="s">
        <v>206</v>
      </c>
      <c r="E481" s="91">
        <v>1</v>
      </c>
      <c r="F481" s="78">
        <v>0</v>
      </c>
      <c r="G481" s="85">
        <v>75</v>
      </c>
      <c r="H481" s="79">
        <f t="shared" si="45"/>
        <v>75</v>
      </c>
      <c r="I481" s="95" t="s">
        <v>208</v>
      </c>
    </row>
    <row r="482" customHeight="1" spans="1:9">
      <c r="A482" s="78">
        <v>8</v>
      </c>
      <c r="B482" s="91" t="s">
        <v>223</v>
      </c>
      <c r="C482" s="91"/>
      <c r="D482" s="91" t="s">
        <v>206</v>
      </c>
      <c r="E482" s="91">
        <v>1</v>
      </c>
      <c r="F482" s="78">
        <v>0</v>
      </c>
      <c r="G482" s="85">
        <v>8</v>
      </c>
      <c r="H482" s="79">
        <f t="shared" si="45"/>
        <v>8</v>
      </c>
      <c r="I482" s="95" t="s">
        <v>208</v>
      </c>
    </row>
    <row r="483" customHeight="1" spans="1:9">
      <c r="A483" s="91">
        <v>9</v>
      </c>
      <c r="B483" s="91" t="s">
        <v>224</v>
      </c>
      <c r="C483" s="91"/>
      <c r="D483" s="91" t="s">
        <v>206</v>
      </c>
      <c r="E483" s="91">
        <v>1</v>
      </c>
      <c r="F483" s="91">
        <v>0</v>
      </c>
      <c r="G483" s="85">
        <v>1</v>
      </c>
      <c r="H483" s="79">
        <f t="shared" si="45"/>
        <v>1</v>
      </c>
      <c r="I483" s="95" t="s">
        <v>208</v>
      </c>
    </row>
    <row r="484" customHeight="1" spans="1:9">
      <c r="A484" s="91">
        <v>10</v>
      </c>
      <c r="B484" s="91" t="s">
        <v>225</v>
      </c>
      <c r="C484" s="91"/>
      <c r="D484" s="91" t="s">
        <v>206</v>
      </c>
      <c r="E484" s="91">
        <v>1</v>
      </c>
      <c r="F484" s="91">
        <v>0</v>
      </c>
      <c r="G484" s="85">
        <v>1</v>
      </c>
      <c r="H484" s="79">
        <f t="shared" si="45"/>
        <v>1</v>
      </c>
      <c r="I484" s="95" t="s">
        <v>208</v>
      </c>
    </row>
    <row r="485" customHeight="1" spans="1:9">
      <c r="A485" s="91">
        <v>11</v>
      </c>
      <c r="B485" s="93" t="s">
        <v>226</v>
      </c>
      <c r="C485" s="94"/>
      <c r="D485" s="91" t="s">
        <v>206</v>
      </c>
      <c r="E485" s="91">
        <v>1</v>
      </c>
      <c r="F485" s="91">
        <v>0</v>
      </c>
      <c r="G485" s="85">
        <v>1.5</v>
      </c>
      <c r="H485" s="79">
        <f t="shared" si="45"/>
        <v>1.5</v>
      </c>
      <c r="I485" s="95" t="s">
        <v>208</v>
      </c>
    </row>
    <row r="486" customHeight="1" spans="1:9">
      <c r="A486" s="91">
        <v>12</v>
      </c>
      <c r="B486" s="91" t="s">
        <v>227</v>
      </c>
      <c r="C486" s="91"/>
      <c r="D486" s="91" t="s">
        <v>206</v>
      </c>
      <c r="E486" s="91">
        <v>1</v>
      </c>
      <c r="F486" s="91">
        <v>0</v>
      </c>
      <c r="G486" s="85">
        <v>0.5</v>
      </c>
      <c r="H486" s="79">
        <f t="shared" si="45"/>
        <v>0.5</v>
      </c>
      <c r="I486" s="95" t="s">
        <v>208</v>
      </c>
    </row>
    <row r="487" customHeight="1" spans="1:9">
      <c r="A487" s="91">
        <v>13</v>
      </c>
      <c r="B487" s="93" t="s">
        <v>228</v>
      </c>
      <c r="C487" s="94"/>
      <c r="D487" s="91" t="s">
        <v>6</v>
      </c>
      <c r="E487" s="93" t="s">
        <v>229</v>
      </c>
      <c r="F487" s="94"/>
      <c r="G487" s="95"/>
      <c r="H487" s="79">
        <f>H462+H466+H470+H476+H480+H481+H482+H483+H484+H486+H485+H468</f>
        <v>702.13208</v>
      </c>
      <c r="I487" s="98" t="s">
        <v>230</v>
      </c>
    </row>
    <row r="488" customHeight="1" spans="1:9">
      <c r="A488" s="91">
        <v>14</v>
      </c>
      <c r="B488" s="93" t="s">
        <v>231</v>
      </c>
      <c r="C488" s="94"/>
      <c r="D488" s="91" t="s">
        <v>6</v>
      </c>
      <c r="E488" s="93" t="s">
        <v>235</v>
      </c>
      <c r="F488" s="94"/>
      <c r="G488" s="96">
        <v>0.12</v>
      </c>
      <c r="H488" s="79">
        <f>H487*(G488)</f>
        <v>84.2558496</v>
      </c>
      <c r="I488" s="99"/>
    </row>
    <row r="489" customHeight="1" spans="1:9">
      <c r="A489" s="91">
        <v>15</v>
      </c>
      <c r="B489" s="93" t="s">
        <v>233</v>
      </c>
      <c r="C489" s="94"/>
      <c r="D489" s="91" t="s">
        <v>6</v>
      </c>
      <c r="E489" s="93" t="s">
        <v>234</v>
      </c>
      <c r="F489" s="94"/>
      <c r="G489" s="95"/>
      <c r="H489" s="79">
        <f>H487+H488</f>
        <v>786.3879296</v>
      </c>
      <c r="I489" s="100">
        <f>H489</f>
        <v>786.3879296</v>
      </c>
    </row>
    <row r="492" customHeight="1" spans="1:9">
      <c r="A492" s="76" t="s">
        <v>237</v>
      </c>
      <c r="E492" s="70"/>
      <c r="G492" s="70"/>
      <c r="H492" s="70"/>
      <c r="I492" s="70"/>
    </row>
    <row r="493" customHeight="1" spans="1:9">
      <c r="A493" s="9" t="s">
        <v>181</v>
      </c>
      <c r="B493" s="97"/>
      <c r="C493" s="97"/>
      <c r="D493" s="97"/>
      <c r="E493" s="9" t="s">
        <v>182</v>
      </c>
      <c r="F493" s="13" t="s">
        <v>176</v>
      </c>
      <c r="G493" s="13"/>
      <c r="H493" s="9" t="s">
        <v>183</v>
      </c>
      <c r="I493" s="9"/>
    </row>
    <row r="494" customHeight="1" spans="1:9">
      <c r="A494" s="9" t="s">
        <v>86</v>
      </c>
      <c r="B494" s="9"/>
      <c r="C494" s="9"/>
      <c r="D494" s="9"/>
      <c r="E494" s="9" t="s">
        <v>184</v>
      </c>
      <c r="F494" s="9"/>
      <c r="G494" s="9"/>
      <c r="H494" s="9"/>
      <c r="I494" s="9"/>
    </row>
    <row r="495" customHeight="1" spans="1:9">
      <c r="A495" s="13" t="s">
        <v>185</v>
      </c>
      <c r="B495" s="9">
        <v>0</v>
      </c>
      <c r="C495" s="13" t="s">
        <v>186</v>
      </c>
      <c r="D495" s="9">
        <v>0</v>
      </c>
      <c r="E495" s="9" t="s">
        <v>187</v>
      </c>
      <c r="F495" s="77">
        <v>0</v>
      </c>
      <c r="G495" s="11" t="s">
        <v>188</v>
      </c>
      <c r="H495" s="9"/>
      <c r="I495" s="9"/>
    </row>
    <row r="496" customHeight="1" spans="1:9">
      <c r="A496" s="13"/>
      <c r="B496" s="9"/>
      <c r="C496" s="13"/>
      <c r="D496" s="9"/>
      <c r="E496" s="9"/>
      <c r="F496" s="77">
        <v>0</v>
      </c>
      <c r="G496" s="12" t="s">
        <v>189</v>
      </c>
      <c r="H496" s="9"/>
      <c r="I496" s="9"/>
    </row>
    <row r="497" customHeight="1" spans="1:9">
      <c r="A497" s="9" t="s">
        <v>38</v>
      </c>
      <c r="B497" s="9" t="s">
        <v>190</v>
      </c>
      <c r="C497" s="9"/>
      <c r="D497" s="9" t="s">
        <v>191</v>
      </c>
      <c r="E497" s="9" t="s">
        <v>192</v>
      </c>
      <c r="F497" s="9" t="s">
        <v>193</v>
      </c>
      <c r="G497" s="11" t="s">
        <v>194</v>
      </c>
      <c r="H497" s="11" t="s">
        <v>195</v>
      </c>
      <c r="I497" s="12" t="s">
        <v>196</v>
      </c>
    </row>
    <row r="498" customHeight="1" spans="1:9">
      <c r="A498" s="78">
        <v>1</v>
      </c>
      <c r="B498" s="78" t="s">
        <v>197</v>
      </c>
      <c r="C498" s="78"/>
      <c r="D498" s="78"/>
      <c r="E498" s="78"/>
      <c r="F498" s="78"/>
      <c r="G498" s="78"/>
      <c r="H498" s="79">
        <f>SUM(H499:H501)</f>
        <v>290.268316</v>
      </c>
      <c r="I498" s="95"/>
    </row>
    <row r="499" customHeight="1" spans="1:9">
      <c r="A499" s="9">
        <v>1.1</v>
      </c>
      <c r="B499" s="80" t="s">
        <v>239</v>
      </c>
      <c r="C499" s="81"/>
      <c r="D499" s="9" t="s">
        <v>199</v>
      </c>
      <c r="E499" s="77">
        <v>8.45</v>
      </c>
      <c r="F499" s="82">
        <v>0.07</v>
      </c>
      <c r="G499" s="83">
        <f>主要材料品牌单价!E$5/1000</f>
        <v>29.8</v>
      </c>
      <c r="H499" s="83">
        <f t="shared" ref="H499:H501" si="46">E499*(1+F499)*G499</f>
        <v>269.4367</v>
      </c>
      <c r="I499" s="11"/>
    </row>
    <row r="500" customHeight="1" spans="1:9">
      <c r="A500" s="9">
        <v>1.2</v>
      </c>
      <c r="B500" s="80" t="s">
        <v>198</v>
      </c>
      <c r="C500" s="81"/>
      <c r="D500" s="9" t="s">
        <v>199</v>
      </c>
      <c r="E500" s="77"/>
      <c r="F500" s="82">
        <v>0.07</v>
      </c>
      <c r="G500" s="83"/>
      <c r="H500" s="83">
        <f t="shared" si="46"/>
        <v>0</v>
      </c>
      <c r="I500" s="11"/>
    </row>
    <row r="501" customHeight="1" spans="1:9">
      <c r="A501" s="9">
        <v>1.3</v>
      </c>
      <c r="B501" s="9" t="s">
        <v>200</v>
      </c>
      <c r="C501" s="9"/>
      <c r="D501" s="9" t="s">
        <v>199</v>
      </c>
      <c r="E501" s="77">
        <f>E499*0.08</f>
        <v>0.676</v>
      </c>
      <c r="F501" s="82">
        <v>0.07</v>
      </c>
      <c r="G501" s="83">
        <f>(主要材料品牌单价!E$5-1000)/1000</f>
        <v>28.8</v>
      </c>
      <c r="H501" s="83">
        <f t="shared" si="46"/>
        <v>20.831616</v>
      </c>
      <c r="I501" s="11"/>
    </row>
    <row r="502" customHeight="1" spans="1:9">
      <c r="A502" s="78">
        <v>2</v>
      </c>
      <c r="B502" s="78" t="s">
        <v>201</v>
      </c>
      <c r="C502" s="78"/>
      <c r="D502" s="78"/>
      <c r="E502" s="78"/>
      <c r="F502" s="78"/>
      <c r="G502" s="78"/>
      <c r="H502" s="84">
        <f>H503</f>
        <v>7.4336</v>
      </c>
      <c r="I502" s="95"/>
    </row>
    <row r="503" customHeight="1" spans="1:9">
      <c r="A503" s="9">
        <v>2.1</v>
      </c>
      <c r="B503" s="9" t="s">
        <v>202</v>
      </c>
      <c r="C503" s="9"/>
      <c r="D503" s="9" t="s">
        <v>203</v>
      </c>
      <c r="E503" s="83">
        <v>0.08</v>
      </c>
      <c r="F503" s="82">
        <v>0.01</v>
      </c>
      <c r="G503" s="83">
        <f>主要材料品牌单价!E$14</f>
        <v>92</v>
      </c>
      <c r="H503" s="83">
        <f>E503*(1+F503)*G503</f>
        <v>7.4336</v>
      </c>
      <c r="I503" s="11"/>
    </row>
    <row r="504" customHeight="1" spans="1:9">
      <c r="A504" s="78">
        <v>3</v>
      </c>
      <c r="B504" s="78" t="s">
        <v>204</v>
      </c>
      <c r="C504" s="78"/>
      <c r="D504" s="78"/>
      <c r="E504" s="78"/>
      <c r="F504" s="78"/>
      <c r="G504" s="78"/>
      <c r="H504" s="84">
        <f>H505</f>
        <v>150.45</v>
      </c>
      <c r="I504" s="95"/>
    </row>
    <row r="505" customHeight="1" spans="1:9">
      <c r="A505" s="9">
        <v>3.1</v>
      </c>
      <c r="B505" s="13" t="s">
        <v>254</v>
      </c>
      <c r="C505" s="13"/>
      <c r="D505" s="9" t="s">
        <v>206</v>
      </c>
      <c r="E505" s="83">
        <v>1</v>
      </c>
      <c r="F505" s="82">
        <v>0.003</v>
      </c>
      <c r="G505" s="11">
        <f>主要材料品牌单价!E$36</f>
        <v>150</v>
      </c>
      <c r="H505" s="83">
        <f t="shared" ref="H505:H511" si="47">E505*(1+F505)*G505</f>
        <v>150.45</v>
      </c>
      <c r="I505" s="11"/>
    </row>
    <row r="506" customHeight="1" spans="1:9">
      <c r="A506" s="78">
        <v>4</v>
      </c>
      <c r="B506" s="78" t="s">
        <v>207</v>
      </c>
      <c r="C506" s="78"/>
      <c r="D506" s="78"/>
      <c r="E506" s="78"/>
      <c r="F506" s="78"/>
      <c r="G506" s="78"/>
      <c r="H506" s="79">
        <f>SUM(H507:H511)</f>
        <v>31.11</v>
      </c>
      <c r="I506" s="95" t="s">
        <v>208</v>
      </c>
    </row>
    <row r="507" customHeight="1" spans="1:9">
      <c r="A507" s="85">
        <v>4.1</v>
      </c>
      <c r="B507" s="9" t="s">
        <v>209</v>
      </c>
      <c r="C507" s="9"/>
      <c r="D507" s="9" t="s">
        <v>210</v>
      </c>
      <c r="E507" s="85">
        <v>1.5</v>
      </c>
      <c r="F507" s="85"/>
      <c r="G507" s="85">
        <f>主要材料品牌单价!E$44</f>
        <v>18.5</v>
      </c>
      <c r="H507" s="83">
        <f t="shared" si="47"/>
        <v>27.75</v>
      </c>
      <c r="I507" s="11"/>
    </row>
    <row r="508" customHeight="1" spans="1:9">
      <c r="A508" s="85">
        <v>4.2</v>
      </c>
      <c r="B508" s="80" t="s">
        <v>211</v>
      </c>
      <c r="C508" s="81"/>
      <c r="D508" s="9" t="s">
        <v>210</v>
      </c>
      <c r="E508" s="86">
        <v>0</v>
      </c>
      <c r="F508" s="85"/>
      <c r="G508" s="85">
        <f>主要材料品牌单价!E$43</f>
        <v>15.5</v>
      </c>
      <c r="H508" s="83">
        <f t="shared" si="47"/>
        <v>0</v>
      </c>
      <c r="I508" s="11"/>
    </row>
    <row r="509" customHeight="1" spans="1:9">
      <c r="A509" s="85">
        <v>4.3</v>
      </c>
      <c r="B509" s="80" t="s">
        <v>212</v>
      </c>
      <c r="C509" s="81"/>
      <c r="D509" s="9" t="s">
        <v>210</v>
      </c>
      <c r="E509" s="86">
        <v>0.2</v>
      </c>
      <c r="F509" s="85"/>
      <c r="G509" s="85">
        <f>主要材料品牌单价!E$45</f>
        <v>16.8</v>
      </c>
      <c r="H509" s="83">
        <f t="shared" si="47"/>
        <v>3.36</v>
      </c>
      <c r="I509" s="11"/>
    </row>
    <row r="510" customHeight="1" spans="1:9">
      <c r="A510" s="85">
        <v>4.4</v>
      </c>
      <c r="B510" s="87" t="s">
        <v>213</v>
      </c>
      <c r="C510" s="88"/>
      <c r="D510" s="9" t="s">
        <v>210</v>
      </c>
      <c r="E510" s="77">
        <v>0</v>
      </c>
      <c r="F510" s="9"/>
      <c r="G510" s="85">
        <f>主要材料品牌单价!E$46</f>
        <v>25</v>
      </c>
      <c r="H510" s="83">
        <f t="shared" si="47"/>
        <v>0</v>
      </c>
      <c r="I510" s="11"/>
    </row>
    <row r="511" customHeight="1" spans="1:9">
      <c r="A511" s="85">
        <v>4.5</v>
      </c>
      <c r="B511" s="27" t="s">
        <v>214</v>
      </c>
      <c r="C511" s="27"/>
      <c r="D511" s="9" t="s">
        <v>215</v>
      </c>
      <c r="E511" s="77">
        <v>0</v>
      </c>
      <c r="F511" s="9"/>
      <c r="G511" s="85">
        <v>8</v>
      </c>
      <c r="H511" s="83">
        <f t="shared" si="47"/>
        <v>0</v>
      </c>
      <c r="I511" s="11"/>
    </row>
    <row r="512" customHeight="1" spans="1:9">
      <c r="A512" s="78">
        <v>5</v>
      </c>
      <c r="B512" s="78" t="s">
        <v>216</v>
      </c>
      <c r="C512" s="78"/>
      <c r="D512" s="78"/>
      <c r="E512" s="78"/>
      <c r="F512" s="78"/>
      <c r="G512" s="78"/>
      <c r="H512" s="79">
        <f>SUM(H513:H515)</f>
        <v>30.7</v>
      </c>
      <c r="I512" s="95" t="s">
        <v>208</v>
      </c>
    </row>
    <row r="513" customHeight="1" spans="1:9">
      <c r="A513" s="85">
        <v>5.1</v>
      </c>
      <c r="B513" s="9" t="s">
        <v>217</v>
      </c>
      <c r="C513" s="9"/>
      <c r="D513" s="9" t="s">
        <v>218</v>
      </c>
      <c r="E513" s="86">
        <v>0.15</v>
      </c>
      <c r="F513" s="85"/>
      <c r="G513" s="85">
        <f>主要材料品牌单价!E$48</f>
        <v>18</v>
      </c>
      <c r="H513" s="83">
        <f t="shared" ref="H513:H522" si="48">E513*(1+F513)*G513</f>
        <v>2.7</v>
      </c>
      <c r="I513" s="11"/>
    </row>
    <row r="514" customHeight="1" spans="1:9">
      <c r="A514" s="85">
        <v>5.2</v>
      </c>
      <c r="B514" s="80" t="s">
        <v>219</v>
      </c>
      <c r="C514" s="81"/>
      <c r="D514" s="9" t="s">
        <v>215</v>
      </c>
      <c r="E514" s="86">
        <v>0</v>
      </c>
      <c r="F514" s="85"/>
      <c r="G514" s="85">
        <f>主要材料品牌单价!E154</f>
        <v>0</v>
      </c>
      <c r="H514" s="83">
        <f t="shared" si="48"/>
        <v>0</v>
      </c>
      <c r="I514" s="11"/>
    </row>
    <row r="515" customHeight="1" spans="1:9">
      <c r="A515" s="85">
        <v>5.3</v>
      </c>
      <c r="B515" s="89" t="s">
        <v>220</v>
      </c>
      <c r="C515" s="90"/>
      <c r="D515" s="91" t="s">
        <v>206</v>
      </c>
      <c r="E515" s="77">
        <v>28</v>
      </c>
      <c r="F515" s="9"/>
      <c r="G515" s="85"/>
      <c r="H515" s="83">
        <v>28</v>
      </c>
      <c r="I515" s="11"/>
    </row>
    <row r="516" customHeight="1" spans="1:9">
      <c r="A516" s="92">
        <v>6</v>
      </c>
      <c r="B516" s="91" t="s">
        <v>221</v>
      </c>
      <c r="C516" s="91"/>
      <c r="D516" s="91" t="s">
        <v>206</v>
      </c>
      <c r="E516" s="91">
        <v>1</v>
      </c>
      <c r="F516" s="78">
        <v>0</v>
      </c>
      <c r="G516" s="85">
        <v>65</v>
      </c>
      <c r="H516" s="79">
        <f t="shared" si="48"/>
        <v>65</v>
      </c>
      <c r="I516" s="95" t="s">
        <v>208</v>
      </c>
    </row>
    <row r="517" customHeight="1" spans="1:9">
      <c r="A517" s="78">
        <v>7</v>
      </c>
      <c r="B517" s="93" t="s">
        <v>222</v>
      </c>
      <c r="C517" s="94"/>
      <c r="D517" s="91" t="s">
        <v>206</v>
      </c>
      <c r="E517" s="91">
        <v>1</v>
      </c>
      <c r="F517" s="78">
        <v>0</v>
      </c>
      <c r="G517" s="85">
        <v>75</v>
      </c>
      <c r="H517" s="79">
        <f t="shared" si="48"/>
        <v>75</v>
      </c>
      <c r="I517" s="95" t="s">
        <v>208</v>
      </c>
    </row>
    <row r="518" customHeight="1" spans="1:9">
      <c r="A518" s="78">
        <v>8</v>
      </c>
      <c r="B518" s="91" t="s">
        <v>223</v>
      </c>
      <c r="C518" s="91"/>
      <c r="D518" s="91" t="s">
        <v>206</v>
      </c>
      <c r="E518" s="91">
        <v>1</v>
      </c>
      <c r="F518" s="78">
        <v>0</v>
      </c>
      <c r="G518" s="85">
        <v>8</v>
      </c>
      <c r="H518" s="79">
        <f t="shared" si="48"/>
        <v>8</v>
      </c>
      <c r="I518" s="95" t="s">
        <v>208</v>
      </c>
    </row>
    <row r="519" customHeight="1" spans="1:9">
      <c r="A519" s="91">
        <v>9</v>
      </c>
      <c r="B519" s="91" t="s">
        <v>224</v>
      </c>
      <c r="C519" s="91"/>
      <c r="D519" s="91" t="s">
        <v>206</v>
      </c>
      <c r="E519" s="91">
        <v>1</v>
      </c>
      <c r="F519" s="91">
        <v>0</v>
      </c>
      <c r="G519" s="85">
        <v>1</v>
      </c>
      <c r="H519" s="79">
        <f t="shared" si="48"/>
        <v>1</v>
      </c>
      <c r="I519" s="95" t="s">
        <v>208</v>
      </c>
    </row>
    <row r="520" customHeight="1" spans="1:9">
      <c r="A520" s="91">
        <v>10</v>
      </c>
      <c r="B520" s="91" t="s">
        <v>225</v>
      </c>
      <c r="C520" s="91"/>
      <c r="D520" s="91" t="s">
        <v>206</v>
      </c>
      <c r="E520" s="91">
        <v>1</v>
      </c>
      <c r="F520" s="91">
        <v>0</v>
      </c>
      <c r="G520" s="85">
        <v>1</v>
      </c>
      <c r="H520" s="79">
        <f t="shared" si="48"/>
        <v>1</v>
      </c>
      <c r="I520" s="95" t="s">
        <v>208</v>
      </c>
    </row>
    <row r="521" customHeight="1" spans="1:9">
      <c r="A521" s="91">
        <v>11</v>
      </c>
      <c r="B521" s="93" t="s">
        <v>226</v>
      </c>
      <c r="C521" s="94"/>
      <c r="D521" s="91" t="s">
        <v>206</v>
      </c>
      <c r="E521" s="91">
        <v>1</v>
      </c>
      <c r="F521" s="91">
        <v>0</v>
      </c>
      <c r="G521" s="85">
        <v>1.5</v>
      </c>
      <c r="H521" s="79">
        <f t="shared" si="48"/>
        <v>1.5</v>
      </c>
      <c r="I521" s="95" t="s">
        <v>208</v>
      </c>
    </row>
    <row r="522" customHeight="1" spans="1:9">
      <c r="A522" s="91">
        <v>12</v>
      </c>
      <c r="B522" s="91" t="s">
        <v>227</v>
      </c>
      <c r="C522" s="91"/>
      <c r="D522" s="91" t="s">
        <v>206</v>
      </c>
      <c r="E522" s="91">
        <v>1</v>
      </c>
      <c r="F522" s="91">
        <v>0</v>
      </c>
      <c r="G522" s="85">
        <v>0.5</v>
      </c>
      <c r="H522" s="79">
        <f t="shared" si="48"/>
        <v>0.5</v>
      </c>
      <c r="I522" s="95" t="s">
        <v>208</v>
      </c>
    </row>
    <row r="523" customHeight="1" spans="1:9">
      <c r="A523" s="91">
        <v>13</v>
      </c>
      <c r="B523" s="93" t="s">
        <v>228</v>
      </c>
      <c r="C523" s="94"/>
      <c r="D523" s="91" t="s">
        <v>6</v>
      </c>
      <c r="E523" s="93" t="s">
        <v>229</v>
      </c>
      <c r="F523" s="94"/>
      <c r="G523" s="95"/>
      <c r="H523" s="79">
        <f>H498+H502+H506+H512+H516+H517+H518+H519+H520+H522+H521+H504</f>
        <v>661.961916</v>
      </c>
      <c r="I523" s="98" t="s">
        <v>230</v>
      </c>
    </row>
    <row r="524" customHeight="1" spans="1:9">
      <c r="A524" s="91">
        <v>14</v>
      </c>
      <c r="B524" s="93" t="s">
        <v>231</v>
      </c>
      <c r="C524" s="94"/>
      <c r="D524" s="91" t="s">
        <v>6</v>
      </c>
      <c r="E524" s="93" t="s">
        <v>244</v>
      </c>
      <c r="F524" s="94"/>
      <c r="G524" s="96">
        <v>0.12</v>
      </c>
      <c r="H524" s="79">
        <f>H523*(G524)</f>
        <v>79.43542992</v>
      </c>
      <c r="I524" s="99"/>
    </row>
    <row r="525" customHeight="1" spans="1:9">
      <c r="A525" s="91">
        <v>15</v>
      </c>
      <c r="B525" s="93" t="s">
        <v>233</v>
      </c>
      <c r="C525" s="94"/>
      <c r="D525" s="91" t="s">
        <v>6</v>
      </c>
      <c r="E525" s="93" t="s">
        <v>234</v>
      </c>
      <c r="F525" s="94"/>
      <c r="G525" s="95"/>
      <c r="H525" s="79">
        <f>H523+H524</f>
        <v>741.39734592</v>
      </c>
      <c r="I525" s="100">
        <f>H525</f>
        <v>741.39734592</v>
      </c>
    </row>
    <row r="527" customHeight="1" spans="1:9">
      <c r="A527" s="76" t="s">
        <v>237</v>
      </c>
      <c r="E527" s="70"/>
      <c r="G527" s="70"/>
      <c r="H527" s="70"/>
      <c r="I527" s="70"/>
    </row>
    <row r="528" ht="30" customHeight="1" spans="1:9">
      <c r="A528" s="9" t="s">
        <v>181</v>
      </c>
      <c r="B528" s="97"/>
      <c r="C528" s="97"/>
      <c r="D528" s="97"/>
      <c r="E528" s="9" t="s">
        <v>182</v>
      </c>
      <c r="F528" s="13" t="s">
        <v>255</v>
      </c>
      <c r="G528" s="13"/>
      <c r="H528" s="9" t="s">
        <v>183</v>
      </c>
      <c r="I528" s="9"/>
    </row>
    <row r="529" customHeight="1" spans="1:9">
      <c r="A529" s="9" t="s">
        <v>86</v>
      </c>
      <c r="B529" s="9"/>
      <c r="C529" s="9"/>
      <c r="D529" s="9"/>
      <c r="E529" s="9" t="s">
        <v>184</v>
      </c>
      <c r="F529" s="9"/>
      <c r="G529" s="9"/>
      <c r="H529" s="9"/>
      <c r="I529" s="9"/>
    </row>
    <row r="530" customHeight="1" spans="1:9">
      <c r="A530" s="13" t="s">
        <v>185</v>
      </c>
      <c r="B530" s="9">
        <v>0</v>
      </c>
      <c r="C530" s="13" t="s">
        <v>186</v>
      </c>
      <c r="D530" s="9">
        <v>0</v>
      </c>
      <c r="E530" s="9" t="s">
        <v>187</v>
      </c>
      <c r="F530" s="77">
        <v>0</v>
      </c>
      <c r="G530" s="11" t="s">
        <v>188</v>
      </c>
      <c r="H530" s="9"/>
      <c r="I530" s="9"/>
    </row>
    <row r="531" customHeight="1" spans="1:9">
      <c r="A531" s="13"/>
      <c r="B531" s="9"/>
      <c r="C531" s="13"/>
      <c r="D531" s="9"/>
      <c r="E531" s="9"/>
      <c r="F531" s="77">
        <v>0</v>
      </c>
      <c r="G531" s="12" t="s">
        <v>189</v>
      </c>
      <c r="H531" s="9"/>
      <c r="I531" s="9"/>
    </row>
    <row r="532" customHeight="1" spans="1:9">
      <c r="A532" s="9" t="s">
        <v>38</v>
      </c>
      <c r="B532" s="9" t="s">
        <v>190</v>
      </c>
      <c r="C532" s="9"/>
      <c r="D532" s="9" t="s">
        <v>191</v>
      </c>
      <c r="E532" s="9" t="s">
        <v>192</v>
      </c>
      <c r="F532" s="9" t="s">
        <v>193</v>
      </c>
      <c r="G532" s="11" t="s">
        <v>194</v>
      </c>
      <c r="H532" s="11" t="s">
        <v>195</v>
      </c>
      <c r="I532" s="12" t="s">
        <v>196</v>
      </c>
    </row>
    <row r="533" customHeight="1" spans="1:9">
      <c r="A533" s="78">
        <v>1</v>
      </c>
      <c r="B533" s="78" t="s">
        <v>197</v>
      </c>
      <c r="C533" s="78"/>
      <c r="D533" s="78"/>
      <c r="E533" s="78"/>
      <c r="F533" s="78"/>
      <c r="G533" s="78"/>
      <c r="H533" s="79">
        <f>SUM(H534:H536)</f>
        <v>293.703444</v>
      </c>
      <c r="I533" s="95"/>
    </row>
    <row r="534" customHeight="1" spans="1:9">
      <c r="A534" s="9">
        <v>1.1</v>
      </c>
      <c r="B534" s="80" t="s">
        <v>239</v>
      </c>
      <c r="C534" s="81"/>
      <c r="D534" s="9" t="s">
        <v>199</v>
      </c>
      <c r="E534" s="77">
        <v>8.55</v>
      </c>
      <c r="F534" s="82">
        <v>0.07</v>
      </c>
      <c r="G534" s="83">
        <f>主要材料品牌单价!E$5/1000</f>
        <v>29.8</v>
      </c>
      <c r="H534" s="83">
        <f t="shared" ref="H534:H536" si="49">E534*(1+F534)*G534</f>
        <v>272.6253</v>
      </c>
      <c r="I534" s="11"/>
    </row>
    <row r="535" customHeight="1" spans="1:9">
      <c r="A535" s="9">
        <v>1.2</v>
      </c>
      <c r="B535" s="80" t="s">
        <v>198</v>
      </c>
      <c r="C535" s="81"/>
      <c r="D535" s="9" t="s">
        <v>199</v>
      </c>
      <c r="E535" s="77"/>
      <c r="F535" s="82">
        <v>0.07</v>
      </c>
      <c r="G535" s="83"/>
      <c r="H535" s="83">
        <f t="shared" si="49"/>
        <v>0</v>
      </c>
      <c r="I535" s="11"/>
    </row>
    <row r="536" customHeight="1" spans="1:9">
      <c r="A536" s="9">
        <v>1.3</v>
      </c>
      <c r="B536" s="9" t="s">
        <v>200</v>
      </c>
      <c r="C536" s="9"/>
      <c r="D536" s="9" t="s">
        <v>199</v>
      </c>
      <c r="E536" s="77">
        <f>E534*0.08</f>
        <v>0.684</v>
      </c>
      <c r="F536" s="82">
        <v>0.07</v>
      </c>
      <c r="G536" s="83">
        <f>(主要材料品牌单价!E$5-1000)/1000</f>
        <v>28.8</v>
      </c>
      <c r="H536" s="83">
        <f t="shared" si="49"/>
        <v>21.078144</v>
      </c>
      <c r="I536" s="11"/>
    </row>
    <row r="537" customHeight="1" spans="1:9">
      <c r="A537" s="78">
        <v>2</v>
      </c>
      <c r="B537" s="78" t="s">
        <v>201</v>
      </c>
      <c r="C537" s="78"/>
      <c r="D537" s="78"/>
      <c r="E537" s="78"/>
      <c r="F537" s="78"/>
      <c r="G537" s="78"/>
      <c r="H537" s="84">
        <f>H538</f>
        <v>7.4336</v>
      </c>
      <c r="I537" s="95"/>
    </row>
    <row r="538" customHeight="1" spans="1:9">
      <c r="A538" s="9">
        <v>2.1</v>
      </c>
      <c r="B538" s="9" t="s">
        <v>202</v>
      </c>
      <c r="C538" s="9"/>
      <c r="D538" s="9" t="s">
        <v>203</v>
      </c>
      <c r="E538" s="83">
        <v>0.08</v>
      </c>
      <c r="F538" s="82">
        <v>0.01</v>
      </c>
      <c r="G538" s="83">
        <f>主要材料品牌单价!E$14</f>
        <v>92</v>
      </c>
      <c r="H538" s="83">
        <f>E538*(1+F538)*G538</f>
        <v>7.4336</v>
      </c>
      <c r="I538" s="11"/>
    </row>
    <row r="539" customHeight="1" spans="1:9">
      <c r="A539" s="78">
        <v>3</v>
      </c>
      <c r="B539" s="78" t="s">
        <v>204</v>
      </c>
      <c r="C539" s="78"/>
      <c r="D539" s="78"/>
      <c r="E539" s="78"/>
      <c r="F539" s="78"/>
      <c r="G539" s="78"/>
      <c r="H539" s="84">
        <f>H540</f>
        <v>150.45</v>
      </c>
      <c r="I539" s="95"/>
    </row>
    <row r="540" customHeight="1" spans="1:9">
      <c r="A540" s="9">
        <v>3.1</v>
      </c>
      <c r="B540" s="13" t="s">
        <v>254</v>
      </c>
      <c r="C540" s="13"/>
      <c r="D540" s="9" t="s">
        <v>206</v>
      </c>
      <c r="E540" s="83">
        <v>1</v>
      </c>
      <c r="F540" s="82">
        <v>0.003</v>
      </c>
      <c r="G540" s="11">
        <f>主要材料品牌单价!E$36</f>
        <v>150</v>
      </c>
      <c r="H540" s="83">
        <f t="shared" ref="H540:H546" si="50">E540*(1+F540)*G540</f>
        <v>150.45</v>
      </c>
      <c r="I540" s="11"/>
    </row>
    <row r="541" customHeight="1" spans="1:9">
      <c r="A541" s="78">
        <v>4</v>
      </c>
      <c r="B541" s="78" t="s">
        <v>207</v>
      </c>
      <c r="C541" s="78"/>
      <c r="D541" s="78"/>
      <c r="E541" s="78"/>
      <c r="F541" s="78"/>
      <c r="G541" s="78"/>
      <c r="H541" s="79">
        <f>SUM(H542:H546)</f>
        <v>31.11</v>
      </c>
      <c r="I541" s="95" t="s">
        <v>208</v>
      </c>
    </row>
    <row r="542" customHeight="1" spans="1:9">
      <c r="A542" s="85">
        <v>4.1</v>
      </c>
      <c r="B542" s="9" t="s">
        <v>209</v>
      </c>
      <c r="C542" s="9"/>
      <c r="D542" s="9" t="s">
        <v>210</v>
      </c>
      <c r="E542" s="85">
        <v>1.5</v>
      </c>
      <c r="F542" s="85"/>
      <c r="G542" s="85">
        <f>主要材料品牌单价!E$44</f>
        <v>18.5</v>
      </c>
      <c r="H542" s="83">
        <f t="shared" si="50"/>
        <v>27.75</v>
      </c>
      <c r="I542" s="11"/>
    </row>
    <row r="543" customHeight="1" spans="1:9">
      <c r="A543" s="85">
        <v>4.2</v>
      </c>
      <c r="B543" s="80" t="s">
        <v>211</v>
      </c>
      <c r="C543" s="81"/>
      <c r="D543" s="9" t="s">
        <v>210</v>
      </c>
      <c r="E543" s="86">
        <v>0</v>
      </c>
      <c r="F543" s="85"/>
      <c r="G543" s="85">
        <f>主要材料品牌单价!E$43</f>
        <v>15.5</v>
      </c>
      <c r="H543" s="83">
        <f t="shared" si="50"/>
        <v>0</v>
      </c>
      <c r="I543" s="11"/>
    </row>
    <row r="544" customHeight="1" spans="1:9">
      <c r="A544" s="85">
        <v>4.3</v>
      </c>
      <c r="B544" s="80" t="s">
        <v>212</v>
      </c>
      <c r="C544" s="81"/>
      <c r="D544" s="9" t="s">
        <v>210</v>
      </c>
      <c r="E544" s="86">
        <v>0.2</v>
      </c>
      <c r="F544" s="85"/>
      <c r="G544" s="85">
        <f>主要材料品牌单价!E$45</f>
        <v>16.8</v>
      </c>
      <c r="H544" s="83">
        <f t="shared" si="50"/>
        <v>3.36</v>
      </c>
      <c r="I544" s="11"/>
    </row>
    <row r="545" customHeight="1" spans="1:9">
      <c r="A545" s="85">
        <v>4.4</v>
      </c>
      <c r="B545" s="87" t="s">
        <v>213</v>
      </c>
      <c r="C545" s="88"/>
      <c r="D545" s="9" t="s">
        <v>210</v>
      </c>
      <c r="E545" s="77">
        <v>0</v>
      </c>
      <c r="F545" s="9"/>
      <c r="G545" s="85">
        <f>主要材料品牌单价!E$46</f>
        <v>25</v>
      </c>
      <c r="H545" s="83">
        <f t="shared" si="50"/>
        <v>0</v>
      </c>
      <c r="I545" s="11"/>
    </row>
    <row r="546" customHeight="1" spans="1:9">
      <c r="A546" s="85">
        <v>4.5</v>
      </c>
      <c r="B546" s="27" t="s">
        <v>214</v>
      </c>
      <c r="C546" s="27"/>
      <c r="D546" s="9" t="s">
        <v>215</v>
      </c>
      <c r="E546" s="77">
        <v>0</v>
      </c>
      <c r="F546" s="9"/>
      <c r="G546" s="85">
        <v>8</v>
      </c>
      <c r="H546" s="83">
        <f t="shared" si="50"/>
        <v>0</v>
      </c>
      <c r="I546" s="11"/>
    </row>
    <row r="547" customHeight="1" spans="1:9">
      <c r="A547" s="78">
        <v>5</v>
      </c>
      <c r="B547" s="78" t="s">
        <v>216</v>
      </c>
      <c r="C547" s="78"/>
      <c r="D547" s="78"/>
      <c r="E547" s="78"/>
      <c r="F547" s="78"/>
      <c r="G547" s="78"/>
      <c r="H547" s="79">
        <f>SUM(H548:H550)</f>
        <v>30.7</v>
      </c>
      <c r="I547" s="95" t="s">
        <v>208</v>
      </c>
    </row>
    <row r="548" customHeight="1" spans="1:9">
      <c r="A548" s="85">
        <v>5.1</v>
      </c>
      <c r="B548" s="9" t="s">
        <v>217</v>
      </c>
      <c r="C548" s="9"/>
      <c r="D548" s="9" t="s">
        <v>218</v>
      </c>
      <c r="E548" s="86">
        <v>0.15</v>
      </c>
      <c r="F548" s="85"/>
      <c r="G548" s="85">
        <f>主要材料品牌单价!E$48</f>
        <v>18</v>
      </c>
      <c r="H548" s="83">
        <f t="shared" ref="H548:H557" si="51">E548*(1+F548)*G548</f>
        <v>2.7</v>
      </c>
      <c r="I548" s="11"/>
    </row>
    <row r="549" customHeight="1" spans="1:9">
      <c r="A549" s="85">
        <v>5.2</v>
      </c>
      <c r="B549" s="80" t="s">
        <v>219</v>
      </c>
      <c r="C549" s="81"/>
      <c r="D549" s="9" t="s">
        <v>215</v>
      </c>
      <c r="E549" s="86">
        <v>0</v>
      </c>
      <c r="F549" s="85"/>
      <c r="G549" s="85">
        <f>主要材料品牌单价!E189</f>
        <v>0</v>
      </c>
      <c r="H549" s="83">
        <f t="shared" si="51"/>
        <v>0</v>
      </c>
      <c r="I549" s="11"/>
    </row>
    <row r="550" customHeight="1" spans="1:9">
      <c r="A550" s="85">
        <v>5.3</v>
      </c>
      <c r="B550" s="89" t="s">
        <v>220</v>
      </c>
      <c r="C550" s="90"/>
      <c r="D550" s="91" t="s">
        <v>206</v>
      </c>
      <c r="E550" s="77">
        <v>28</v>
      </c>
      <c r="F550" s="9"/>
      <c r="G550" s="85"/>
      <c r="H550" s="83">
        <v>28</v>
      </c>
      <c r="I550" s="11"/>
    </row>
    <row r="551" customHeight="1" spans="1:9">
      <c r="A551" s="92">
        <v>6</v>
      </c>
      <c r="B551" s="91" t="s">
        <v>221</v>
      </c>
      <c r="C551" s="91"/>
      <c r="D551" s="91" t="s">
        <v>206</v>
      </c>
      <c r="E551" s="91">
        <v>1</v>
      </c>
      <c r="F551" s="78">
        <v>0</v>
      </c>
      <c r="G551" s="85">
        <v>90</v>
      </c>
      <c r="H551" s="79">
        <f t="shared" si="51"/>
        <v>90</v>
      </c>
      <c r="I551" s="95" t="s">
        <v>208</v>
      </c>
    </row>
    <row r="552" customHeight="1" spans="1:9">
      <c r="A552" s="78">
        <v>7</v>
      </c>
      <c r="B552" s="93" t="s">
        <v>222</v>
      </c>
      <c r="C552" s="94"/>
      <c r="D552" s="91" t="s">
        <v>206</v>
      </c>
      <c r="E552" s="91">
        <v>1</v>
      </c>
      <c r="F552" s="78">
        <v>0</v>
      </c>
      <c r="G552" s="85">
        <v>120</v>
      </c>
      <c r="H552" s="79">
        <f t="shared" si="51"/>
        <v>120</v>
      </c>
      <c r="I552" s="95" t="s">
        <v>208</v>
      </c>
    </row>
    <row r="553" customHeight="1" spans="1:9">
      <c r="A553" s="78">
        <v>8</v>
      </c>
      <c r="B553" s="91" t="s">
        <v>223</v>
      </c>
      <c r="C553" s="91"/>
      <c r="D553" s="91" t="s">
        <v>206</v>
      </c>
      <c r="E553" s="91">
        <v>1</v>
      </c>
      <c r="F553" s="78">
        <v>0</v>
      </c>
      <c r="G553" s="85">
        <v>8</v>
      </c>
      <c r="H553" s="79">
        <f t="shared" si="51"/>
        <v>8</v>
      </c>
      <c r="I553" s="95" t="s">
        <v>208</v>
      </c>
    </row>
    <row r="554" customHeight="1" spans="1:9">
      <c r="A554" s="91">
        <v>9</v>
      </c>
      <c r="B554" s="91" t="s">
        <v>224</v>
      </c>
      <c r="C554" s="91"/>
      <c r="D554" s="91" t="s">
        <v>206</v>
      </c>
      <c r="E554" s="91">
        <v>1</v>
      </c>
      <c r="F554" s="91">
        <v>0</v>
      </c>
      <c r="G554" s="85">
        <v>1</v>
      </c>
      <c r="H554" s="79">
        <f t="shared" si="51"/>
        <v>1</v>
      </c>
      <c r="I554" s="95" t="s">
        <v>208</v>
      </c>
    </row>
    <row r="555" customHeight="1" spans="1:9">
      <c r="A555" s="91">
        <v>10</v>
      </c>
      <c r="B555" s="91" t="s">
        <v>225</v>
      </c>
      <c r="C555" s="91"/>
      <c r="D555" s="91" t="s">
        <v>206</v>
      </c>
      <c r="E555" s="91">
        <v>1</v>
      </c>
      <c r="F555" s="91">
        <v>0</v>
      </c>
      <c r="G555" s="85">
        <v>1</v>
      </c>
      <c r="H555" s="79">
        <f t="shared" si="51"/>
        <v>1</v>
      </c>
      <c r="I555" s="95" t="s">
        <v>208</v>
      </c>
    </row>
    <row r="556" customHeight="1" spans="1:9">
      <c r="A556" s="91">
        <v>11</v>
      </c>
      <c r="B556" s="93" t="s">
        <v>226</v>
      </c>
      <c r="C556" s="94"/>
      <c r="D556" s="91" t="s">
        <v>206</v>
      </c>
      <c r="E556" s="91">
        <v>1</v>
      </c>
      <c r="F556" s="91">
        <v>0</v>
      </c>
      <c r="G556" s="85">
        <v>1.5</v>
      </c>
      <c r="H556" s="79">
        <f t="shared" si="51"/>
        <v>1.5</v>
      </c>
      <c r="I556" s="95" t="s">
        <v>208</v>
      </c>
    </row>
    <row r="557" customHeight="1" spans="1:9">
      <c r="A557" s="91">
        <v>12</v>
      </c>
      <c r="B557" s="91" t="s">
        <v>227</v>
      </c>
      <c r="C557" s="91"/>
      <c r="D557" s="91" t="s">
        <v>206</v>
      </c>
      <c r="E557" s="91">
        <v>1</v>
      </c>
      <c r="F557" s="91">
        <v>0</v>
      </c>
      <c r="G557" s="85">
        <v>0.5</v>
      </c>
      <c r="H557" s="79">
        <f t="shared" si="51"/>
        <v>0.5</v>
      </c>
      <c r="I557" s="95" t="s">
        <v>208</v>
      </c>
    </row>
    <row r="558" customHeight="1" spans="1:9">
      <c r="A558" s="91">
        <v>13</v>
      </c>
      <c r="B558" s="93" t="s">
        <v>228</v>
      </c>
      <c r="C558" s="94"/>
      <c r="D558" s="91" t="s">
        <v>6</v>
      </c>
      <c r="E558" s="93" t="s">
        <v>229</v>
      </c>
      <c r="F558" s="94"/>
      <c r="G558" s="95"/>
      <c r="H558" s="79">
        <f>H533+H537+H541+H547+H551+H552+H553+H554+H555+H557+H556+H539</f>
        <v>735.397044</v>
      </c>
      <c r="I558" s="98" t="s">
        <v>230</v>
      </c>
    </row>
    <row r="559" customHeight="1" spans="1:9">
      <c r="A559" s="91">
        <v>14</v>
      </c>
      <c r="B559" s="93" t="s">
        <v>231</v>
      </c>
      <c r="C559" s="94"/>
      <c r="D559" s="91" t="s">
        <v>6</v>
      </c>
      <c r="E559" s="93" t="s">
        <v>232</v>
      </c>
      <c r="F559" s="94"/>
      <c r="G559" s="96">
        <v>0.12</v>
      </c>
      <c r="H559" s="79">
        <f>H558*(G559)</f>
        <v>88.24764528</v>
      </c>
      <c r="I559" s="99"/>
    </row>
    <row r="560" customHeight="1" spans="1:9">
      <c r="A560" s="91">
        <v>15</v>
      </c>
      <c r="B560" s="93" t="s">
        <v>233</v>
      </c>
      <c r="C560" s="94"/>
      <c r="D560" s="91" t="s">
        <v>6</v>
      </c>
      <c r="E560" s="93" t="s">
        <v>234</v>
      </c>
      <c r="F560" s="94"/>
      <c r="G560" s="95"/>
      <c r="H560" s="79">
        <f>H559+H558</f>
        <v>823.64468928</v>
      </c>
      <c r="I560" s="100">
        <f>H560</f>
        <v>823.64468928</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workbookViewId="0">
      <selection activeCell="A54" sqref="A54:F55"/>
    </sheetView>
  </sheetViews>
  <sheetFormatPr defaultColWidth="9" defaultRowHeight="24.95" customHeight="1" outlineLevelCol="5"/>
  <cols>
    <col min="1" max="1" width="9" style="57"/>
    <col min="2" max="2" width="21.75" style="57" customWidth="1"/>
    <col min="3" max="4" width="9" style="57"/>
    <col min="5" max="5" width="12.3796296296296" style="57" customWidth="1"/>
    <col min="6" max="16384" width="9" style="57"/>
  </cols>
  <sheetData>
    <row r="1" ht="21.95" customHeight="1" spans="1:6">
      <c r="A1" s="58" t="s">
        <v>256</v>
      </c>
      <c r="B1" s="58"/>
      <c r="C1" s="58"/>
      <c r="D1" s="58"/>
      <c r="E1" s="58"/>
      <c r="F1" s="58"/>
    </row>
    <row r="2" customHeight="1" spans="1:6">
      <c r="A2" s="59" t="s">
        <v>257</v>
      </c>
      <c r="B2" s="59"/>
      <c r="C2" s="60"/>
      <c r="D2" s="59"/>
      <c r="E2" s="59"/>
      <c r="F2" s="59"/>
    </row>
    <row r="3" customHeight="1" spans="1:6">
      <c r="A3" s="61" t="s">
        <v>38</v>
      </c>
      <c r="B3" s="61" t="s">
        <v>181</v>
      </c>
      <c r="C3" s="61" t="s">
        <v>191</v>
      </c>
      <c r="D3" s="61" t="s">
        <v>258</v>
      </c>
      <c r="E3" s="62" t="s">
        <v>259</v>
      </c>
      <c r="F3" s="61" t="s">
        <v>44</v>
      </c>
    </row>
    <row r="4" customHeight="1" spans="1:6">
      <c r="A4" s="63">
        <v>1</v>
      </c>
      <c r="B4" s="63" t="s">
        <v>260</v>
      </c>
      <c r="C4" s="64"/>
      <c r="D4" s="64"/>
      <c r="E4" s="65"/>
      <c r="F4" s="64"/>
    </row>
    <row r="5" customHeight="1" spans="1:6">
      <c r="A5" s="61">
        <v>1.1</v>
      </c>
      <c r="B5" s="61" t="s">
        <v>261</v>
      </c>
      <c r="C5" s="61" t="s">
        <v>262</v>
      </c>
      <c r="D5" s="61" t="s">
        <v>263</v>
      </c>
      <c r="E5" s="61">
        <v>29800</v>
      </c>
      <c r="F5" s="66" t="s">
        <v>264</v>
      </c>
    </row>
    <row r="6" customHeight="1" spans="1:6">
      <c r="A6" s="61">
        <v>1.2</v>
      </c>
      <c r="B6" s="61" t="s">
        <v>265</v>
      </c>
      <c r="C6" s="61" t="s">
        <v>262</v>
      </c>
      <c r="D6" s="61" t="s">
        <v>263</v>
      </c>
      <c r="E6" s="61">
        <v>29500</v>
      </c>
      <c r="F6" s="66" t="s">
        <v>264</v>
      </c>
    </row>
    <row r="7" customHeight="1" spans="1:6">
      <c r="A7" s="61">
        <v>1.3</v>
      </c>
      <c r="B7" s="61" t="s">
        <v>249</v>
      </c>
      <c r="C7" s="61" t="s">
        <v>262</v>
      </c>
      <c r="D7" s="61" t="s">
        <v>263</v>
      </c>
      <c r="E7" s="61">
        <v>12300</v>
      </c>
      <c r="F7" s="66" t="s">
        <v>266</v>
      </c>
    </row>
    <row r="8" customHeight="1" spans="1:6">
      <c r="A8" s="61">
        <v>1.4</v>
      </c>
      <c r="B8" s="61" t="s">
        <v>267</v>
      </c>
      <c r="C8" s="61" t="s">
        <v>262</v>
      </c>
      <c r="D8" s="61" t="s">
        <v>268</v>
      </c>
      <c r="E8" s="61">
        <f>E6</f>
        <v>29500</v>
      </c>
      <c r="F8" s="66" t="s">
        <v>264</v>
      </c>
    </row>
    <row r="9" customHeight="1" spans="1:6">
      <c r="A9" s="61">
        <v>1.5</v>
      </c>
      <c r="B9" s="61" t="s">
        <v>269</v>
      </c>
      <c r="C9" s="61" t="s">
        <v>262</v>
      </c>
      <c r="D9" s="61" t="s">
        <v>270</v>
      </c>
      <c r="E9" s="61">
        <f>E8</f>
        <v>29500</v>
      </c>
      <c r="F9" s="66" t="s">
        <v>264</v>
      </c>
    </row>
    <row r="10" customHeight="1" spans="1:6">
      <c r="A10" s="61">
        <v>1.6</v>
      </c>
      <c r="B10" s="61" t="s">
        <v>271</v>
      </c>
      <c r="C10" s="61" t="s">
        <v>262</v>
      </c>
      <c r="D10" s="61" t="s">
        <v>272</v>
      </c>
      <c r="E10" s="61">
        <f>E9</f>
        <v>29500</v>
      </c>
      <c r="F10" s="66" t="s">
        <v>264</v>
      </c>
    </row>
    <row r="11" customHeight="1" spans="1:6">
      <c r="A11" s="61">
        <v>1.7</v>
      </c>
      <c r="B11" s="61" t="s">
        <v>273</v>
      </c>
      <c r="C11" s="61" t="s">
        <v>262</v>
      </c>
      <c r="D11" s="61" t="s">
        <v>274</v>
      </c>
      <c r="E11" s="61">
        <f>E5</f>
        <v>29800</v>
      </c>
      <c r="F11" s="66" t="s">
        <v>264</v>
      </c>
    </row>
    <row r="12" customHeight="1" spans="1:6">
      <c r="A12" s="61">
        <v>1.8</v>
      </c>
      <c r="B12" s="61" t="s">
        <v>275</v>
      </c>
      <c r="C12" s="61" t="s">
        <v>262</v>
      </c>
      <c r="D12" s="61" t="s">
        <v>276</v>
      </c>
      <c r="E12" s="61">
        <f>E5</f>
        <v>29800</v>
      </c>
      <c r="F12" s="66" t="s">
        <v>264</v>
      </c>
    </row>
    <row r="13" customHeight="1" spans="1:6">
      <c r="A13" s="63">
        <v>2</v>
      </c>
      <c r="B13" s="63" t="s">
        <v>277</v>
      </c>
      <c r="C13" s="63"/>
      <c r="D13" s="63"/>
      <c r="E13" s="67"/>
      <c r="F13" s="68"/>
    </row>
    <row r="14" customHeight="1" spans="1:6">
      <c r="A14" s="61">
        <v>2.1</v>
      </c>
      <c r="B14" s="61" t="s">
        <v>278</v>
      </c>
      <c r="C14" s="61" t="s">
        <v>203</v>
      </c>
      <c r="D14" s="61"/>
      <c r="E14" s="62">
        <f>五金配置表!F3+五金配置表!F4+五金配置表!F5+五金配置表!F6+五金配置表!F7</f>
        <v>92</v>
      </c>
      <c r="F14" s="61" t="s">
        <v>279</v>
      </c>
    </row>
    <row r="15" customHeight="1" spans="1:6">
      <c r="A15" s="61">
        <v>2.2</v>
      </c>
      <c r="B15" s="61" t="s">
        <v>280</v>
      </c>
      <c r="C15" s="61" t="s">
        <v>203</v>
      </c>
      <c r="D15" s="61"/>
      <c r="E15" s="62">
        <f>五金配置表!F8+五金配置表!F9+五金配置表!F10+五金配置表!F11+五金配置表!F12</f>
        <v>125</v>
      </c>
      <c r="F15" s="61" t="s">
        <v>279</v>
      </c>
    </row>
    <row r="16" customHeight="1" spans="1:6">
      <c r="A16" s="61">
        <v>2.3</v>
      </c>
      <c r="B16" s="61" t="s">
        <v>281</v>
      </c>
      <c r="C16" s="61" t="s">
        <v>203</v>
      </c>
      <c r="D16" s="61"/>
      <c r="E16" s="62">
        <f>五金配置表!F13+五金配置表!F14+五金配置表!F15+五金配置表!F16+五金配置表!F17+五金配置表!F18+五金配置表!F19</f>
        <v>88</v>
      </c>
      <c r="F16" s="61" t="s">
        <v>279</v>
      </c>
    </row>
    <row r="17" customHeight="1" spans="1:6">
      <c r="A17" s="61">
        <v>2.4</v>
      </c>
      <c r="B17" s="61" t="s">
        <v>282</v>
      </c>
      <c r="C17" s="61" t="s">
        <v>203</v>
      </c>
      <c r="D17" s="61"/>
      <c r="E17" s="62">
        <f>五金配置表!F3+五金配置表!F4+五金配置表!F5+五金配置表!F6+五金配置表!F7</f>
        <v>92</v>
      </c>
      <c r="F17" s="61" t="s">
        <v>279</v>
      </c>
    </row>
    <row r="18" customHeight="1" spans="1:6">
      <c r="A18" s="61">
        <v>2.5</v>
      </c>
      <c r="B18" s="61" t="s">
        <v>283</v>
      </c>
      <c r="C18" s="61" t="s">
        <v>203</v>
      </c>
      <c r="D18" s="61"/>
      <c r="E18" s="62">
        <v>0</v>
      </c>
      <c r="F18" s="61" t="s">
        <v>279</v>
      </c>
    </row>
    <row r="19" customHeight="1" spans="1:6">
      <c r="A19" s="61">
        <v>2.6</v>
      </c>
      <c r="B19" s="61" t="s">
        <v>284</v>
      </c>
      <c r="C19" s="61" t="s">
        <v>203</v>
      </c>
      <c r="D19" s="61"/>
      <c r="E19" s="62">
        <f>五金配置表!F23+五金配置表!F25</f>
        <v>61</v>
      </c>
      <c r="F19" s="61" t="s">
        <v>279</v>
      </c>
    </row>
    <row r="20" customHeight="1" spans="1:6">
      <c r="A20" s="61">
        <v>2.7</v>
      </c>
      <c r="B20" s="61" t="s">
        <v>285</v>
      </c>
      <c r="C20" s="61" t="s">
        <v>203</v>
      </c>
      <c r="D20" s="61"/>
      <c r="E20" s="62">
        <f>五金配置表!F23+五金配置表!F25</f>
        <v>61</v>
      </c>
      <c r="F20" s="61" t="s">
        <v>279</v>
      </c>
    </row>
    <row r="21" customHeight="1" spans="1:6">
      <c r="A21" s="61">
        <v>2.8</v>
      </c>
      <c r="B21" s="61" t="s">
        <v>286</v>
      </c>
      <c r="C21" s="61" t="s">
        <v>203</v>
      </c>
      <c r="D21" s="61"/>
      <c r="E21" s="62">
        <f>五金配置表!F27+五金配置表!F28</f>
        <v>66</v>
      </c>
      <c r="F21" s="61" t="s">
        <v>279</v>
      </c>
    </row>
    <row r="22" customHeight="1" spans="1:6">
      <c r="A22" s="61">
        <v>2.9</v>
      </c>
      <c r="B22" s="61" t="s">
        <v>287</v>
      </c>
      <c r="C22" s="61" t="s">
        <v>203</v>
      </c>
      <c r="D22" s="61"/>
      <c r="E22" s="62">
        <f>五金配置表!F27+五金配置表!E28*8</f>
        <v>102</v>
      </c>
      <c r="F22" s="61" t="s">
        <v>279</v>
      </c>
    </row>
    <row r="23" customHeight="1" spans="1:6">
      <c r="A23" s="69">
        <v>2.1</v>
      </c>
      <c r="B23" s="61" t="s">
        <v>288</v>
      </c>
      <c r="C23" s="61" t="s">
        <v>203</v>
      </c>
      <c r="D23" s="61"/>
      <c r="E23" s="62">
        <f>五金配置表!F29+五金配置表!F30+五金配置表!F31+五金配置表!F32+五金配置表!F33</f>
        <v>119</v>
      </c>
      <c r="F23" s="61" t="s">
        <v>279</v>
      </c>
    </row>
    <row r="24" customHeight="1" spans="1:6">
      <c r="A24" s="69">
        <v>2.12</v>
      </c>
      <c r="B24" s="61" t="s">
        <v>289</v>
      </c>
      <c r="C24" s="61" t="s">
        <v>203</v>
      </c>
      <c r="D24" s="61"/>
      <c r="E24" s="62">
        <f>五金配置表!F29+五金配置表!F30+五金配置表!F31+五金配置表!F32+五金配置表!F33</f>
        <v>119</v>
      </c>
      <c r="F24" s="61" t="s">
        <v>279</v>
      </c>
    </row>
    <row r="25" customHeight="1" spans="1:6">
      <c r="A25" s="69">
        <v>2.14</v>
      </c>
      <c r="B25" s="61" t="s">
        <v>290</v>
      </c>
      <c r="C25" s="61" t="s">
        <v>203</v>
      </c>
      <c r="D25" s="61"/>
      <c r="E25" s="62">
        <f>五金配置表!F34+五金配置表!F35</f>
        <v>510</v>
      </c>
      <c r="F25" s="61" t="s">
        <v>279</v>
      </c>
    </row>
    <row r="26" customHeight="1" spans="1:6">
      <c r="A26" s="69">
        <v>2.15</v>
      </c>
      <c r="B26" s="61" t="s">
        <v>291</v>
      </c>
      <c r="C26" s="61" t="s">
        <v>203</v>
      </c>
      <c r="D26" s="61"/>
      <c r="E26" s="62">
        <v>135</v>
      </c>
      <c r="F26" s="61" t="s">
        <v>279</v>
      </c>
    </row>
    <row r="27" customHeight="1" spans="1:6">
      <c r="A27" s="70">
        <v>2.16</v>
      </c>
      <c r="B27" s="61" t="s">
        <v>292</v>
      </c>
      <c r="C27" s="61" t="s">
        <v>203</v>
      </c>
      <c r="D27" s="61"/>
      <c r="E27" s="62">
        <v>165</v>
      </c>
      <c r="F27" s="61" t="s">
        <v>279</v>
      </c>
    </row>
    <row r="28" customHeight="1" spans="1:6">
      <c r="A28" s="63">
        <v>3</v>
      </c>
      <c r="B28" s="63" t="s">
        <v>204</v>
      </c>
      <c r="C28" s="63"/>
      <c r="D28" s="63"/>
      <c r="E28" s="67"/>
      <c r="F28" s="68"/>
    </row>
    <row r="29" customHeight="1" spans="1:6">
      <c r="A29" s="61">
        <v>3.1</v>
      </c>
      <c r="B29" s="43" t="s">
        <v>293</v>
      </c>
      <c r="C29" s="61" t="s">
        <v>294</v>
      </c>
      <c r="D29" s="61"/>
      <c r="E29" s="62">
        <f>玻璃调整表!E4</f>
        <v>65</v>
      </c>
      <c r="F29" s="61" t="s">
        <v>295</v>
      </c>
    </row>
    <row r="30" customHeight="1" spans="1:6">
      <c r="A30" s="61">
        <v>3.2</v>
      </c>
      <c r="B30" s="43" t="s">
        <v>296</v>
      </c>
      <c r="C30" s="71" t="s">
        <v>294</v>
      </c>
      <c r="D30" s="61"/>
      <c r="E30" s="62">
        <f>玻璃调整表!E5</f>
        <v>70</v>
      </c>
      <c r="F30" s="61" t="s">
        <v>295</v>
      </c>
    </row>
    <row r="31" customHeight="1" spans="1:6">
      <c r="A31" s="61">
        <v>3.3</v>
      </c>
      <c r="B31" s="43" t="s">
        <v>251</v>
      </c>
      <c r="C31" s="71" t="s">
        <v>294</v>
      </c>
      <c r="D31" s="61"/>
      <c r="E31" s="62">
        <f>玻璃调整表!D6</f>
        <v>110</v>
      </c>
      <c r="F31" s="61" t="s">
        <v>295</v>
      </c>
    </row>
    <row r="32" customHeight="1" spans="1:6">
      <c r="A32" s="61">
        <v>3.4</v>
      </c>
      <c r="B32" s="43" t="s">
        <v>250</v>
      </c>
      <c r="C32" s="71" t="s">
        <v>294</v>
      </c>
      <c r="D32" s="61"/>
      <c r="E32" s="62">
        <f>玻璃调整表!E7</f>
        <v>125</v>
      </c>
      <c r="F32" s="61" t="s">
        <v>295</v>
      </c>
    </row>
    <row r="33" customHeight="1" spans="1:6">
      <c r="A33" s="61">
        <v>3.5</v>
      </c>
      <c r="B33" s="43" t="s">
        <v>252</v>
      </c>
      <c r="C33" s="71" t="s">
        <v>294</v>
      </c>
      <c r="D33" s="61"/>
      <c r="E33" s="62">
        <f>玻璃调整表!E8</f>
        <v>135</v>
      </c>
      <c r="F33" s="61" t="s">
        <v>295</v>
      </c>
    </row>
    <row r="34" customHeight="1" spans="1:6">
      <c r="A34" s="61">
        <v>3.6</v>
      </c>
      <c r="B34" s="43" t="s">
        <v>247</v>
      </c>
      <c r="C34" s="71" t="s">
        <v>294</v>
      </c>
      <c r="D34" s="61"/>
      <c r="E34" s="62">
        <v>115</v>
      </c>
      <c r="F34" s="61" t="s">
        <v>295</v>
      </c>
    </row>
    <row r="35" customHeight="1" spans="1:6">
      <c r="A35" s="61">
        <v>3.7</v>
      </c>
      <c r="B35" s="43" t="s">
        <v>243</v>
      </c>
      <c r="C35" s="71" t="s">
        <v>294</v>
      </c>
      <c r="D35" s="61"/>
      <c r="E35" s="62">
        <f>玻璃调整表!F9</f>
        <v>145</v>
      </c>
      <c r="F35" s="61" t="s">
        <v>295</v>
      </c>
    </row>
    <row r="36" customHeight="1" spans="1:6">
      <c r="A36" s="61">
        <v>3.8</v>
      </c>
      <c r="B36" s="43" t="s">
        <v>254</v>
      </c>
      <c r="C36" s="71" t="s">
        <v>294</v>
      </c>
      <c r="D36" s="61"/>
      <c r="E36" s="62">
        <f>玻璃调整表!E12</f>
        <v>150</v>
      </c>
      <c r="F36" s="61" t="s">
        <v>295</v>
      </c>
    </row>
    <row r="37" customHeight="1" spans="1:6">
      <c r="A37" s="69">
        <v>3.9</v>
      </c>
      <c r="B37" s="43" t="s">
        <v>240</v>
      </c>
      <c r="C37" s="71" t="s">
        <v>294</v>
      </c>
      <c r="D37" s="61"/>
      <c r="E37" s="62">
        <f>玻璃调整表!F13</f>
        <v>185</v>
      </c>
      <c r="F37" s="61" t="s">
        <v>295</v>
      </c>
    </row>
    <row r="38" customHeight="1" spans="1:6">
      <c r="A38" s="69">
        <v>3.1</v>
      </c>
      <c r="B38" s="43" t="s">
        <v>241</v>
      </c>
      <c r="C38" s="71" t="s">
        <v>294</v>
      </c>
      <c r="D38" s="61"/>
      <c r="E38" s="62">
        <f>玻璃调整表!F14</f>
        <v>210</v>
      </c>
      <c r="F38" s="61" t="s">
        <v>295</v>
      </c>
    </row>
    <row r="39" customHeight="1" spans="1:6">
      <c r="A39" s="69">
        <v>3.11</v>
      </c>
      <c r="B39" s="43" t="s">
        <v>242</v>
      </c>
      <c r="C39" s="71" t="s">
        <v>294</v>
      </c>
      <c r="D39" s="61"/>
      <c r="E39" s="62">
        <f>玻璃调整表!F15</f>
        <v>280</v>
      </c>
      <c r="F39" s="61" t="s">
        <v>295</v>
      </c>
    </row>
    <row r="40" customHeight="1" spans="1:6">
      <c r="A40" s="69">
        <v>3.12</v>
      </c>
      <c r="B40" s="43" t="s">
        <v>245</v>
      </c>
      <c r="C40" s="71" t="s">
        <v>294</v>
      </c>
      <c r="D40" s="61"/>
      <c r="E40" s="62">
        <f>玻璃调整表!F16</f>
        <v>210</v>
      </c>
      <c r="F40" s="61" t="s">
        <v>295</v>
      </c>
    </row>
    <row r="41" customHeight="1" spans="1:6">
      <c r="A41" s="70">
        <v>3.13</v>
      </c>
      <c r="B41" s="43" t="s">
        <v>246</v>
      </c>
      <c r="C41" s="71" t="s">
        <v>294</v>
      </c>
      <c r="D41" s="61"/>
      <c r="E41" s="62">
        <f>玻璃调整表!F17</f>
        <v>230</v>
      </c>
      <c r="F41" s="61" t="s">
        <v>295</v>
      </c>
    </row>
    <row r="42" s="56" customFormat="1" customHeight="1" spans="1:6">
      <c r="A42" s="72">
        <v>4</v>
      </c>
      <c r="B42" s="63" t="s">
        <v>207</v>
      </c>
      <c r="C42" s="63"/>
      <c r="D42" s="63"/>
      <c r="E42" s="67"/>
      <c r="F42" s="68"/>
    </row>
    <row r="43" s="56" customFormat="1" customHeight="1" spans="1:6">
      <c r="A43" s="73">
        <v>4.1</v>
      </c>
      <c r="B43" s="66" t="s">
        <v>211</v>
      </c>
      <c r="C43" s="66" t="s">
        <v>210</v>
      </c>
      <c r="D43" s="66"/>
      <c r="E43" s="74">
        <v>15.5</v>
      </c>
      <c r="F43" s="66" t="s">
        <v>297</v>
      </c>
    </row>
    <row r="44" s="56" customFormat="1" customHeight="1" spans="1:6">
      <c r="A44" s="73">
        <v>4.2</v>
      </c>
      <c r="B44" s="66" t="s">
        <v>209</v>
      </c>
      <c r="C44" s="66" t="s">
        <v>210</v>
      </c>
      <c r="D44" s="66"/>
      <c r="E44" s="74">
        <v>18.5</v>
      </c>
      <c r="F44" s="66" t="s">
        <v>297</v>
      </c>
    </row>
    <row r="45" s="56" customFormat="1" customHeight="1" spans="1:6">
      <c r="A45" s="73">
        <v>4.3</v>
      </c>
      <c r="B45" s="66" t="s">
        <v>212</v>
      </c>
      <c r="C45" s="66" t="s">
        <v>210</v>
      </c>
      <c r="D45" s="66"/>
      <c r="E45" s="74">
        <v>16.8</v>
      </c>
      <c r="F45" s="66" t="s">
        <v>297</v>
      </c>
    </row>
    <row r="46" s="56" customFormat="1" customHeight="1" spans="1:6">
      <c r="A46" s="73">
        <v>4.4</v>
      </c>
      <c r="B46" s="66" t="s">
        <v>213</v>
      </c>
      <c r="C46" s="66" t="s">
        <v>210</v>
      </c>
      <c r="D46" s="66"/>
      <c r="E46" s="74">
        <v>25</v>
      </c>
      <c r="F46" s="66" t="s">
        <v>297</v>
      </c>
    </row>
    <row r="47" s="56" customFormat="1" customHeight="1" spans="1:6">
      <c r="A47" s="72">
        <v>5</v>
      </c>
      <c r="B47" s="63" t="s">
        <v>216</v>
      </c>
      <c r="C47" s="63"/>
      <c r="D47" s="63"/>
      <c r="E47" s="67"/>
      <c r="F47" s="68"/>
    </row>
    <row r="48" s="56" customFormat="1" customHeight="1" spans="1:6">
      <c r="A48" s="73">
        <v>5.1</v>
      </c>
      <c r="B48" s="66" t="s">
        <v>217</v>
      </c>
      <c r="C48" s="63" t="s">
        <v>218</v>
      </c>
      <c r="D48" s="66"/>
      <c r="E48" s="74">
        <v>18</v>
      </c>
      <c r="F48" s="63" t="s">
        <v>298</v>
      </c>
    </row>
    <row r="49" s="56" customFormat="1" customHeight="1" spans="1:6">
      <c r="A49" s="73">
        <v>5.2</v>
      </c>
      <c r="B49" s="66" t="s">
        <v>219</v>
      </c>
      <c r="C49" s="66" t="s">
        <v>215</v>
      </c>
      <c r="D49" s="66"/>
      <c r="E49" s="74">
        <v>0.85</v>
      </c>
      <c r="F49" s="63" t="s">
        <v>298</v>
      </c>
    </row>
    <row r="50" s="56" customFormat="1" customHeight="1" spans="1:6">
      <c r="A50" s="72">
        <v>6</v>
      </c>
      <c r="B50" s="63" t="s">
        <v>299</v>
      </c>
      <c r="C50" s="61" t="s">
        <v>218</v>
      </c>
      <c r="D50" s="63"/>
      <c r="E50" s="67">
        <v>6800</v>
      </c>
      <c r="F50" s="68"/>
    </row>
    <row r="51" s="56" customFormat="1" customHeight="1" spans="1:6">
      <c r="A51" s="72">
        <v>7</v>
      </c>
      <c r="B51" s="63" t="s">
        <v>300</v>
      </c>
      <c r="C51" s="61" t="s">
        <v>218</v>
      </c>
      <c r="D51" s="63"/>
      <c r="E51" s="67">
        <v>7800</v>
      </c>
      <c r="F51" s="68"/>
    </row>
    <row r="52" s="56" customFormat="1" customHeight="1" spans="1:6">
      <c r="A52" s="72">
        <v>8</v>
      </c>
      <c r="B52" s="63" t="s">
        <v>301</v>
      </c>
      <c r="C52" s="61" t="s">
        <v>218</v>
      </c>
      <c r="D52" s="63"/>
      <c r="E52" s="67">
        <v>7950</v>
      </c>
      <c r="F52" s="68"/>
    </row>
    <row r="53" s="56" customFormat="1" customHeight="1" spans="1:6">
      <c r="A53" s="72">
        <v>9</v>
      </c>
      <c r="B53" s="63" t="s">
        <v>302</v>
      </c>
      <c r="C53" s="61" t="s">
        <v>218</v>
      </c>
      <c r="D53" s="63"/>
      <c r="E53" s="67">
        <v>7600</v>
      </c>
      <c r="F53" s="68"/>
    </row>
    <row r="54" customHeight="1" spans="1:6">
      <c r="A54" s="75" t="s">
        <v>303</v>
      </c>
      <c r="B54" s="75"/>
      <c r="C54" s="75"/>
      <c r="D54" s="75"/>
      <c r="E54" s="75"/>
      <c r="F54" s="75"/>
    </row>
    <row r="55" ht="27.95" customHeight="1" spans="1:6">
      <c r="A55" s="75"/>
      <c r="B55" s="75"/>
      <c r="C55" s="75"/>
      <c r="D55" s="75"/>
      <c r="E55" s="75"/>
      <c r="F55" s="75"/>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29" sqref="E29"/>
    </sheetView>
  </sheetViews>
  <sheetFormatPr defaultColWidth="9" defaultRowHeight="14.4" outlineLevelCol="6"/>
  <cols>
    <col min="2" max="2" width="12.5" customWidth="1"/>
    <col min="3" max="3" width="16" customWidth="1"/>
    <col min="5" max="5" width="11" customWidth="1"/>
    <col min="6" max="6" width="12.5" customWidth="1"/>
    <col min="7" max="7" width="21.1296296296296" customWidth="1"/>
  </cols>
  <sheetData>
    <row r="1" ht="39" customHeight="1" spans="1:7">
      <c r="A1" s="46" t="s">
        <v>304</v>
      </c>
      <c r="B1" s="46"/>
      <c r="C1" s="46"/>
      <c r="D1" s="46"/>
      <c r="E1" s="46"/>
      <c r="F1" s="46"/>
      <c r="G1" s="46"/>
    </row>
    <row r="2" spans="1:7">
      <c r="A2" s="47" t="s">
        <v>38</v>
      </c>
      <c r="B2" s="47" t="s">
        <v>85</v>
      </c>
      <c r="C2" s="47" t="s">
        <v>305</v>
      </c>
      <c r="D2" s="47" t="s">
        <v>306</v>
      </c>
      <c r="E2" s="47" t="s">
        <v>307</v>
      </c>
      <c r="F2" s="47" t="s">
        <v>308</v>
      </c>
      <c r="G2" s="47" t="s">
        <v>44</v>
      </c>
    </row>
    <row r="3" ht="24" spans="1:7">
      <c r="A3" s="47">
        <v>1</v>
      </c>
      <c r="B3" s="48" t="s">
        <v>309</v>
      </c>
      <c r="C3" s="47" t="s">
        <v>310</v>
      </c>
      <c r="D3" s="49">
        <v>1</v>
      </c>
      <c r="E3" s="50">
        <v>25</v>
      </c>
      <c r="F3" s="49">
        <f>D3*E3</f>
        <v>25</v>
      </c>
      <c r="G3" s="48" t="s">
        <v>311</v>
      </c>
    </row>
    <row r="4" ht="24" spans="1:7">
      <c r="A4" s="47"/>
      <c r="B4" s="48"/>
      <c r="C4" s="49" t="s">
        <v>312</v>
      </c>
      <c r="D4" s="49">
        <v>1</v>
      </c>
      <c r="E4" s="50">
        <v>12</v>
      </c>
      <c r="F4" s="49">
        <f t="shared" ref="F4:F35" si="0">D4*E4</f>
        <v>12</v>
      </c>
      <c r="G4" s="48" t="s">
        <v>311</v>
      </c>
    </row>
    <row r="5" ht="24" spans="1:7">
      <c r="A5" s="47"/>
      <c r="B5" s="48"/>
      <c r="C5" s="49" t="s">
        <v>313</v>
      </c>
      <c r="D5" s="49">
        <v>2</v>
      </c>
      <c r="E5" s="50">
        <v>1.5</v>
      </c>
      <c r="F5" s="49">
        <f t="shared" si="0"/>
        <v>3</v>
      </c>
      <c r="G5" s="48" t="s">
        <v>311</v>
      </c>
    </row>
    <row r="6" ht="24" spans="1:7">
      <c r="A6" s="47"/>
      <c r="B6" s="48"/>
      <c r="C6" s="49" t="s">
        <v>314</v>
      </c>
      <c r="D6" s="49">
        <v>1</v>
      </c>
      <c r="E6" s="50">
        <v>12</v>
      </c>
      <c r="F6" s="49">
        <f t="shared" si="0"/>
        <v>12</v>
      </c>
      <c r="G6" s="48" t="s">
        <v>311</v>
      </c>
    </row>
    <row r="7" ht="24" spans="1:7">
      <c r="A7" s="47"/>
      <c r="B7" s="48"/>
      <c r="C7" s="49" t="s">
        <v>315</v>
      </c>
      <c r="D7" s="49">
        <v>2</v>
      </c>
      <c r="E7" s="50">
        <v>20</v>
      </c>
      <c r="F7" s="49">
        <f t="shared" si="0"/>
        <v>40</v>
      </c>
      <c r="G7" s="48" t="s">
        <v>311</v>
      </c>
    </row>
    <row r="8" ht="24" spans="1:7">
      <c r="A8" s="51">
        <v>2</v>
      </c>
      <c r="B8" s="48" t="s">
        <v>316</v>
      </c>
      <c r="C8" s="49" t="s">
        <v>317</v>
      </c>
      <c r="D8" s="49">
        <v>1</v>
      </c>
      <c r="E8" s="50">
        <v>25</v>
      </c>
      <c r="F8" s="49">
        <f t="shared" si="0"/>
        <v>25</v>
      </c>
      <c r="G8" s="48" t="s">
        <v>311</v>
      </c>
    </row>
    <row r="9" ht="24" spans="1:7">
      <c r="A9" s="52"/>
      <c r="B9" s="48"/>
      <c r="C9" s="49" t="s">
        <v>318</v>
      </c>
      <c r="D9" s="49">
        <v>2</v>
      </c>
      <c r="E9" s="50">
        <v>20</v>
      </c>
      <c r="F9" s="49">
        <f t="shared" si="0"/>
        <v>40</v>
      </c>
      <c r="G9" s="48" t="s">
        <v>311</v>
      </c>
    </row>
    <row r="10" ht="24" spans="1:7">
      <c r="A10" s="52"/>
      <c r="B10" s="48"/>
      <c r="C10" s="49" t="s">
        <v>319</v>
      </c>
      <c r="D10" s="49">
        <v>1</v>
      </c>
      <c r="E10" s="50">
        <v>15</v>
      </c>
      <c r="F10" s="49">
        <f t="shared" si="0"/>
        <v>15</v>
      </c>
      <c r="G10" s="48" t="s">
        <v>311</v>
      </c>
    </row>
    <row r="11" ht="24" spans="1:7">
      <c r="A11" s="52"/>
      <c r="B11" s="48"/>
      <c r="C11" s="49" t="s">
        <v>320</v>
      </c>
      <c r="D11" s="49">
        <v>2</v>
      </c>
      <c r="E11" s="50">
        <v>2.5</v>
      </c>
      <c r="F11" s="49">
        <f t="shared" si="0"/>
        <v>5</v>
      </c>
      <c r="G11" s="48" t="s">
        <v>311</v>
      </c>
    </row>
    <row r="12" ht="24" spans="1:7">
      <c r="A12" s="53"/>
      <c r="B12" s="48"/>
      <c r="C12" s="47" t="s">
        <v>321</v>
      </c>
      <c r="D12" s="49">
        <v>2</v>
      </c>
      <c r="E12" s="50">
        <v>20</v>
      </c>
      <c r="F12" s="49">
        <f t="shared" si="0"/>
        <v>40</v>
      </c>
      <c r="G12" s="48" t="s">
        <v>311</v>
      </c>
    </row>
    <row r="13" ht="24" spans="1:7">
      <c r="A13" s="51">
        <v>3</v>
      </c>
      <c r="B13" s="51" t="s">
        <v>322</v>
      </c>
      <c r="C13" s="47" t="s">
        <v>317</v>
      </c>
      <c r="D13" s="49">
        <v>1</v>
      </c>
      <c r="E13" s="50">
        <v>25</v>
      </c>
      <c r="F13" s="49">
        <f t="shared" si="0"/>
        <v>25</v>
      </c>
      <c r="G13" s="48" t="s">
        <v>311</v>
      </c>
    </row>
    <row r="14" ht="24" spans="1:7">
      <c r="A14" s="52"/>
      <c r="B14" s="52"/>
      <c r="C14" s="49" t="s">
        <v>312</v>
      </c>
      <c r="D14" s="49">
        <v>1</v>
      </c>
      <c r="E14" s="50">
        <v>12</v>
      </c>
      <c r="F14" s="49">
        <f t="shared" si="0"/>
        <v>12</v>
      </c>
      <c r="G14" s="48" t="s">
        <v>311</v>
      </c>
    </row>
    <row r="15" ht="24" spans="1:7">
      <c r="A15" s="52"/>
      <c r="B15" s="52"/>
      <c r="C15" s="49" t="s">
        <v>323</v>
      </c>
      <c r="D15" s="49">
        <v>2</v>
      </c>
      <c r="E15" s="50">
        <v>2.5</v>
      </c>
      <c r="F15" s="49">
        <f t="shared" si="0"/>
        <v>5</v>
      </c>
      <c r="G15" s="48" t="s">
        <v>311</v>
      </c>
    </row>
    <row r="16" ht="24" spans="1:7">
      <c r="A16" s="52"/>
      <c r="B16" s="52"/>
      <c r="C16" s="49" t="s">
        <v>324</v>
      </c>
      <c r="D16" s="49">
        <v>2</v>
      </c>
      <c r="E16" s="50">
        <v>12.5</v>
      </c>
      <c r="F16" s="49">
        <f t="shared" si="0"/>
        <v>25</v>
      </c>
      <c r="G16" s="48" t="s">
        <v>311</v>
      </c>
    </row>
    <row r="17" ht="24" spans="1:7">
      <c r="A17" s="52"/>
      <c r="B17" s="52"/>
      <c r="C17" s="49" t="s">
        <v>325</v>
      </c>
      <c r="D17" s="49">
        <v>4</v>
      </c>
      <c r="E17" s="50">
        <v>1</v>
      </c>
      <c r="F17" s="49">
        <f t="shared" si="0"/>
        <v>4</v>
      </c>
      <c r="G17" s="48" t="s">
        <v>311</v>
      </c>
    </row>
    <row r="18" ht="24" spans="1:7">
      <c r="A18" s="52"/>
      <c r="B18" s="52"/>
      <c r="C18" s="47" t="s">
        <v>326</v>
      </c>
      <c r="D18" s="49">
        <v>2</v>
      </c>
      <c r="E18" s="50">
        <v>1</v>
      </c>
      <c r="F18" s="49">
        <f t="shared" si="0"/>
        <v>2</v>
      </c>
      <c r="G18" s="48" t="s">
        <v>311</v>
      </c>
    </row>
    <row r="19" ht="24" spans="1:7">
      <c r="A19" s="53"/>
      <c r="B19" s="52"/>
      <c r="C19" s="49" t="s">
        <v>321</v>
      </c>
      <c r="D19" s="49">
        <v>1</v>
      </c>
      <c r="E19" s="50">
        <v>15</v>
      </c>
      <c r="F19" s="49">
        <f t="shared" si="0"/>
        <v>15</v>
      </c>
      <c r="G19" s="48" t="s">
        <v>311</v>
      </c>
    </row>
    <row r="20" ht="24" spans="1:7">
      <c r="A20" s="51">
        <v>4</v>
      </c>
      <c r="B20" s="51" t="s">
        <v>327</v>
      </c>
      <c r="C20" s="47" t="s">
        <v>328</v>
      </c>
      <c r="D20" s="49"/>
      <c r="E20" s="50"/>
      <c r="F20" s="49">
        <f t="shared" si="0"/>
        <v>0</v>
      </c>
      <c r="G20" s="48" t="s">
        <v>311</v>
      </c>
    </row>
    <row r="21" ht="24" spans="1:7">
      <c r="A21" s="52"/>
      <c r="B21" s="52"/>
      <c r="C21" s="49"/>
      <c r="D21" s="49"/>
      <c r="E21" s="50"/>
      <c r="F21" s="49">
        <f t="shared" si="0"/>
        <v>0</v>
      </c>
      <c r="G21" s="48" t="s">
        <v>311</v>
      </c>
    </row>
    <row r="22" ht="24" spans="1:7">
      <c r="A22" s="52"/>
      <c r="B22" s="52"/>
      <c r="C22" s="49"/>
      <c r="D22" s="49"/>
      <c r="E22" s="50"/>
      <c r="F22" s="49">
        <f t="shared" si="0"/>
        <v>0</v>
      </c>
      <c r="G22" s="48" t="s">
        <v>311</v>
      </c>
    </row>
    <row r="23" ht="24" spans="1:7">
      <c r="A23" s="51">
        <v>5</v>
      </c>
      <c r="B23" s="51" t="s">
        <v>329</v>
      </c>
      <c r="C23" s="49" t="s">
        <v>330</v>
      </c>
      <c r="D23" s="49">
        <v>1</v>
      </c>
      <c r="E23" s="50">
        <v>25</v>
      </c>
      <c r="F23" s="49">
        <f t="shared" si="0"/>
        <v>25</v>
      </c>
      <c r="G23" s="48" t="s">
        <v>311</v>
      </c>
    </row>
    <row r="24" ht="24" spans="1:7">
      <c r="A24" s="52"/>
      <c r="B24" s="52"/>
      <c r="C24" s="49" t="s">
        <v>331</v>
      </c>
      <c r="D24" s="49">
        <v>1</v>
      </c>
      <c r="E24" s="50">
        <v>20</v>
      </c>
      <c r="F24" s="49">
        <f t="shared" si="0"/>
        <v>20</v>
      </c>
      <c r="G24" s="48" t="s">
        <v>311</v>
      </c>
    </row>
    <row r="25" ht="24" spans="1:7">
      <c r="A25" s="53"/>
      <c r="B25" s="52"/>
      <c r="C25" s="49" t="s">
        <v>332</v>
      </c>
      <c r="D25" s="49">
        <v>4</v>
      </c>
      <c r="E25" s="50">
        <v>9</v>
      </c>
      <c r="F25" s="49">
        <f t="shared" si="0"/>
        <v>36</v>
      </c>
      <c r="G25" s="48" t="s">
        <v>311</v>
      </c>
    </row>
    <row r="26" spans="1:7">
      <c r="A26" s="47">
        <v>6</v>
      </c>
      <c r="B26" s="48" t="s">
        <v>333</v>
      </c>
      <c r="C26" s="49" t="s">
        <v>330</v>
      </c>
      <c r="D26" s="49">
        <v>2</v>
      </c>
      <c r="E26" s="50">
        <v>12</v>
      </c>
      <c r="F26" s="49">
        <f t="shared" si="0"/>
        <v>24</v>
      </c>
      <c r="G26" s="48" t="s">
        <v>334</v>
      </c>
    </row>
    <row r="27" spans="1:7">
      <c r="A27" s="47"/>
      <c r="B27" s="48"/>
      <c r="C27" s="49" t="s">
        <v>331</v>
      </c>
      <c r="D27" s="49">
        <v>2</v>
      </c>
      <c r="E27" s="50">
        <v>15</v>
      </c>
      <c r="F27" s="49">
        <f t="shared" si="0"/>
        <v>30</v>
      </c>
      <c r="G27" s="48" t="s">
        <v>334</v>
      </c>
    </row>
    <row r="28" spans="1:7">
      <c r="A28" s="47"/>
      <c r="B28" s="48"/>
      <c r="C28" s="49" t="s">
        <v>332</v>
      </c>
      <c r="D28" s="49">
        <v>4</v>
      </c>
      <c r="E28" s="50">
        <v>9</v>
      </c>
      <c r="F28" s="49">
        <f t="shared" si="0"/>
        <v>36</v>
      </c>
      <c r="G28" s="48" t="s">
        <v>334</v>
      </c>
    </row>
    <row r="29" spans="1:7">
      <c r="A29" s="47">
        <v>7</v>
      </c>
      <c r="B29" s="48" t="s">
        <v>335</v>
      </c>
      <c r="C29" s="49" t="s">
        <v>317</v>
      </c>
      <c r="D29" s="54">
        <v>1</v>
      </c>
      <c r="E29" s="54">
        <v>20</v>
      </c>
      <c r="F29" s="49">
        <f t="shared" si="0"/>
        <v>20</v>
      </c>
      <c r="G29" s="48" t="s">
        <v>334</v>
      </c>
    </row>
    <row r="30" spans="1:7">
      <c r="A30" s="47"/>
      <c r="B30" s="48"/>
      <c r="C30" s="49" t="s">
        <v>336</v>
      </c>
      <c r="D30" s="54">
        <v>1</v>
      </c>
      <c r="E30" s="54">
        <v>25</v>
      </c>
      <c r="F30" s="49">
        <f t="shared" si="0"/>
        <v>25</v>
      </c>
      <c r="G30" s="48" t="s">
        <v>334</v>
      </c>
    </row>
    <row r="31" spans="1:7">
      <c r="A31" s="47"/>
      <c r="B31" s="48"/>
      <c r="C31" s="49" t="s">
        <v>337</v>
      </c>
      <c r="D31" s="54">
        <v>1</v>
      </c>
      <c r="E31" s="54">
        <v>30</v>
      </c>
      <c r="F31" s="49">
        <f t="shared" si="0"/>
        <v>30</v>
      </c>
      <c r="G31" s="48" t="s">
        <v>334</v>
      </c>
    </row>
    <row r="32" spans="1:7">
      <c r="A32" s="47"/>
      <c r="B32" s="48"/>
      <c r="C32" s="49" t="s">
        <v>338</v>
      </c>
      <c r="D32" s="54">
        <v>1</v>
      </c>
      <c r="E32" s="54">
        <v>8</v>
      </c>
      <c r="F32" s="49">
        <f t="shared" si="0"/>
        <v>8</v>
      </c>
      <c r="G32" s="48" t="s">
        <v>334</v>
      </c>
    </row>
    <row r="33" spans="1:7">
      <c r="A33" s="47"/>
      <c r="B33" s="48"/>
      <c r="C33" s="49" t="s">
        <v>324</v>
      </c>
      <c r="D33" s="54">
        <v>3</v>
      </c>
      <c r="E33" s="54">
        <v>12</v>
      </c>
      <c r="F33" s="49">
        <f t="shared" si="0"/>
        <v>36</v>
      </c>
      <c r="G33" s="48" t="s">
        <v>334</v>
      </c>
    </row>
    <row r="34" spans="1:7">
      <c r="A34" s="51">
        <v>8</v>
      </c>
      <c r="B34" s="48" t="s">
        <v>339</v>
      </c>
      <c r="C34" s="54" t="s">
        <v>340</v>
      </c>
      <c r="D34" s="54">
        <v>2</v>
      </c>
      <c r="E34" s="55">
        <v>45</v>
      </c>
      <c r="F34" s="49">
        <f t="shared" si="0"/>
        <v>90</v>
      </c>
      <c r="G34" s="48" t="s">
        <v>334</v>
      </c>
    </row>
    <row r="35" spans="1:7">
      <c r="A35" s="53"/>
      <c r="B35" s="48"/>
      <c r="C35" s="54" t="s">
        <v>341</v>
      </c>
      <c r="D35" s="54">
        <v>2</v>
      </c>
      <c r="E35" s="55">
        <v>210</v>
      </c>
      <c r="F35" s="49">
        <f t="shared" si="0"/>
        <v>420</v>
      </c>
      <c r="G35" s="48" t="s">
        <v>334</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2" workbookViewId="0">
      <selection activeCell="F15" sqref="F15"/>
    </sheetView>
  </sheetViews>
  <sheetFormatPr defaultColWidth="9" defaultRowHeight="24.95" customHeight="1" outlineLevelCol="6"/>
  <cols>
    <col min="2" max="2" width="22" customWidth="1"/>
    <col min="3" max="4" width="14.6296296296296" customWidth="1"/>
    <col min="5" max="5" width="16.6296296296296" customWidth="1"/>
    <col min="6" max="6" width="14.5" style="1" customWidth="1"/>
    <col min="7" max="7" width="16.3796296296296" customWidth="1"/>
  </cols>
  <sheetData>
    <row r="1" customHeight="1" spans="1:7">
      <c r="A1" s="38" t="s">
        <v>342</v>
      </c>
      <c r="B1" s="39"/>
      <c r="C1" s="39"/>
      <c r="D1" s="39"/>
      <c r="E1" s="39"/>
      <c r="F1" s="38"/>
      <c r="G1" s="38"/>
    </row>
    <row r="2" customHeight="1" spans="1:7">
      <c r="A2" s="40" t="s">
        <v>257</v>
      </c>
      <c r="B2" s="40"/>
      <c r="C2" s="40"/>
      <c r="D2" s="40"/>
      <c r="E2" s="40"/>
      <c r="F2" s="41"/>
      <c r="G2" s="40"/>
    </row>
    <row r="3" customHeight="1" spans="1:7">
      <c r="A3" s="42" t="s">
        <v>38</v>
      </c>
      <c r="B3" s="42" t="s">
        <v>343</v>
      </c>
      <c r="C3" s="42" t="s">
        <v>191</v>
      </c>
      <c r="D3" s="42" t="s">
        <v>344</v>
      </c>
      <c r="E3" s="42" t="s">
        <v>345</v>
      </c>
      <c r="F3" s="42" t="s">
        <v>346</v>
      </c>
      <c r="G3" s="42" t="s">
        <v>44</v>
      </c>
    </row>
    <row r="4" customHeight="1" spans="1:7">
      <c r="A4" s="42">
        <v>1</v>
      </c>
      <c r="B4" s="43" t="s">
        <v>293</v>
      </c>
      <c r="C4" s="43" t="s">
        <v>206</v>
      </c>
      <c r="D4" s="42"/>
      <c r="E4" s="42">
        <v>65</v>
      </c>
      <c r="F4" s="42"/>
      <c r="G4" s="42"/>
    </row>
    <row r="5" customHeight="1" spans="1:7">
      <c r="A5" s="42">
        <v>2</v>
      </c>
      <c r="B5" s="43" t="s">
        <v>296</v>
      </c>
      <c r="C5" s="43" t="s">
        <v>206</v>
      </c>
      <c r="D5" s="42"/>
      <c r="E5" s="42">
        <v>70</v>
      </c>
      <c r="F5" s="42"/>
      <c r="G5" s="42"/>
    </row>
    <row r="6" customHeight="1" spans="1:7">
      <c r="A6" s="42">
        <v>3</v>
      </c>
      <c r="B6" s="43" t="s">
        <v>251</v>
      </c>
      <c r="C6" s="43" t="s">
        <v>206</v>
      </c>
      <c r="D6" s="42">
        <v>110</v>
      </c>
      <c r="E6" s="42"/>
      <c r="F6" s="42"/>
      <c r="G6" s="42"/>
    </row>
    <row r="7" customHeight="1" spans="1:7">
      <c r="A7" s="42">
        <v>4</v>
      </c>
      <c r="B7" s="43" t="s">
        <v>250</v>
      </c>
      <c r="C7" s="43" t="s">
        <v>206</v>
      </c>
      <c r="D7" s="42"/>
      <c r="E7" s="42">
        <v>125</v>
      </c>
      <c r="F7" s="42"/>
      <c r="G7" s="42"/>
    </row>
    <row r="8" customHeight="1" spans="1:7">
      <c r="A8" s="42">
        <v>5</v>
      </c>
      <c r="B8" s="43" t="s">
        <v>252</v>
      </c>
      <c r="C8" s="43" t="s">
        <v>206</v>
      </c>
      <c r="D8" s="42"/>
      <c r="E8" s="42">
        <v>135</v>
      </c>
      <c r="F8" s="42"/>
      <c r="G8" s="42"/>
    </row>
    <row r="9" customHeight="1" spans="1:7">
      <c r="A9" s="42">
        <v>6</v>
      </c>
      <c r="B9" s="43" t="s">
        <v>347</v>
      </c>
      <c r="C9" s="43" t="s">
        <v>206</v>
      </c>
      <c r="D9" s="42"/>
      <c r="E9" s="42"/>
      <c r="F9" s="42">
        <v>145</v>
      </c>
      <c r="G9" s="42"/>
    </row>
    <row r="10" customHeight="1" spans="1:7">
      <c r="A10" s="42">
        <v>7</v>
      </c>
      <c r="B10" s="43" t="s">
        <v>348</v>
      </c>
      <c r="C10" s="43" t="s">
        <v>206</v>
      </c>
      <c r="D10" s="42"/>
      <c r="E10" s="42"/>
      <c r="F10" s="42">
        <v>148</v>
      </c>
      <c r="G10" s="42"/>
    </row>
    <row r="11" customHeight="1" spans="1:7">
      <c r="A11" s="42">
        <v>8</v>
      </c>
      <c r="B11" s="43" t="s">
        <v>349</v>
      </c>
      <c r="C11" s="43" t="s">
        <v>206</v>
      </c>
      <c r="D11" s="43">
        <v>150</v>
      </c>
      <c r="E11" s="43"/>
      <c r="F11" s="43"/>
      <c r="G11" s="44"/>
    </row>
    <row r="12" customHeight="1" spans="1:7">
      <c r="A12" s="42">
        <v>9</v>
      </c>
      <c r="B12" s="43" t="s">
        <v>254</v>
      </c>
      <c r="C12" s="43" t="s">
        <v>206</v>
      </c>
      <c r="D12" s="43"/>
      <c r="E12" s="43">
        <v>150</v>
      </c>
      <c r="F12" s="43"/>
      <c r="G12" s="44"/>
    </row>
    <row r="13" customHeight="1" spans="1:7">
      <c r="A13" s="42">
        <v>10</v>
      </c>
      <c r="B13" s="43" t="s">
        <v>240</v>
      </c>
      <c r="C13" s="43" t="s">
        <v>206</v>
      </c>
      <c r="D13" s="43"/>
      <c r="E13" s="45"/>
      <c r="F13" s="43">
        <v>185</v>
      </c>
      <c r="G13" s="44"/>
    </row>
    <row r="14" ht="40" customHeight="1" spans="1:7">
      <c r="A14" s="42">
        <v>11</v>
      </c>
      <c r="B14" s="43" t="s">
        <v>241</v>
      </c>
      <c r="C14" s="43" t="s">
        <v>206</v>
      </c>
      <c r="D14" s="17"/>
      <c r="E14" s="17"/>
      <c r="F14" s="16">
        <v>210</v>
      </c>
      <c r="G14" s="17"/>
    </row>
    <row r="15" ht="40" customHeight="1" spans="1:7">
      <c r="A15" s="42">
        <v>12</v>
      </c>
      <c r="B15" s="43" t="s">
        <v>242</v>
      </c>
      <c r="C15" s="43" t="s">
        <v>206</v>
      </c>
      <c r="D15" s="17"/>
      <c r="E15" s="17"/>
      <c r="F15" s="16">
        <v>280</v>
      </c>
      <c r="G15" s="17"/>
    </row>
    <row r="16" customHeight="1" spans="1:7">
      <c r="A16" s="42">
        <v>13</v>
      </c>
      <c r="B16" s="43" t="s">
        <v>245</v>
      </c>
      <c r="C16" s="43" t="s">
        <v>206</v>
      </c>
      <c r="D16" s="17"/>
      <c r="E16" s="17"/>
      <c r="F16" s="16">
        <v>210</v>
      </c>
      <c r="G16" s="17"/>
    </row>
    <row r="17" customHeight="1" spans="1:7">
      <c r="A17" s="42">
        <v>14</v>
      </c>
      <c r="B17" s="43" t="s">
        <v>246</v>
      </c>
      <c r="C17" s="43" t="s">
        <v>206</v>
      </c>
      <c r="D17" s="17"/>
      <c r="E17" s="17"/>
      <c r="F17" s="16">
        <v>230</v>
      </c>
      <c r="G17" s="17"/>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1"/>
  <sheetViews>
    <sheetView topLeftCell="A19" workbookViewId="0">
      <selection activeCell="D21" sqref="D21"/>
    </sheetView>
  </sheetViews>
  <sheetFormatPr defaultColWidth="9" defaultRowHeight="35" customHeight="1"/>
  <cols>
    <col min="1" max="1" width="7.5" style="1" customWidth="1"/>
    <col min="2" max="2" width="21.25" customWidth="1"/>
    <col min="3" max="3" width="9.84259259259259" customWidth="1"/>
    <col min="4" max="4" width="45.5" customWidth="1"/>
    <col min="5" max="5" width="12.6296296296296" style="1" customWidth="1"/>
    <col min="6" max="6" width="8.37962962962963" style="1" customWidth="1"/>
    <col min="7" max="7" width="8.62962962962963" style="1" customWidth="1"/>
    <col min="8" max="8" width="7.75" style="1" customWidth="1"/>
    <col min="9" max="9" width="8.5" style="1" customWidth="1"/>
    <col min="10" max="10" width="9.12962962962963" style="1" customWidth="1"/>
    <col min="11" max="11" width="12.6296296296296" style="1" customWidth="1"/>
    <col min="12" max="12" width="17.1851851851852" customWidth="1"/>
    <col min="13" max="13" width="29.1296296296296" style="2" customWidth="1"/>
    <col min="14" max="14" width="12.6296296296296" customWidth="1"/>
  </cols>
  <sheetData>
    <row r="1" customHeight="1" spans="1:12">
      <c r="A1" s="3" t="s">
        <v>350</v>
      </c>
      <c r="B1" s="3"/>
      <c r="C1" s="3"/>
      <c r="D1" s="3"/>
      <c r="E1" s="3"/>
      <c r="F1" s="3"/>
      <c r="G1" s="3"/>
      <c r="H1" s="3"/>
      <c r="I1" s="3"/>
      <c r="J1" s="3"/>
      <c r="K1" s="3"/>
      <c r="L1" s="3"/>
    </row>
    <row r="2" customHeight="1" spans="1:12">
      <c r="A2" s="4" t="s">
        <v>38</v>
      </c>
      <c r="B2" s="4" t="s">
        <v>85</v>
      </c>
      <c r="C2" s="5" t="s">
        <v>86</v>
      </c>
      <c r="D2" s="5" t="s">
        <v>40</v>
      </c>
      <c r="E2" s="6" t="s">
        <v>351</v>
      </c>
      <c r="F2" s="5" t="s">
        <v>352</v>
      </c>
      <c r="G2" s="5" t="s">
        <v>353</v>
      </c>
      <c r="H2" s="5" t="s">
        <v>354</v>
      </c>
      <c r="I2" s="5" t="s">
        <v>355</v>
      </c>
      <c r="J2" s="5" t="s">
        <v>356</v>
      </c>
      <c r="K2" s="5" t="s">
        <v>87</v>
      </c>
      <c r="L2" s="18" t="s">
        <v>44</v>
      </c>
    </row>
    <row r="3" s="1" customFormat="1" customHeight="1" spans="1:13">
      <c r="A3" s="7" t="s">
        <v>357</v>
      </c>
      <c r="B3" s="8"/>
      <c r="C3" s="8"/>
      <c r="D3" s="8"/>
      <c r="E3" s="8"/>
      <c r="F3" s="8"/>
      <c r="G3" s="8"/>
      <c r="H3" s="8"/>
      <c r="I3" s="8"/>
      <c r="J3" s="8"/>
      <c r="K3" s="8"/>
      <c r="L3" s="8"/>
      <c r="M3" s="19" t="s">
        <v>358</v>
      </c>
    </row>
    <row r="4" ht="73" customHeight="1" outlineLevel="1" spans="1:14">
      <c r="A4" s="9">
        <v>1</v>
      </c>
      <c r="B4" s="10" t="s">
        <v>359</v>
      </c>
      <c r="C4" s="11" t="s">
        <v>360</v>
      </c>
      <c r="D4" s="12" t="s">
        <v>53</v>
      </c>
      <c r="E4" s="13" t="s">
        <v>361</v>
      </c>
      <c r="F4" s="13">
        <v>2100</v>
      </c>
      <c r="G4" s="13">
        <v>2100</v>
      </c>
      <c r="H4" s="13">
        <v>2100</v>
      </c>
      <c r="I4" s="13">
        <v>2100</v>
      </c>
      <c r="J4" s="13">
        <v>7</v>
      </c>
      <c r="K4" s="13">
        <f>J4*G4*F4/1000000</f>
        <v>30.87</v>
      </c>
      <c r="L4" s="20" t="s">
        <v>357</v>
      </c>
      <c r="M4" s="14" t="s">
        <v>362</v>
      </c>
      <c r="N4">
        <f>K4</f>
        <v>30.87</v>
      </c>
    </row>
    <row r="5" ht="53" customHeight="1" outlineLevel="1" spans="1:14">
      <c r="A5" s="9">
        <v>2</v>
      </c>
      <c r="B5" s="10" t="s">
        <v>359</v>
      </c>
      <c r="C5" s="11" t="s">
        <v>360</v>
      </c>
      <c r="D5" s="12" t="s">
        <v>53</v>
      </c>
      <c r="E5" s="13" t="s">
        <v>363</v>
      </c>
      <c r="F5" s="13">
        <v>2100</v>
      </c>
      <c r="G5" s="13">
        <v>2100</v>
      </c>
      <c r="H5" s="13">
        <v>2100</v>
      </c>
      <c r="I5" s="13">
        <v>2100</v>
      </c>
      <c r="J5" s="13">
        <v>19</v>
      </c>
      <c r="K5" s="13">
        <f>J5*G5*F5/1000000</f>
        <v>83.79</v>
      </c>
      <c r="L5" s="20" t="s">
        <v>357</v>
      </c>
      <c r="N5">
        <f t="shared" ref="N5:N68" si="0">K5</f>
        <v>83.79</v>
      </c>
    </row>
    <row r="6" ht="54" customHeight="1" outlineLevel="1" spans="1:14">
      <c r="A6" s="9">
        <v>3</v>
      </c>
      <c r="B6" s="10" t="s">
        <v>364</v>
      </c>
      <c r="C6" s="11" t="s">
        <v>360</v>
      </c>
      <c r="D6" s="12" t="s">
        <v>143</v>
      </c>
      <c r="E6" s="13" t="s">
        <v>365</v>
      </c>
      <c r="F6" s="13">
        <v>2100</v>
      </c>
      <c r="G6" s="13">
        <v>2100</v>
      </c>
      <c r="H6" s="13">
        <v>2100</v>
      </c>
      <c r="I6" s="13">
        <v>2100</v>
      </c>
      <c r="J6" s="9">
        <v>25</v>
      </c>
      <c r="K6" s="13">
        <f>J6*G6*F6/1000000</f>
        <v>110.25</v>
      </c>
      <c r="L6" s="20" t="s">
        <v>357</v>
      </c>
      <c r="N6">
        <f t="shared" si="0"/>
        <v>110.25</v>
      </c>
    </row>
    <row r="7" customHeight="1" outlineLevel="1" spans="1:14">
      <c r="A7" s="9">
        <v>4</v>
      </c>
      <c r="B7" s="10" t="s">
        <v>359</v>
      </c>
      <c r="C7" s="11" t="s">
        <v>366</v>
      </c>
      <c r="D7" s="12" t="s">
        <v>52</v>
      </c>
      <c r="E7" s="13" t="s">
        <v>367</v>
      </c>
      <c r="F7" s="9">
        <v>1500</v>
      </c>
      <c r="G7" s="9">
        <v>2100</v>
      </c>
      <c r="H7" s="9">
        <v>1500</v>
      </c>
      <c r="I7" s="9">
        <v>2100</v>
      </c>
      <c r="J7" s="9">
        <v>5</v>
      </c>
      <c r="K7" s="13">
        <f>J7*G7*F7/1000000</f>
        <v>15.75</v>
      </c>
      <c r="L7" s="20" t="s">
        <v>357</v>
      </c>
      <c r="M7" s="14" t="s">
        <v>368</v>
      </c>
      <c r="N7">
        <f t="shared" si="0"/>
        <v>15.75</v>
      </c>
    </row>
    <row r="8" customHeight="1" outlineLevel="1" spans="1:14">
      <c r="A8" s="9">
        <v>5</v>
      </c>
      <c r="B8" s="10" t="s">
        <v>359</v>
      </c>
      <c r="C8" s="11" t="s">
        <v>366</v>
      </c>
      <c r="D8" s="12" t="s">
        <v>52</v>
      </c>
      <c r="E8" s="13" t="s">
        <v>363</v>
      </c>
      <c r="F8" s="9">
        <v>1500</v>
      </c>
      <c r="G8" s="9">
        <v>2100</v>
      </c>
      <c r="H8" s="9">
        <v>1500</v>
      </c>
      <c r="I8" s="9">
        <v>2100</v>
      </c>
      <c r="J8" s="9">
        <v>19</v>
      </c>
      <c r="K8" s="13">
        <f t="shared" ref="K8:K23" si="1">J8*G8*F8/1000000</f>
        <v>59.85</v>
      </c>
      <c r="L8" s="20" t="s">
        <v>357</v>
      </c>
      <c r="N8">
        <f t="shared" si="0"/>
        <v>59.85</v>
      </c>
    </row>
    <row r="9" customHeight="1" outlineLevel="1" spans="1:14">
      <c r="A9" s="9">
        <v>6</v>
      </c>
      <c r="B9" s="10" t="s">
        <v>359</v>
      </c>
      <c r="C9" s="11" t="s">
        <v>369</v>
      </c>
      <c r="D9" s="12" t="s">
        <v>370</v>
      </c>
      <c r="E9" s="13">
        <v>2</v>
      </c>
      <c r="F9" s="13">
        <v>1500</v>
      </c>
      <c r="G9" s="13">
        <v>1700</v>
      </c>
      <c r="H9" s="13">
        <v>1500</v>
      </c>
      <c r="I9" s="13">
        <v>1700</v>
      </c>
      <c r="J9" s="13">
        <v>1</v>
      </c>
      <c r="K9" s="13">
        <f t="shared" si="1"/>
        <v>2.55</v>
      </c>
      <c r="L9" s="20" t="s">
        <v>357</v>
      </c>
      <c r="N9">
        <f t="shared" si="0"/>
        <v>2.55</v>
      </c>
    </row>
    <row r="10" customHeight="1" outlineLevel="1" spans="1:14">
      <c r="A10" s="9">
        <v>7</v>
      </c>
      <c r="B10" s="10" t="s">
        <v>364</v>
      </c>
      <c r="C10" s="11" t="s">
        <v>371</v>
      </c>
      <c r="D10" s="12" t="s">
        <v>76</v>
      </c>
      <c r="E10" s="13" t="s">
        <v>372</v>
      </c>
      <c r="F10" s="9">
        <v>1500</v>
      </c>
      <c r="G10" s="9">
        <v>1400</v>
      </c>
      <c r="H10" s="9">
        <v>1500</v>
      </c>
      <c r="I10" s="9">
        <v>1400</v>
      </c>
      <c r="J10" s="9">
        <v>51</v>
      </c>
      <c r="K10" s="13">
        <f t="shared" si="1"/>
        <v>107.1</v>
      </c>
      <c r="L10" s="20" t="s">
        <v>357</v>
      </c>
      <c r="N10">
        <f t="shared" si="0"/>
        <v>107.1</v>
      </c>
    </row>
    <row r="11" customHeight="1" outlineLevel="1" spans="1:14">
      <c r="A11" s="9">
        <v>8</v>
      </c>
      <c r="B11" s="10" t="s">
        <v>359</v>
      </c>
      <c r="C11" s="11" t="s">
        <v>371</v>
      </c>
      <c r="D11" s="12" t="s">
        <v>52</v>
      </c>
      <c r="E11" s="13" t="s">
        <v>373</v>
      </c>
      <c r="F11" s="9">
        <v>1500</v>
      </c>
      <c r="G11" s="9">
        <v>1400</v>
      </c>
      <c r="H11" s="9">
        <v>1500</v>
      </c>
      <c r="I11" s="9">
        <v>1400</v>
      </c>
      <c r="J11" s="9">
        <v>6</v>
      </c>
      <c r="K11" s="13">
        <f t="shared" si="1"/>
        <v>12.6</v>
      </c>
      <c r="L11" s="20" t="s">
        <v>357</v>
      </c>
      <c r="M11" s="14" t="s">
        <v>368</v>
      </c>
      <c r="N11">
        <f t="shared" si="0"/>
        <v>12.6</v>
      </c>
    </row>
    <row r="12" customHeight="1" outlineLevel="1" spans="1:14">
      <c r="A12" s="9">
        <v>9</v>
      </c>
      <c r="B12" s="10" t="s">
        <v>359</v>
      </c>
      <c r="C12" s="11" t="s">
        <v>371</v>
      </c>
      <c r="D12" s="12" t="s">
        <v>52</v>
      </c>
      <c r="E12" s="13" t="s">
        <v>363</v>
      </c>
      <c r="F12" s="9">
        <v>1500</v>
      </c>
      <c r="G12" s="9">
        <v>1400</v>
      </c>
      <c r="H12" s="9">
        <v>1500</v>
      </c>
      <c r="I12" s="9">
        <v>1400</v>
      </c>
      <c r="J12" s="9">
        <v>19</v>
      </c>
      <c r="K12" s="13">
        <f t="shared" si="1"/>
        <v>39.9</v>
      </c>
      <c r="L12" s="20" t="s">
        <v>357</v>
      </c>
      <c r="N12">
        <f t="shared" si="0"/>
        <v>39.9</v>
      </c>
    </row>
    <row r="13" customHeight="1" outlineLevel="1" spans="1:14">
      <c r="A13" s="9">
        <v>10</v>
      </c>
      <c r="B13" s="10" t="s">
        <v>359</v>
      </c>
      <c r="C13" s="11" t="s">
        <v>374</v>
      </c>
      <c r="D13" s="12" t="s">
        <v>52</v>
      </c>
      <c r="E13" s="13" t="s">
        <v>373</v>
      </c>
      <c r="F13" s="13">
        <v>900</v>
      </c>
      <c r="G13" s="13">
        <v>1400</v>
      </c>
      <c r="H13" s="13">
        <v>900</v>
      </c>
      <c r="I13" s="13">
        <v>1400</v>
      </c>
      <c r="J13" s="13">
        <f>6*3+1</f>
        <v>19</v>
      </c>
      <c r="K13" s="13">
        <f t="shared" si="1"/>
        <v>23.94</v>
      </c>
      <c r="L13" s="20" t="s">
        <v>357</v>
      </c>
      <c r="M13" s="14" t="s">
        <v>368</v>
      </c>
      <c r="N13">
        <f t="shared" si="0"/>
        <v>23.94</v>
      </c>
    </row>
    <row r="14" customHeight="1" outlineLevel="1" spans="1:14">
      <c r="A14" s="9">
        <v>11</v>
      </c>
      <c r="B14" s="10" t="s">
        <v>359</v>
      </c>
      <c r="C14" s="11" t="s">
        <v>374</v>
      </c>
      <c r="D14" s="12" t="s">
        <v>52</v>
      </c>
      <c r="E14" s="13" t="s">
        <v>363</v>
      </c>
      <c r="F14" s="13">
        <v>900</v>
      </c>
      <c r="G14" s="13">
        <v>1400</v>
      </c>
      <c r="H14" s="13">
        <v>900</v>
      </c>
      <c r="I14" s="13">
        <v>1400</v>
      </c>
      <c r="J14" s="13">
        <f>19*3</f>
        <v>57</v>
      </c>
      <c r="K14" s="13">
        <f t="shared" si="1"/>
        <v>71.82</v>
      </c>
      <c r="L14" s="20" t="s">
        <v>357</v>
      </c>
      <c r="N14">
        <f t="shared" si="0"/>
        <v>71.82</v>
      </c>
    </row>
    <row r="15" customHeight="1" outlineLevel="1" spans="1:14">
      <c r="A15" s="9">
        <v>12</v>
      </c>
      <c r="B15" s="10" t="s">
        <v>375</v>
      </c>
      <c r="C15" s="11" t="s">
        <v>376</v>
      </c>
      <c r="D15" s="12" t="s">
        <v>59</v>
      </c>
      <c r="E15" s="13" t="s">
        <v>373</v>
      </c>
      <c r="F15" s="13">
        <v>600</v>
      </c>
      <c r="G15" s="13">
        <v>1400</v>
      </c>
      <c r="H15" s="13">
        <v>600</v>
      </c>
      <c r="I15" s="13">
        <v>1400</v>
      </c>
      <c r="J15" s="13">
        <f>2+6*6</f>
        <v>38</v>
      </c>
      <c r="K15" s="13">
        <f t="shared" si="1"/>
        <v>31.92</v>
      </c>
      <c r="L15" s="20" t="s">
        <v>357</v>
      </c>
      <c r="M15" s="14" t="s">
        <v>377</v>
      </c>
      <c r="N15">
        <f t="shared" si="0"/>
        <v>31.92</v>
      </c>
    </row>
    <row r="16" customHeight="1" outlineLevel="1" spans="1:14">
      <c r="A16" s="9">
        <v>13</v>
      </c>
      <c r="B16" s="10" t="s">
        <v>375</v>
      </c>
      <c r="C16" s="11" t="s">
        <v>376</v>
      </c>
      <c r="D16" s="12" t="s">
        <v>59</v>
      </c>
      <c r="E16" s="13" t="s">
        <v>363</v>
      </c>
      <c r="F16" s="13">
        <v>600</v>
      </c>
      <c r="G16" s="13">
        <v>1400</v>
      </c>
      <c r="H16" s="13">
        <v>600</v>
      </c>
      <c r="I16" s="13">
        <v>1400</v>
      </c>
      <c r="J16" s="13">
        <f>19*6</f>
        <v>114</v>
      </c>
      <c r="K16" s="13">
        <f t="shared" si="1"/>
        <v>95.76</v>
      </c>
      <c r="L16" s="20" t="s">
        <v>357</v>
      </c>
      <c r="N16">
        <f t="shared" si="0"/>
        <v>95.76</v>
      </c>
    </row>
    <row r="17" customHeight="1" outlineLevel="1" spans="1:14">
      <c r="A17" s="9">
        <v>14</v>
      </c>
      <c r="B17" s="10" t="s">
        <v>359</v>
      </c>
      <c r="C17" s="11" t="s">
        <v>378</v>
      </c>
      <c r="D17" s="12" t="s">
        <v>54</v>
      </c>
      <c r="E17" s="13" t="s">
        <v>367</v>
      </c>
      <c r="F17" s="13">
        <v>5000</v>
      </c>
      <c r="G17" s="13">
        <v>2100</v>
      </c>
      <c r="H17" s="13">
        <v>5000</v>
      </c>
      <c r="I17" s="13">
        <v>2100</v>
      </c>
      <c r="J17" s="13">
        <v>5</v>
      </c>
      <c r="K17" s="13">
        <f t="shared" si="1"/>
        <v>52.5</v>
      </c>
      <c r="L17" s="20" t="s">
        <v>357</v>
      </c>
      <c r="M17" s="14" t="s">
        <v>130</v>
      </c>
      <c r="N17">
        <f t="shared" si="0"/>
        <v>52.5</v>
      </c>
    </row>
    <row r="18" ht="55" customHeight="1" outlineLevel="1" spans="1:14">
      <c r="A18" s="9">
        <v>15</v>
      </c>
      <c r="B18" s="10" t="s">
        <v>359</v>
      </c>
      <c r="C18" s="11" t="s">
        <v>378</v>
      </c>
      <c r="D18" s="12" t="s">
        <v>54</v>
      </c>
      <c r="E18" s="13" t="s">
        <v>363</v>
      </c>
      <c r="F18" s="13">
        <v>5000</v>
      </c>
      <c r="G18" s="13">
        <v>2100</v>
      </c>
      <c r="H18" s="13">
        <v>5000</v>
      </c>
      <c r="I18" s="13">
        <v>2100</v>
      </c>
      <c r="J18" s="9">
        <v>19</v>
      </c>
      <c r="K18" s="13">
        <f t="shared" si="1"/>
        <v>199.5</v>
      </c>
      <c r="L18" s="20" t="s">
        <v>357</v>
      </c>
      <c r="N18">
        <f t="shared" si="0"/>
        <v>199.5</v>
      </c>
    </row>
    <row r="19" customHeight="1" outlineLevel="1" spans="1:14">
      <c r="A19" s="9">
        <v>16</v>
      </c>
      <c r="B19" s="10" t="s">
        <v>283</v>
      </c>
      <c r="C19" s="11" t="s">
        <v>379</v>
      </c>
      <c r="D19" s="14" t="s">
        <v>62</v>
      </c>
      <c r="E19" s="9" t="s">
        <v>380</v>
      </c>
      <c r="F19" s="9">
        <v>900</v>
      </c>
      <c r="G19" s="9">
        <v>1400</v>
      </c>
      <c r="H19" s="9">
        <v>900</v>
      </c>
      <c r="I19" s="9">
        <v>1400</v>
      </c>
      <c r="J19" s="9">
        <v>52</v>
      </c>
      <c r="K19" s="13">
        <f t="shared" si="1"/>
        <v>65.52</v>
      </c>
      <c r="L19" s="20" t="s">
        <v>357</v>
      </c>
      <c r="M19" s="14" t="s">
        <v>381</v>
      </c>
      <c r="N19">
        <f t="shared" si="0"/>
        <v>65.52</v>
      </c>
    </row>
    <row r="20" customHeight="1" outlineLevel="1" spans="1:14">
      <c r="A20" s="9">
        <v>17</v>
      </c>
      <c r="B20" s="10" t="s">
        <v>145</v>
      </c>
      <c r="C20" s="11" t="s">
        <v>382</v>
      </c>
      <c r="D20" s="12" t="s">
        <v>56</v>
      </c>
      <c r="E20" s="13" t="s">
        <v>383</v>
      </c>
      <c r="F20" s="13">
        <v>1200</v>
      </c>
      <c r="G20" s="13">
        <v>1400</v>
      </c>
      <c r="H20" s="13">
        <v>1200</v>
      </c>
      <c r="I20" s="13">
        <v>1400</v>
      </c>
      <c r="J20" s="13">
        <v>2</v>
      </c>
      <c r="K20" s="13">
        <f t="shared" si="1"/>
        <v>3.36</v>
      </c>
      <c r="L20" s="20" t="s">
        <v>357</v>
      </c>
      <c r="M20" s="12" t="s">
        <v>384</v>
      </c>
      <c r="N20">
        <f t="shared" si="0"/>
        <v>3.36</v>
      </c>
    </row>
    <row r="21" ht="42" customHeight="1" outlineLevel="1" spans="1:14">
      <c r="A21" s="9">
        <v>18</v>
      </c>
      <c r="B21" s="10" t="s">
        <v>147</v>
      </c>
      <c r="C21" s="11" t="s">
        <v>385</v>
      </c>
      <c r="D21" s="12" t="s">
        <v>149</v>
      </c>
      <c r="E21" s="9" t="s">
        <v>386</v>
      </c>
      <c r="F21" s="9">
        <v>1200</v>
      </c>
      <c r="G21" s="9">
        <v>1000</v>
      </c>
      <c r="H21" s="9">
        <v>1200</v>
      </c>
      <c r="I21" s="9">
        <v>1000</v>
      </c>
      <c r="J21" s="9">
        <v>4</v>
      </c>
      <c r="K21" s="13">
        <f t="shared" si="1"/>
        <v>4.8</v>
      </c>
      <c r="L21" s="20" t="s">
        <v>357</v>
      </c>
      <c r="M21" s="12" t="s">
        <v>57</v>
      </c>
      <c r="N21">
        <f t="shared" si="0"/>
        <v>4.8</v>
      </c>
    </row>
    <row r="22" ht="37" customHeight="1" outlineLevel="1" spans="1:14">
      <c r="A22" s="9">
        <v>19</v>
      </c>
      <c r="B22" s="10" t="s">
        <v>359</v>
      </c>
      <c r="C22" s="11" t="s">
        <v>387</v>
      </c>
      <c r="D22" s="12" t="s">
        <v>388</v>
      </c>
      <c r="E22" s="9">
        <v>2</v>
      </c>
      <c r="F22" s="9">
        <v>5000</v>
      </c>
      <c r="G22" s="9">
        <v>1700</v>
      </c>
      <c r="H22" s="9">
        <v>5000</v>
      </c>
      <c r="I22" s="9">
        <v>1700</v>
      </c>
      <c r="J22" s="9">
        <v>1</v>
      </c>
      <c r="K22" s="13">
        <f t="shared" si="1"/>
        <v>8.5</v>
      </c>
      <c r="L22" s="20" t="s">
        <v>357</v>
      </c>
      <c r="N22">
        <f t="shared" si="0"/>
        <v>8.5</v>
      </c>
    </row>
    <row r="23" ht="36" customHeight="1" outlineLevel="1" spans="1:14">
      <c r="A23" s="9">
        <v>20</v>
      </c>
      <c r="B23" s="11" t="s">
        <v>157</v>
      </c>
      <c r="C23" s="11" t="s">
        <v>389</v>
      </c>
      <c r="D23" s="12" t="s">
        <v>70</v>
      </c>
      <c r="E23" s="9" t="s">
        <v>372</v>
      </c>
      <c r="F23" s="9">
        <v>1600</v>
      </c>
      <c r="G23" s="9">
        <v>2300</v>
      </c>
      <c r="H23" s="9">
        <v>1600</v>
      </c>
      <c r="I23" s="9">
        <v>2300</v>
      </c>
      <c r="J23" s="9">
        <v>76</v>
      </c>
      <c r="K23" s="13">
        <f t="shared" si="1"/>
        <v>279.68</v>
      </c>
      <c r="L23" s="20" t="s">
        <v>357</v>
      </c>
      <c r="M23" s="14" t="s">
        <v>390</v>
      </c>
      <c r="N23">
        <f t="shared" si="0"/>
        <v>279.68</v>
      </c>
    </row>
    <row r="24" ht="49" customHeight="1" outlineLevel="1" spans="1:14">
      <c r="A24" s="9">
        <v>21</v>
      </c>
      <c r="B24" s="11" t="s">
        <v>157</v>
      </c>
      <c r="C24" s="11" t="s">
        <v>391</v>
      </c>
      <c r="D24" s="12" t="s">
        <v>71</v>
      </c>
      <c r="E24" s="9" t="s">
        <v>372</v>
      </c>
      <c r="F24" s="9">
        <v>2100</v>
      </c>
      <c r="G24" s="9">
        <v>2300</v>
      </c>
      <c r="H24" s="9">
        <v>2100</v>
      </c>
      <c r="I24" s="9">
        <v>2300</v>
      </c>
      <c r="J24" s="9">
        <v>101</v>
      </c>
      <c r="K24" s="13">
        <f t="shared" ref="K24:K33" si="2">J24*G24*F24/1000000</f>
        <v>487.83</v>
      </c>
      <c r="L24" s="20" t="s">
        <v>357</v>
      </c>
      <c r="M24" s="14" t="s">
        <v>392</v>
      </c>
      <c r="N24">
        <f t="shared" si="0"/>
        <v>487.83</v>
      </c>
    </row>
    <row r="25" ht="36" customHeight="1" outlineLevel="1" spans="1:14">
      <c r="A25" s="9">
        <v>22</v>
      </c>
      <c r="B25" s="11" t="s">
        <v>165</v>
      </c>
      <c r="C25" s="11" t="s">
        <v>393</v>
      </c>
      <c r="D25" s="15" t="s">
        <v>73</v>
      </c>
      <c r="E25" s="9">
        <v>1</v>
      </c>
      <c r="F25" s="9">
        <v>3000</v>
      </c>
      <c r="G25" s="9">
        <v>3000</v>
      </c>
      <c r="H25" s="9">
        <v>3000</v>
      </c>
      <c r="I25" s="9">
        <v>3000</v>
      </c>
      <c r="J25" s="9">
        <v>2</v>
      </c>
      <c r="K25" s="13">
        <f t="shared" si="2"/>
        <v>18</v>
      </c>
      <c r="L25" s="20" t="s">
        <v>357</v>
      </c>
      <c r="M25" s="14" t="s">
        <v>394</v>
      </c>
      <c r="N25">
        <f t="shared" si="0"/>
        <v>18</v>
      </c>
    </row>
    <row r="26" ht="39" customHeight="1" outlineLevel="1" spans="1:14">
      <c r="A26" s="9">
        <v>23</v>
      </c>
      <c r="B26" s="11" t="s">
        <v>165</v>
      </c>
      <c r="C26" s="11" t="s">
        <v>395</v>
      </c>
      <c r="D26" s="15" t="s">
        <v>73</v>
      </c>
      <c r="E26" s="9">
        <v>1</v>
      </c>
      <c r="F26" s="9">
        <v>3100</v>
      </c>
      <c r="G26" s="9">
        <v>3000</v>
      </c>
      <c r="H26" s="9">
        <v>3100</v>
      </c>
      <c r="I26" s="9">
        <v>3000</v>
      </c>
      <c r="J26" s="9">
        <v>1</v>
      </c>
      <c r="K26" s="13">
        <f t="shared" si="2"/>
        <v>9.3</v>
      </c>
      <c r="L26" s="20" t="s">
        <v>357</v>
      </c>
      <c r="M26" s="14" t="s">
        <v>394</v>
      </c>
      <c r="N26">
        <f t="shared" si="0"/>
        <v>9.3</v>
      </c>
    </row>
    <row r="27" ht="44" customHeight="1" outlineLevel="1" spans="1:14">
      <c r="A27" s="9">
        <v>24</v>
      </c>
      <c r="B27" s="11" t="s">
        <v>165</v>
      </c>
      <c r="C27" s="11" t="s">
        <v>396</v>
      </c>
      <c r="D27" s="15" t="s">
        <v>73</v>
      </c>
      <c r="E27" s="9">
        <v>1</v>
      </c>
      <c r="F27" s="9">
        <v>3200</v>
      </c>
      <c r="G27" s="9">
        <v>3000</v>
      </c>
      <c r="H27" s="9">
        <v>3200</v>
      </c>
      <c r="I27" s="9">
        <v>3000</v>
      </c>
      <c r="J27" s="9">
        <v>1</v>
      </c>
      <c r="K27" s="13">
        <f t="shared" si="2"/>
        <v>9.6</v>
      </c>
      <c r="L27" s="20" t="s">
        <v>357</v>
      </c>
      <c r="M27" s="14" t="s">
        <v>394</v>
      </c>
      <c r="N27">
        <f t="shared" si="0"/>
        <v>9.6</v>
      </c>
    </row>
    <row r="28" ht="48" customHeight="1" outlineLevel="1" spans="1:14">
      <c r="A28" s="9">
        <v>25</v>
      </c>
      <c r="B28" s="11" t="s">
        <v>165</v>
      </c>
      <c r="C28" s="11" t="s">
        <v>397</v>
      </c>
      <c r="D28" s="15" t="s">
        <v>73</v>
      </c>
      <c r="E28" s="9">
        <v>1</v>
      </c>
      <c r="F28" s="9">
        <v>3000</v>
      </c>
      <c r="G28" s="9">
        <v>3000</v>
      </c>
      <c r="H28" s="9">
        <v>3000</v>
      </c>
      <c r="I28" s="9">
        <v>3000</v>
      </c>
      <c r="J28" s="9">
        <v>1</v>
      </c>
      <c r="K28" s="13">
        <f t="shared" si="2"/>
        <v>9</v>
      </c>
      <c r="L28" s="20" t="s">
        <v>357</v>
      </c>
      <c r="M28" s="14" t="s">
        <v>394</v>
      </c>
      <c r="N28">
        <f t="shared" si="0"/>
        <v>9</v>
      </c>
    </row>
    <row r="29" ht="42" customHeight="1" outlineLevel="1" spans="1:14">
      <c r="A29" s="9">
        <v>26</v>
      </c>
      <c r="B29" s="11" t="s">
        <v>165</v>
      </c>
      <c r="C29" s="11" t="s">
        <v>398</v>
      </c>
      <c r="D29" s="15" t="s">
        <v>73</v>
      </c>
      <c r="E29" s="9">
        <v>1</v>
      </c>
      <c r="F29" s="9">
        <v>3000</v>
      </c>
      <c r="G29" s="9">
        <v>3000</v>
      </c>
      <c r="H29" s="9">
        <v>3000</v>
      </c>
      <c r="I29" s="9">
        <v>3000</v>
      </c>
      <c r="J29" s="9">
        <v>2</v>
      </c>
      <c r="K29" s="13">
        <f t="shared" si="2"/>
        <v>18</v>
      </c>
      <c r="L29" s="20" t="s">
        <v>357</v>
      </c>
      <c r="M29" s="14" t="s">
        <v>394</v>
      </c>
      <c r="N29">
        <f t="shared" si="0"/>
        <v>18</v>
      </c>
    </row>
    <row r="30" ht="30" customHeight="1" outlineLevel="1" spans="1:14">
      <c r="A30" s="9">
        <v>27</v>
      </c>
      <c r="B30" s="11" t="s">
        <v>165</v>
      </c>
      <c r="C30" s="11" t="s">
        <v>399</v>
      </c>
      <c r="D30" s="15" t="s">
        <v>73</v>
      </c>
      <c r="E30" s="9">
        <v>1</v>
      </c>
      <c r="F30" s="9">
        <v>3200</v>
      </c>
      <c r="G30" s="9">
        <v>3000</v>
      </c>
      <c r="H30" s="9">
        <v>3200</v>
      </c>
      <c r="I30" s="9">
        <v>3000</v>
      </c>
      <c r="J30" s="9">
        <v>1</v>
      </c>
      <c r="K30" s="13">
        <f t="shared" si="2"/>
        <v>9.6</v>
      </c>
      <c r="L30" s="20" t="s">
        <v>357</v>
      </c>
      <c r="M30" s="14" t="s">
        <v>394</v>
      </c>
      <c r="N30">
        <f t="shared" si="0"/>
        <v>9.6</v>
      </c>
    </row>
    <row r="31" ht="33" customHeight="1" outlineLevel="1" spans="1:14">
      <c r="A31" s="9">
        <v>28</v>
      </c>
      <c r="B31" s="11" t="s">
        <v>165</v>
      </c>
      <c r="C31" s="11" t="s">
        <v>400</v>
      </c>
      <c r="D31" s="15" t="s">
        <v>73</v>
      </c>
      <c r="E31" s="9">
        <v>1</v>
      </c>
      <c r="F31" s="9">
        <v>4000</v>
      </c>
      <c r="G31" s="9">
        <v>3000</v>
      </c>
      <c r="H31" s="9">
        <v>4000</v>
      </c>
      <c r="I31" s="9">
        <v>3000</v>
      </c>
      <c r="J31" s="9">
        <v>1</v>
      </c>
      <c r="K31" s="13">
        <f t="shared" si="2"/>
        <v>12</v>
      </c>
      <c r="L31" s="20" t="s">
        <v>357</v>
      </c>
      <c r="M31" s="14" t="s">
        <v>394</v>
      </c>
      <c r="N31">
        <f t="shared" si="0"/>
        <v>12</v>
      </c>
    </row>
    <row r="32" ht="30" customHeight="1" outlineLevel="1" spans="1:14">
      <c r="A32" s="9">
        <v>29</v>
      </c>
      <c r="B32" s="11" t="s">
        <v>176</v>
      </c>
      <c r="C32" s="11" t="s">
        <v>177</v>
      </c>
      <c r="D32" s="12" t="s">
        <v>80</v>
      </c>
      <c r="E32" s="9">
        <v>1</v>
      </c>
      <c r="F32" s="9">
        <v>5700</v>
      </c>
      <c r="G32" s="9">
        <v>4000</v>
      </c>
      <c r="H32" s="9">
        <v>5700</v>
      </c>
      <c r="I32" s="9">
        <v>4000</v>
      </c>
      <c r="J32" s="9">
        <v>1</v>
      </c>
      <c r="K32" s="13">
        <f t="shared" si="2"/>
        <v>22.8</v>
      </c>
      <c r="L32" s="20" t="s">
        <v>357</v>
      </c>
      <c r="N32">
        <f t="shared" si="0"/>
        <v>22.8</v>
      </c>
    </row>
    <row r="33" ht="36" customHeight="1" outlineLevel="1" spans="1:14">
      <c r="A33" s="9">
        <v>30</v>
      </c>
      <c r="B33" s="11" t="s">
        <v>176</v>
      </c>
      <c r="C33" s="11" t="s">
        <v>177</v>
      </c>
      <c r="D33" s="12" t="s">
        <v>401</v>
      </c>
      <c r="E33" s="9">
        <v>1</v>
      </c>
      <c r="F33" s="9">
        <v>25900</v>
      </c>
      <c r="G33" s="9">
        <v>4000</v>
      </c>
      <c r="H33" s="9">
        <v>25900</v>
      </c>
      <c r="I33" s="9">
        <v>4000</v>
      </c>
      <c r="J33" s="9">
        <v>1</v>
      </c>
      <c r="K33" s="13">
        <f t="shared" si="2"/>
        <v>103.6</v>
      </c>
      <c r="L33" s="20" t="s">
        <v>357</v>
      </c>
      <c r="N33">
        <f t="shared" si="0"/>
        <v>103.6</v>
      </c>
    </row>
    <row r="34" ht="53" customHeight="1" spans="1:14">
      <c r="A34" s="7" t="s">
        <v>95</v>
      </c>
      <c r="B34" s="8"/>
      <c r="C34" s="8"/>
      <c r="D34" s="8"/>
      <c r="E34" s="8"/>
      <c r="F34" s="8"/>
      <c r="G34" s="8"/>
      <c r="H34" s="8"/>
      <c r="I34" s="8"/>
      <c r="J34" s="8"/>
      <c r="K34" s="8"/>
      <c r="L34" s="8"/>
      <c r="N34">
        <f t="shared" si="0"/>
        <v>0</v>
      </c>
    </row>
    <row r="35" ht="45" customHeight="1" outlineLevel="1" spans="1:14">
      <c r="A35" s="16">
        <v>1</v>
      </c>
      <c r="B35" s="10" t="s">
        <v>359</v>
      </c>
      <c r="C35" s="11" t="s">
        <v>360</v>
      </c>
      <c r="D35" s="12" t="s">
        <v>53</v>
      </c>
      <c r="E35" s="13" t="s">
        <v>361</v>
      </c>
      <c r="F35" s="13">
        <v>2100</v>
      </c>
      <c r="G35" s="13">
        <v>2100</v>
      </c>
      <c r="H35" s="13">
        <v>2100</v>
      </c>
      <c r="I35" s="13">
        <v>2100</v>
      </c>
      <c r="J35" s="16">
        <f>3+6*4</f>
        <v>27</v>
      </c>
      <c r="K35" s="13">
        <f t="shared" ref="K35:K37" si="3">J35*G35*F35/1000000</f>
        <v>119.07</v>
      </c>
      <c r="L35" s="21" t="s">
        <v>95</v>
      </c>
      <c r="M35" s="14" t="s">
        <v>362</v>
      </c>
      <c r="N35">
        <f t="shared" si="0"/>
        <v>119.07</v>
      </c>
    </row>
    <row r="36" ht="44" customHeight="1" outlineLevel="1" spans="1:14">
      <c r="A36" s="16">
        <v>2</v>
      </c>
      <c r="B36" s="10" t="s">
        <v>359</v>
      </c>
      <c r="C36" s="11" t="s">
        <v>360</v>
      </c>
      <c r="D36" s="12" t="s">
        <v>53</v>
      </c>
      <c r="E36" s="13" t="s">
        <v>363</v>
      </c>
      <c r="F36" s="13">
        <v>2100</v>
      </c>
      <c r="G36" s="13">
        <v>2100</v>
      </c>
      <c r="H36" s="13">
        <v>2100</v>
      </c>
      <c r="I36" s="13">
        <v>2100</v>
      </c>
      <c r="J36" s="16">
        <f>4*19</f>
        <v>76</v>
      </c>
      <c r="K36" s="13">
        <f t="shared" si="3"/>
        <v>335.16</v>
      </c>
      <c r="L36" s="21" t="s">
        <v>95</v>
      </c>
      <c r="M36" s="2">
        <f>K36</f>
        <v>335.16</v>
      </c>
      <c r="N36">
        <f t="shared" si="0"/>
        <v>335.16</v>
      </c>
    </row>
    <row r="37" ht="41" customHeight="1" outlineLevel="1" spans="1:14">
      <c r="A37" s="16">
        <v>3</v>
      </c>
      <c r="B37" s="10" t="s">
        <v>359</v>
      </c>
      <c r="C37" s="11" t="s">
        <v>366</v>
      </c>
      <c r="D37" s="12" t="s">
        <v>53</v>
      </c>
      <c r="E37" s="13" t="s">
        <v>361</v>
      </c>
      <c r="F37" s="9">
        <v>1800</v>
      </c>
      <c r="G37" s="9">
        <v>2100</v>
      </c>
      <c r="H37" s="9">
        <v>1800</v>
      </c>
      <c r="I37" s="9">
        <v>2100</v>
      </c>
      <c r="J37" s="16">
        <f>14</f>
        <v>14</v>
      </c>
      <c r="K37" s="13">
        <f t="shared" si="3"/>
        <v>52.92</v>
      </c>
      <c r="L37" s="21" t="s">
        <v>95</v>
      </c>
      <c r="M37" s="14" t="s">
        <v>362</v>
      </c>
      <c r="N37">
        <f t="shared" si="0"/>
        <v>52.92</v>
      </c>
    </row>
    <row r="38" ht="40" customHeight="1" outlineLevel="1" spans="1:14">
      <c r="A38" s="16">
        <v>4</v>
      </c>
      <c r="B38" s="10" t="s">
        <v>359</v>
      </c>
      <c r="C38" s="11" t="s">
        <v>366</v>
      </c>
      <c r="D38" s="12" t="s">
        <v>53</v>
      </c>
      <c r="E38" s="13" t="s">
        <v>363</v>
      </c>
      <c r="F38" s="9">
        <v>1800</v>
      </c>
      <c r="G38" s="9">
        <v>2100</v>
      </c>
      <c r="H38" s="9">
        <v>1800</v>
      </c>
      <c r="I38" s="9">
        <v>2100</v>
      </c>
      <c r="J38" s="16">
        <f>19*2</f>
        <v>38</v>
      </c>
      <c r="K38" s="13">
        <f t="shared" ref="K38:K47" si="4">J38*G38*F38/1000000</f>
        <v>143.64</v>
      </c>
      <c r="L38" s="21" t="s">
        <v>95</v>
      </c>
      <c r="N38">
        <f t="shared" si="0"/>
        <v>143.64</v>
      </c>
    </row>
    <row r="39" ht="51" customHeight="1" outlineLevel="1" spans="1:14">
      <c r="A39" s="16">
        <v>5</v>
      </c>
      <c r="B39" s="10" t="s">
        <v>364</v>
      </c>
      <c r="C39" s="11" t="s">
        <v>371</v>
      </c>
      <c r="D39" s="12" t="s">
        <v>76</v>
      </c>
      <c r="E39" s="13" t="s">
        <v>365</v>
      </c>
      <c r="F39" s="13">
        <v>1500</v>
      </c>
      <c r="G39" s="13">
        <v>1400</v>
      </c>
      <c r="H39" s="13">
        <v>1500</v>
      </c>
      <c r="I39" s="13">
        <v>1400</v>
      </c>
      <c r="J39" s="16">
        <v>155</v>
      </c>
      <c r="K39" s="13">
        <f t="shared" si="4"/>
        <v>325.5</v>
      </c>
      <c r="L39" s="21" t="s">
        <v>95</v>
      </c>
      <c r="N39">
        <f t="shared" si="0"/>
        <v>325.5</v>
      </c>
    </row>
    <row r="40" ht="50" customHeight="1" outlineLevel="1" spans="1:14">
      <c r="A40" s="16">
        <v>6</v>
      </c>
      <c r="B40" s="10" t="s">
        <v>359</v>
      </c>
      <c r="C40" s="11" t="s">
        <v>374</v>
      </c>
      <c r="D40" s="12" t="s">
        <v>52</v>
      </c>
      <c r="E40" s="13" t="s">
        <v>361</v>
      </c>
      <c r="F40" s="9">
        <v>900</v>
      </c>
      <c r="G40" s="9">
        <v>1400</v>
      </c>
      <c r="H40" s="9">
        <v>900</v>
      </c>
      <c r="I40" s="9">
        <v>1400</v>
      </c>
      <c r="J40" s="9">
        <f>5+6*6</f>
        <v>41</v>
      </c>
      <c r="K40" s="13">
        <f t="shared" si="4"/>
        <v>51.66</v>
      </c>
      <c r="L40" s="21" t="s">
        <v>95</v>
      </c>
      <c r="M40" s="14" t="s">
        <v>368</v>
      </c>
      <c r="N40">
        <f t="shared" si="0"/>
        <v>51.66</v>
      </c>
    </row>
    <row r="41" ht="32" customHeight="1" outlineLevel="1" spans="1:14">
      <c r="A41" s="16">
        <v>7</v>
      </c>
      <c r="B41" s="10" t="s">
        <v>359</v>
      </c>
      <c r="C41" s="11" t="s">
        <v>374</v>
      </c>
      <c r="D41" s="12" t="s">
        <v>52</v>
      </c>
      <c r="E41" s="13" t="s">
        <v>363</v>
      </c>
      <c r="F41" s="9">
        <v>900</v>
      </c>
      <c r="G41" s="9">
        <v>1400</v>
      </c>
      <c r="H41" s="9">
        <v>900</v>
      </c>
      <c r="I41" s="9">
        <v>1400</v>
      </c>
      <c r="J41" s="9">
        <f>19*6</f>
        <v>114</v>
      </c>
      <c r="K41" s="13">
        <f t="shared" si="4"/>
        <v>143.64</v>
      </c>
      <c r="L41" s="21" t="s">
        <v>95</v>
      </c>
      <c r="N41">
        <f t="shared" si="0"/>
        <v>143.64</v>
      </c>
    </row>
    <row r="42" ht="30" customHeight="1" outlineLevel="1" spans="1:14">
      <c r="A42" s="16">
        <v>8</v>
      </c>
      <c r="B42" s="10" t="s">
        <v>375</v>
      </c>
      <c r="C42" s="11" t="s">
        <v>376</v>
      </c>
      <c r="D42" s="12" t="s">
        <v>59</v>
      </c>
      <c r="E42" s="13" t="s">
        <v>361</v>
      </c>
      <c r="F42" s="9">
        <v>900</v>
      </c>
      <c r="G42" s="9">
        <v>1400</v>
      </c>
      <c r="H42" s="9">
        <v>900</v>
      </c>
      <c r="I42" s="9">
        <v>1400</v>
      </c>
      <c r="J42" s="16">
        <f>10+12*6</f>
        <v>82</v>
      </c>
      <c r="K42" s="13">
        <f t="shared" si="4"/>
        <v>103.32</v>
      </c>
      <c r="L42" s="21" t="s">
        <v>95</v>
      </c>
      <c r="M42" s="14" t="s">
        <v>377</v>
      </c>
      <c r="N42">
        <f t="shared" si="0"/>
        <v>103.32</v>
      </c>
    </row>
    <row r="43" ht="32" customHeight="1" outlineLevel="1" spans="1:14">
      <c r="A43" s="16">
        <v>9</v>
      </c>
      <c r="B43" s="10" t="s">
        <v>375</v>
      </c>
      <c r="C43" s="11" t="s">
        <v>376</v>
      </c>
      <c r="D43" s="12" t="s">
        <v>59</v>
      </c>
      <c r="E43" s="13" t="s">
        <v>363</v>
      </c>
      <c r="F43" s="9">
        <v>900</v>
      </c>
      <c r="G43" s="9">
        <v>1400</v>
      </c>
      <c r="H43" s="9">
        <v>900</v>
      </c>
      <c r="I43" s="9">
        <v>1400</v>
      </c>
      <c r="J43" s="16">
        <f>19*12</f>
        <v>228</v>
      </c>
      <c r="K43" s="13">
        <f t="shared" si="4"/>
        <v>287.28</v>
      </c>
      <c r="L43" s="21" t="s">
        <v>95</v>
      </c>
      <c r="N43">
        <f t="shared" si="0"/>
        <v>287.28</v>
      </c>
    </row>
    <row r="44" ht="40" customHeight="1" outlineLevel="1" spans="1:14">
      <c r="A44" s="16">
        <v>10</v>
      </c>
      <c r="B44" s="10" t="s">
        <v>402</v>
      </c>
      <c r="C44" s="11" t="s">
        <v>378</v>
      </c>
      <c r="D44" s="12" t="s">
        <v>51</v>
      </c>
      <c r="E44" s="13" t="s">
        <v>403</v>
      </c>
      <c r="F44" s="9">
        <v>1200</v>
      </c>
      <c r="G44" s="9">
        <v>1400</v>
      </c>
      <c r="H44" s="9">
        <v>1200</v>
      </c>
      <c r="I44" s="9">
        <v>1400</v>
      </c>
      <c r="J44" s="9">
        <v>52</v>
      </c>
      <c r="K44" s="13">
        <f t="shared" si="4"/>
        <v>87.36</v>
      </c>
      <c r="L44" s="21" t="s">
        <v>95</v>
      </c>
      <c r="M44" s="12" t="s">
        <v>404</v>
      </c>
      <c r="N44">
        <f t="shared" si="0"/>
        <v>87.36</v>
      </c>
    </row>
    <row r="45" ht="36" customHeight="1" outlineLevel="1" spans="1:14">
      <c r="A45" s="16">
        <v>11</v>
      </c>
      <c r="B45" s="10" t="s">
        <v>283</v>
      </c>
      <c r="C45" s="11" t="s">
        <v>379</v>
      </c>
      <c r="D45" s="12" t="s">
        <v>62</v>
      </c>
      <c r="E45" s="13" t="s">
        <v>380</v>
      </c>
      <c r="F45" s="9">
        <v>900</v>
      </c>
      <c r="G45" s="9">
        <v>1400</v>
      </c>
      <c r="H45" s="9">
        <v>900</v>
      </c>
      <c r="I45" s="9">
        <v>1400</v>
      </c>
      <c r="J45" s="9">
        <v>104</v>
      </c>
      <c r="K45" s="13">
        <f t="shared" si="4"/>
        <v>131.04</v>
      </c>
      <c r="L45" s="21" t="s">
        <v>95</v>
      </c>
      <c r="M45" s="12" t="s">
        <v>381</v>
      </c>
      <c r="N45">
        <f t="shared" si="0"/>
        <v>131.04</v>
      </c>
    </row>
    <row r="46" customHeight="1" outlineLevel="1" spans="1:14">
      <c r="A46" s="16">
        <v>12</v>
      </c>
      <c r="B46" s="10" t="s">
        <v>145</v>
      </c>
      <c r="C46" s="11" t="s">
        <v>382</v>
      </c>
      <c r="D46" s="12" t="s">
        <v>56</v>
      </c>
      <c r="E46" s="16" t="s">
        <v>405</v>
      </c>
      <c r="F46" s="16">
        <v>1200</v>
      </c>
      <c r="G46" s="16">
        <v>1400</v>
      </c>
      <c r="H46" s="16">
        <v>1200</v>
      </c>
      <c r="I46" s="16">
        <v>1400</v>
      </c>
      <c r="J46" s="16">
        <v>10</v>
      </c>
      <c r="K46" s="13">
        <f t="shared" si="4"/>
        <v>16.8</v>
      </c>
      <c r="L46" s="21" t="s">
        <v>95</v>
      </c>
      <c r="M46" s="12" t="s">
        <v>384</v>
      </c>
      <c r="N46">
        <f t="shared" si="0"/>
        <v>16.8</v>
      </c>
    </row>
    <row r="47" customHeight="1" outlineLevel="1" spans="1:14">
      <c r="A47" s="16">
        <v>13</v>
      </c>
      <c r="B47" s="10" t="s">
        <v>111</v>
      </c>
      <c r="C47" s="17" t="s">
        <v>406</v>
      </c>
      <c r="D47" s="12" t="s">
        <v>50</v>
      </c>
      <c r="E47" s="13" t="s">
        <v>372</v>
      </c>
      <c r="F47" s="16">
        <v>500</v>
      </c>
      <c r="G47" s="16">
        <v>1000</v>
      </c>
      <c r="H47" s="16">
        <v>500</v>
      </c>
      <c r="I47" s="16">
        <v>1000</v>
      </c>
      <c r="J47" s="16">
        <v>361</v>
      </c>
      <c r="K47" s="13">
        <f t="shared" si="4"/>
        <v>180.5</v>
      </c>
      <c r="L47" s="21" t="s">
        <v>95</v>
      </c>
      <c r="N47">
        <f t="shared" si="0"/>
        <v>180.5</v>
      </c>
    </row>
    <row r="48" customHeight="1" outlineLevel="1" spans="1:14">
      <c r="A48" s="16">
        <v>14</v>
      </c>
      <c r="B48" s="11" t="s">
        <v>157</v>
      </c>
      <c r="C48" s="11" t="s">
        <v>389</v>
      </c>
      <c r="D48" s="12" t="s">
        <v>70</v>
      </c>
      <c r="E48" s="9" t="s">
        <v>372</v>
      </c>
      <c r="F48" s="9">
        <v>1600</v>
      </c>
      <c r="G48" s="9">
        <v>2300</v>
      </c>
      <c r="H48" s="9">
        <v>1600</v>
      </c>
      <c r="I48" s="9">
        <v>2300</v>
      </c>
      <c r="J48" s="16">
        <v>155</v>
      </c>
      <c r="K48" s="13">
        <f t="shared" ref="K48:K53" si="5">J48*G48*F48/1000000</f>
        <v>570.4</v>
      </c>
      <c r="L48" s="21" t="s">
        <v>95</v>
      </c>
      <c r="M48" s="14" t="s">
        <v>390</v>
      </c>
      <c r="N48">
        <f t="shared" si="0"/>
        <v>570.4</v>
      </c>
    </row>
    <row r="49" customHeight="1" outlineLevel="1" spans="1:14">
      <c r="A49" s="16">
        <v>15</v>
      </c>
      <c r="B49" s="11" t="s">
        <v>157</v>
      </c>
      <c r="C49" s="11" t="s">
        <v>391</v>
      </c>
      <c r="D49" s="12" t="s">
        <v>71</v>
      </c>
      <c r="E49" s="9" t="s">
        <v>372</v>
      </c>
      <c r="F49" s="16">
        <v>2100</v>
      </c>
      <c r="G49" s="16">
        <v>2300</v>
      </c>
      <c r="H49" s="16">
        <v>2100</v>
      </c>
      <c r="I49" s="16">
        <v>2300</v>
      </c>
      <c r="J49" s="16">
        <v>155</v>
      </c>
      <c r="K49" s="13">
        <f t="shared" si="5"/>
        <v>748.65</v>
      </c>
      <c r="L49" s="21" t="s">
        <v>95</v>
      </c>
      <c r="M49" s="14" t="s">
        <v>392</v>
      </c>
      <c r="N49">
        <f t="shared" si="0"/>
        <v>748.65</v>
      </c>
    </row>
    <row r="50" customHeight="1" outlineLevel="1" spans="1:14">
      <c r="A50" s="16">
        <v>16</v>
      </c>
      <c r="B50" s="11" t="s">
        <v>176</v>
      </c>
      <c r="C50" s="11" t="s">
        <v>177</v>
      </c>
      <c r="D50" s="12" t="s">
        <v>80</v>
      </c>
      <c r="E50" s="9">
        <v>1</v>
      </c>
      <c r="F50" s="9">
        <v>16150</v>
      </c>
      <c r="G50" s="9">
        <v>4000</v>
      </c>
      <c r="H50" s="9">
        <v>16150</v>
      </c>
      <c r="I50" s="9">
        <v>4000</v>
      </c>
      <c r="J50" s="16">
        <v>1</v>
      </c>
      <c r="K50" s="13">
        <f t="shared" si="5"/>
        <v>64.6</v>
      </c>
      <c r="L50" s="21" t="s">
        <v>95</v>
      </c>
      <c r="N50">
        <f t="shared" si="0"/>
        <v>64.6</v>
      </c>
    </row>
    <row r="51" customHeight="1" outlineLevel="1" spans="1:14">
      <c r="A51" s="16">
        <v>17</v>
      </c>
      <c r="B51" s="11" t="s">
        <v>176</v>
      </c>
      <c r="C51" s="11" t="s">
        <v>177</v>
      </c>
      <c r="D51" s="12" t="s">
        <v>80</v>
      </c>
      <c r="E51" s="9">
        <v>1</v>
      </c>
      <c r="F51" s="9">
        <v>28500</v>
      </c>
      <c r="G51" s="9">
        <v>4000</v>
      </c>
      <c r="H51" s="9">
        <v>28500</v>
      </c>
      <c r="I51" s="9">
        <v>4000</v>
      </c>
      <c r="J51" s="16">
        <v>1</v>
      </c>
      <c r="K51" s="13">
        <f t="shared" si="5"/>
        <v>114</v>
      </c>
      <c r="L51" s="21" t="s">
        <v>95</v>
      </c>
      <c r="N51">
        <f t="shared" si="0"/>
        <v>114</v>
      </c>
    </row>
    <row r="52" customHeight="1" spans="1:14">
      <c r="A52" s="7" t="s">
        <v>96</v>
      </c>
      <c r="B52" s="8"/>
      <c r="C52" s="8"/>
      <c r="D52" s="8"/>
      <c r="E52" s="8"/>
      <c r="F52" s="8"/>
      <c r="G52" s="8"/>
      <c r="H52" s="8"/>
      <c r="I52" s="8"/>
      <c r="J52" s="8"/>
      <c r="K52" s="8"/>
      <c r="L52" s="8"/>
      <c r="N52">
        <f t="shared" si="0"/>
        <v>0</v>
      </c>
    </row>
    <row r="53" customHeight="1" outlineLevel="1" spans="1:14">
      <c r="A53" s="16">
        <v>17</v>
      </c>
      <c r="B53" s="10" t="s">
        <v>375</v>
      </c>
      <c r="C53" s="11" t="s">
        <v>360</v>
      </c>
      <c r="D53" s="12" t="s">
        <v>59</v>
      </c>
      <c r="E53" s="13" t="s">
        <v>361</v>
      </c>
      <c r="F53" s="9">
        <v>900</v>
      </c>
      <c r="G53" s="9">
        <v>1400</v>
      </c>
      <c r="H53" s="9">
        <v>900</v>
      </c>
      <c r="I53" s="9">
        <v>1400</v>
      </c>
      <c r="J53" s="16">
        <f>7*3</f>
        <v>21</v>
      </c>
      <c r="K53" s="13">
        <f t="shared" si="5"/>
        <v>26.46</v>
      </c>
      <c r="L53" s="21" t="s">
        <v>96</v>
      </c>
      <c r="M53" s="14" t="s">
        <v>377</v>
      </c>
      <c r="N53">
        <f t="shared" si="0"/>
        <v>26.46</v>
      </c>
    </row>
    <row r="54" customHeight="1" outlineLevel="1" spans="1:14">
      <c r="A54" s="16">
        <v>18</v>
      </c>
      <c r="B54" s="10" t="s">
        <v>375</v>
      </c>
      <c r="C54" s="11" t="s">
        <v>360</v>
      </c>
      <c r="D54" s="12" t="s">
        <v>59</v>
      </c>
      <c r="E54" s="13" t="s">
        <v>407</v>
      </c>
      <c r="F54" s="9">
        <v>900</v>
      </c>
      <c r="G54" s="9">
        <v>1400</v>
      </c>
      <c r="H54" s="9">
        <v>900</v>
      </c>
      <c r="I54" s="9">
        <v>1400</v>
      </c>
      <c r="J54" s="16">
        <f>16*3</f>
        <v>48</v>
      </c>
      <c r="K54" s="13">
        <f t="shared" ref="K54:K85" si="6">J54*G54*F54/1000000</f>
        <v>60.48</v>
      </c>
      <c r="L54" s="21" t="s">
        <v>96</v>
      </c>
      <c r="N54">
        <f t="shared" si="0"/>
        <v>60.48</v>
      </c>
    </row>
    <row r="55" customHeight="1" outlineLevel="1" spans="1:14">
      <c r="A55" s="16">
        <v>19</v>
      </c>
      <c r="B55" s="10" t="s">
        <v>375</v>
      </c>
      <c r="C55" s="11" t="s">
        <v>371</v>
      </c>
      <c r="D55" s="12" t="s">
        <v>59</v>
      </c>
      <c r="E55" s="13" t="s">
        <v>361</v>
      </c>
      <c r="F55" s="16">
        <v>600</v>
      </c>
      <c r="G55" s="16">
        <v>1400</v>
      </c>
      <c r="H55" s="16">
        <v>600</v>
      </c>
      <c r="I55" s="16">
        <v>1400</v>
      </c>
      <c r="J55" s="16">
        <f>5+6*7</f>
        <v>47</v>
      </c>
      <c r="K55" s="13">
        <f t="shared" si="6"/>
        <v>39.48</v>
      </c>
      <c r="L55" s="21" t="s">
        <v>96</v>
      </c>
      <c r="M55" s="14" t="s">
        <v>377</v>
      </c>
      <c r="N55">
        <f t="shared" si="0"/>
        <v>39.48</v>
      </c>
    </row>
    <row r="56" customHeight="1" outlineLevel="1" spans="1:14">
      <c r="A56" s="16">
        <v>20</v>
      </c>
      <c r="B56" s="10" t="s">
        <v>375</v>
      </c>
      <c r="C56" s="11" t="s">
        <v>371</v>
      </c>
      <c r="D56" s="12" t="s">
        <v>59</v>
      </c>
      <c r="E56" s="13" t="s">
        <v>407</v>
      </c>
      <c r="F56" s="16">
        <v>600</v>
      </c>
      <c r="G56" s="16">
        <v>1400</v>
      </c>
      <c r="H56" s="16">
        <v>600</v>
      </c>
      <c r="I56" s="16">
        <v>1400</v>
      </c>
      <c r="J56" s="16">
        <f>16*7</f>
        <v>112</v>
      </c>
      <c r="K56" s="13">
        <f t="shared" si="6"/>
        <v>94.08</v>
      </c>
      <c r="L56" s="21" t="s">
        <v>96</v>
      </c>
      <c r="N56">
        <f t="shared" si="0"/>
        <v>94.08</v>
      </c>
    </row>
    <row r="57" customHeight="1" outlineLevel="1" spans="1:14">
      <c r="A57" s="16">
        <v>21</v>
      </c>
      <c r="B57" s="10" t="s">
        <v>375</v>
      </c>
      <c r="C57" s="11" t="s">
        <v>378</v>
      </c>
      <c r="D57" s="12" t="s">
        <v>59</v>
      </c>
      <c r="E57" s="13" t="s">
        <v>361</v>
      </c>
      <c r="F57" s="16">
        <v>500</v>
      </c>
      <c r="G57" s="16">
        <v>1400</v>
      </c>
      <c r="H57" s="16">
        <v>500</v>
      </c>
      <c r="I57" s="16">
        <v>1400</v>
      </c>
      <c r="J57" s="16">
        <v>7</v>
      </c>
      <c r="K57" s="13">
        <f t="shared" si="6"/>
        <v>4.9</v>
      </c>
      <c r="L57" s="21" t="s">
        <v>96</v>
      </c>
      <c r="M57" s="14" t="s">
        <v>377</v>
      </c>
      <c r="N57">
        <f t="shared" si="0"/>
        <v>4.9</v>
      </c>
    </row>
    <row r="58" customHeight="1" outlineLevel="1" spans="1:14">
      <c r="A58" s="16">
        <v>22</v>
      </c>
      <c r="B58" s="10" t="s">
        <v>375</v>
      </c>
      <c r="C58" s="11" t="s">
        <v>378</v>
      </c>
      <c r="D58" s="12" t="s">
        <v>59</v>
      </c>
      <c r="E58" s="13" t="s">
        <v>407</v>
      </c>
      <c r="F58" s="16">
        <v>500</v>
      </c>
      <c r="G58" s="16">
        <v>1400</v>
      </c>
      <c r="H58" s="16">
        <v>500</v>
      </c>
      <c r="I58" s="16">
        <v>1400</v>
      </c>
      <c r="J58" s="16">
        <v>16</v>
      </c>
      <c r="K58" s="13">
        <f t="shared" si="6"/>
        <v>11.2</v>
      </c>
      <c r="L58" s="21" t="s">
        <v>96</v>
      </c>
      <c r="N58">
        <f t="shared" si="0"/>
        <v>11.2</v>
      </c>
    </row>
    <row r="59" customHeight="1" outlineLevel="1" spans="1:14">
      <c r="A59" s="16">
        <v>23</v>
      </c>
      <c r="B59" s="10" t="s">
        <v>375</v>
      </c>
      <c r="C59" s="11" t="s">
        <v>408</v>
      </c>
      <c r="D59" s="12" t="s">
        <v>59</v>
      </c>
      <c r="E59" s="13" t="s">
        <v>361</v>
      </c>
      <c r="F59" s="16">
        <v>550</v>
      </c>
      <c r="G59" s="16">
        <v>1400</v>
      </c>
      <c r="H59" s="16">
        <v>550</v>
      </c>
      <c r="I59" s="16">
        <v>1400</v>
      </c>
      <c r="J59" s="16">
        <v>7</v>
      </c>
      <c r="K59" s="13">
        <f t="shared" si="6"/>
        <v>5.39</v>
      </c>
      <c r="L59" s="21" t="s">
        <v>96</v>
      </c>
      <c r="M59" s="14" t="s">
        <v>377</v>
      </c>
      <c r="N59">
        <f t="shared" si="0"/>
        <v>5.39</v>
      </c>
    </row>
    <row r="60" customHeight="1" outlineLevel="1" spans="1:14">
      <c r="A60" s="16">
        <v>24</v>
      </c>
      <c r="B60" s="10" t="s">
        <v>375</v>
      </c>
      <c r="C60" s="11" t="s">
        <v>408</v>
      </c>
      <c r="D60" s="12" t="s">
        <v>59</v>
      </c>
      <c r="E60" s="13" t="s">
        <v>407</v>
      </c>
      <c r="F60" s="16">
        <v>550</v>
      </c>
      <c r="G60" s="16">
        <v>1400</v>
      </c>
      <c r="H60" s="16">
        <v>550</v>
      </c>
      <c r="I60" s="16">
        <v>1400</v>
      </c>
      <c r="J60" s="16">
        <v>16</v>
      </c>
      <c r="K60" s="13">
        <f t="shared" si="6"/>
        <v>12.32</v>
      </c>
      <c r="L60" s="21" t="s">
        <v>96</v>
      </c>
      <c r="N60">
        <f t="shared" si="0"/>
        <v>12.32</v>
      </c>
    </row>
    <row r="61" customHeight="1" outlineLevel="1" spans="1:15">
      <c r="A61" s="16">
        <v>25</v>
      </c>
      <c r="B61" s="10" t="s">
        <v>359</v>
      </c>
      <c r="C61" s="11" t="s">
        <v>366</v>
      </c>
      <c r="D61" s="12" t="s">
        <v>52</v>
      </c>
      <c r="E61" s="13" t="s">
        <v>361</v>
      </c>
      <c r="F61" s="9">
        <v>900</v>
      </c>
      <c r="G61" s="16">
        <v>1400</v>
      </c>
      <c r="H61" s="9">
        <v>900</v>
      </c>
      <c r="I61" s="16">
        <v>1400</v>
      </c>
      <c r="J61" s="16">
        <f>4*7</f>
        <v>28</v>
      </c>
      <c r="K61" s="13">
        <f t="shared" si="6"/>
        <v>35.28</v>
      </c>
      <c r="L61" s="21" t="s">
        <v>96</v>
      </c>
      <c r="M61" s="14" t="s">
        <v>368</v>
      </c>
      <c r="N61">
        <f t="shared" si="0"/>
        <v>35.28</v>
      </c>
      <c r="O61">
        <f>K13+K40+K61+K93+K126+K177+K207+K235</f>
        <v>288.54</v>
      </c>
    </row>
    <row r="62" customHeight="1" outlineLevel="1" spans="1:14">
      <c r="A62" s="16">
        <v>26</v>
      </c>
      <c r="B62" s="10" t="s">
        <v>359</v>
      </c>
      <c r="C62" s="11" t="s">
        <v>366</v>
      </c>
      <c r="D62" s="12" t="s">
        <v>52</v>
      </c>
      <c r="E62" s="13" t="s">
        <v>407</v>
      </c>
      <c r="F62" s="9">
        <v>900</v>
      </c>
      <c r="G62" s="16">
        <v>1400</v>
      </c>
      <c r="H62" s="9">
        <v>900</v>
      </c>
      <c r="I62" s="16">
        <v>1400</v>
      </c>
      <c r="J62" s="16">
        <f>4*16</f>
        <v>64</v>
      </c>
      <c r="K62" s="13">
        <f t="shared" si="6"/>
        <v>80.64</v>
      </c>
      <c r="L62" s="21" t="s">
        <v>96</v>
      </c>
      <c r="N62">
        <f t="shared" si="0"/>
        <v>80.64</v>
      </c>
    </row>
    <row r="63" customHeight="1" outlineLevel="1" spans="1:14">
      <c r="A63" s="16">
        <v>27</v>
      </c>
      <c r="B63" s="10" t="s">
        <v>359</v>
      </c>
      <c r="C63" s="11" t="s">
        <v>374</v>
      </c>
      <c r="D63" s="12" t="s">
        <v>52</v>
      </c>
      <c r="E63" s="13" t="s">
        <v>361</v>
      </c>
      <c r="F63" s="9">
        <v>600</v>
      </c>
      <c r="G63" s="9">
        <v>1400</v>
      </c>
      <c r="H63" s="9">
        <v>600</v>
      </c>
      <c r="I63" s="9">
        <v>1400</v>
      </c>
      <c r="J63" s="16">
        <f>2+6*3</f>
        <v>20</v>
      </c>
      <c r="K63" s="13">
        <f t="shared" si="6"/>
        <v>16.8</v>
      </c>
      <c r="L63" s="21" t="s">
        <v>96</v>
      </c>
      <c r="M63" s="14" t="s">
        <v>368</v>
      </c>
      <c r="N63">
        <f t="shared" si="0"/>
        <v>16.8</v>
      </c>
    </row>
    <row r="64" customHeight="1" outlineLevel="1" spans="1:14">
      <c r="A64" s="16">
        <v>28</v>
      </c>
      <c r="B64" s="10" t="s">
        <v>359</v>
      </c>
      <c r="C64" s="11" t="s">
        <v>374</v>
      </c>
      <c r="D64" s="12" t="s">
        <v>52</v>
      </c>
      <c r="E64" s="13" t="s">
        <v>407</v>
      </c>
      <c r="F64" s="9">
        <v>600</v>
      </c>
      <c r="G64" s="9">
        <v>1400</v>
      </c>
      <c r="H64" s="9">
        <v>600</v>
      </c>
      <c r="I64" s="9">
        <v>1400</v>
      </c>
      <c r="J64" s="16">
        <f>16*3</f>
        <v>48</v>
      </c>
      <c r="K64" s="13">
        <f t="shared" si="6"/>
        <v>40.32</v>
      </c>
      <c r="L64" s="21" t="s">
        <v>96</v>
      </c>
      <c r="N64">
        <f t="shared" si="0"/>
        <v>40.32</v>
      </c>
    </row>
    <row r="65" ht="52" customHeight="1" outlineLevel="1" spans="1:14">
      <c r="A65" s="16">
        <v>29</v>
      </c>
      <c r="B65" s="10" t="s">
        <v>364</v>
      </c>
      <c r="C65" s="11" t="s">
        <v>376</v>
      </c>
      <c r="D65" s="12" t="s">
        <v>76</v>
      </c>
      <c r="E65" s="16" t="s">
        <v>409</v>
      </c>
      <c r="F65" s="16">
        <v>1500</v>
      </c>
      <c r="G65" s="16">
        <v>1400</v>
      </c>
      <c r="H65" s="16">
        <v>1500</v>
      </c>
      <c r="I65" s="16">
        <v>1400</v>
      </c>
      <c r="J65" s="16">
        <v>22</v>
      </c>
      <c r="K65" s="13">
        <f t="shared" si="6"/>
        <v>46.2</v>
      </c>
      <c r="L65" s="21" t="s">
        <v>96</v>
      </c>
      <c r="N65">
        <f t="shared" si="0"/>
        <v>46.2</v>
      </c>
    </row>
    <row r="66" ht="59" customHeight="1" outlineLevel="1" spans="1:14">
      <c r="A66" s="16">
        <v>30</v>
      </c>
      <c r="B66" s="10" t="s">
        <v>364</v>
      </c>
      <c r="C66" s="11" t="s">
        <v>410</v>
      </c>
      <c r="D66" s="12" t="s">
        <v>411</v>
      </c>
      <c r="E66" s="9" t="s">
        <v>412</v>
      </c>
      <c r="F66" s="16">
        <v>2100</v>
      </c>
      <c r="G66" s="16">
        <v>2100</v>
      </c>
      <c r="H66" s="16">
        <v>2100</v>
      </c>
      <c r="I66" s="16">
        <v>2100</v>
      </c>
      <c r="J66" s="16">
        <v>138</v>
      </c>
      <c r="K66" s="13">
        <f t="shared" si="6"/>
        <v>608.58</v>
      </c>
      <c r="L66" s="21" t="s">
        <v>96</v>
      </c>
      <c r="N66">
        <f t="shared" si="0"/>
        <v>608.58</v>
      </c>
    </row>
    <row r="67" customHeight="1" outlineLevel="1" spans="1:14">
      <c r="A67" s="16">
        <v>31</v>
      </c>
      <c r="B67" s="10" t="s">
        <v>359</v>
      </c>
      <c r="C67" s="11" t="s">
        <v>376</v>
      </c>
      <c r="D67" s="12" t="s">
        <v>52</v>
      </c>
      <c r="E67" s="16" t="s">
        <v>361</v>
      </c>
      <c r="F67" s="16">
        <v>1500</v>
      </c>
      <c r="G67" s="16">
        <v>1400</v>
      </c>
      <c r="H67" s="16">
        <v>1500</v>
      </c>
      <c r="I67" s="16">
        <v>1400</v>
      </c>
      <c r="J67" s="16">
        <f>2*7</f>
        <v>14</v>
      </c>
      <c r="K67" s="13">
        <f t="shared" si="6"/>
        <v>29.4</v>
      </c>
      <c r="L67" s="21" t="s">
        <v>96</v>
      </c>
      <c r="M67" s="14" t="s">
        <v>368</v>
      </c>
      <c r="N67">
        <f t="shared" si="0"/>
        <v>29.4</v>
      </c>
    </row>
    <row r="68" customHeight="1" outlineLevel="1" spans="1:14">
      <c r="A68" s="16">
        <v>32</v>
      </c>
      <c r="B68" s="10" t="s">
        <v>359</v>
      </c>
      <c r="C68" s="11" t="s">
        <v>376</v>
      </c>
      <c r="D68" s="12" t="s">
        <v>52</v>
      </c>
      <c r="E68" s="9" t="s">
        <v>407</v>
      </c>
      <c r="F68" s="16">
        <v>1500</v>
      </c>
      <c r="G68" s="16">
        <v>1400</v>
      </c>
      <c r="H68" s="16">
        <v>1500</v>
      </c>
      <c r="I68" s="16">
        <v>1400</v>
      </c>
      <c r="J68" s="16">
        <f>2*16</f>
        <v>32</v>
      </c>
      <c r="K68" s="13">
        <f t="shared" si="6"/>
        <v>67.2</v>
      </c>
      <c r="L68" s="21" t="s">
        <v>96</v>
      </c>
      <c r="N68">
        <f t="shared" si="0"/>
        <v>67.2</v>
      </c>
    </row>
    <row r="69" customHeight="1" outlineLevel="1" spans="1:14">
      <c r="A69" s="16">
        <v>33</v>
      </c>
      <c r="B69" s="10" t="s">
        <v>359</v>
      </c>
      <c r="C69" s="11" t="s">
        <v>385</v>
      </c>
      <c r="D69" s="12" t="s">
        <v>54</v>
      </c>
      <c r="E69" s="16" t="s">
        <v>373</v>
      </c>
      <c r="F69" s="13">
        <v>4900</v>
      </c>
      <c r="G69" s="13">
        <v>2100</v>
      </c>
      <c r="H69" s="13">
        <v>4900</v>
      </c>
      <c r="I69" s="13">
        <v>2100</v>
      </c>
      <c r="J69" s="16">
        <v>6</v>
      </c>
      <c r="K69" s="13">
        <f t="shared" si="6"/>
        <v>61.74</v>
      </c>
      <c r="L69" s="21" t="s">
        <v>96</v>
      </c>
      <c r="M69" s="14" t="s">
        <v>130</v>
      </c>
      <c r="N69">
        <f t="shared" ref="N69:N132" si="7">K69</f>
        <v>61.74</v>
      </c>
    </row>
    <row r="70" ht="53" customHeight="1" outlineLevel="1" spans="1:14">
      <c r="A70" s="16">
        <v>34</v>
      </c>
      <c r="B70" s="10" t="s">
        <v>359</v>
      </c>
      <c r="C70" s="11" t="s">
        <v>385</v>
      </c>
      <c r="D70" s="12" t="s">
        <v>54</v>
      </c>
      <c r="E70" s="9" t="s">
        <v>407</v>
      </c>
      <c r="F70" s="13">
        <v>4900</v>
      </c>
      <c r="G70" s="13">
        <v>2100</v>
      </c>
      <c r="H70" s="13">
        <v>4900</v>
      </c>
      <c r="I70" s="13">
        <v>2100</v>
      </c>
      <c r="J70" s="16">
        <v>16</v>
      </c>
      <c r="K70" s="13">
        <f t="shared" si="6"/>
        <v>164.64</v>
      </c>
      <c r="L70" s="21" t="s">
        <v>96</v>
      </c>
      <c r="N70">
        <f t="shared" si="7"/>
        <v>164.64</v>
      </c>
    </row>
    <row r="71" customHeight="1" outlineLevel="1" spans="1:14">
      <c r="A71" s="16">
        <v>35</v>
      </c>
      <c r="B71" s="10" t="s">
        <v>359</v>
      </c>
      <c r="C71" s="11" t="s">
        <v>413</v>
      </c>
      <c r="D71" s="12" t="s">
        <v>52</v>
      </c>
      <c r="E71" s="13" t="s">
        <v>373</v>
      </c>
      <c r="F71" s="16">
        <v>1500</v>
      </c>
      <c r="G71" s="16">
        <v>2100</v>
      </c>
      <c r="H71" s="16">
        <v>1500</v>
      </c>
      <c r="I71" s="16">
        <v>2100</v>
      </c>
      <c r="J71" s="16">
        <v>6</v>
      </c>
      <c r="K71" s="13">
        <f t="shared" si="6"/>
        <v>18.9</v>
      </c>
      <c r="L71" s="21" t="s">
        <v>96</v>
      </c>
      <c r="M71" s="14" t="s">
        <v>368</v>
      </c>
      <c r="N71">
        <f t="shared" si="7"/>
        <v>18.9</v>
      </c>
    </row>
    <row r="72" customHeight="1" outlineLevel="1" spans="1:14">
      <c r="A72" s="16">
        <v>36</v>
      </c>
      <c r="B72" s="10" t="s">
        <v>359</v>
      </c>
      <c r="C72" s="11" t="s">
        <v>413</v>
      </c>
      <c r="D72" s="12" t="s">
        <v>52</v>
      </c>
      <c r="E72" s="13" t="s">
        <v>407</v>
      </c>
      <c r="F72" s="16">
        <v>1500</v>
      </c>
      <c r="G72" s="16">
        <v>2100</v>
      </c>
      <c r="H72" s="16">
        <v>1500</v>
      </c>
      <c r="I72" s="16">
        <v>2100</v>
      </c>
      <c r="J72" s="16">
        <v>16</v>
      </c>
      <c r="K72" s="13">
        <f t="shared" si="6"/>
        <v>50.4</v>
      </c>
      <c r="L72" s="21" t="s">
        <v>96</v>
      </c>
      <c r="N72">
        <f t="shared" si="7"/>
        <v>50.4</v>
      </c>
    </row>
    <row r="73" customHeight="1" outlineLevel="1" spans="1:14">
      <c r="A73" s="16">
        <v>37</v>
      </c>
      <c r="B73" s="10" t="s">
        <v>145</v>
      </c>
      <c r="C73" s="11" t="s">
        <v>379</v>
      </c>
      <c r="D73" s="12" t="s">
        <v>56</v>
      </c>
      <c r="E73" s="16" t="s">
        <v>414</v>
      </c>
      <c r="F73" s="16">
        <v>1200</v>
      </c>
      <c r="G73" s="16">
        <v>1400</v>
      </c>
      <c r="H73" s="16">
        <v>1200</v>
      </c>
      <c r="I73" s="16">
        <v>1400</v>
      </c>
      <c r="J73" s="16">
        <v>48</v>
      </c>
      <c r="K73" s="13">
        <f t="shared" si="6"/>
        <v>80.64</v>
      </c>
      <c r="L73" s="21" t="s">
        <v>96</v>
      </c>
      <c r="M73" s="12" t="s">
        <v>56</v>
      </c>
      <c r="N73">
        <f t="shared" si="7"/>
        <v>80.64</v>
      </c>
    </row>
    <row r="74" customHeight="1" outlineLevel="1" spans="1:14">
      <c r="A74" s="16">
        <v>38</v>
      </c>
      <c r="B74" s="10" t="s">
        <v>402</v>
      </c>
      <c r="C74" s="11" t="s">
        <v>415</v>
      </c>
      <c r="D74" s="12" t="s">
        <v>51</v>
      </c>
      <c r="E74" s="16" t="s">
        <v>383</v>
      </c>
      <c r="F74" s="16">
        <v>1200</v>
      </c>
      <c r="G74" s="16">
        <v>1400</v>
      </c>
      <c r="H74" s="16">
        <v>1200</v>
      </c>
      <c r="I74" s="16">
        <v>1400</v>
      </c>
      <c r="J74" s="16">
        <v>2</v>
      </c>
      <c r="K74" s="13">
        <f t="shared" si="6"/>
        <v>3.36</v>
      </c>
      <c r="L74" s="21" t="s">
        <v>96</v>
      </c>
      <c r="M74" s="12" t="s">
        <v>404</v>
      </c>
      <c r="N74">
        <f t="shared" si="7"/>
        <v>3.36</v>
      </c>
    </row>
    <row r="75" customHeight="1" outlineLevel="1" spans="1:14">
      <c r="A75" s="16">
        <v>39</v>
      </c>
      <c r="B75" s="10" t="s">
        <v>402</v>
      </c>
      <c r="C75" s="11" t="s">
        <v>382</v>
      </c>
      <c r="D75" s="12" t="s">
        <v>51</v>
      </c>
      <c r="E75" s="16" t="s">
        <v>416</v>
      </c>
      <c r="F75" s="16">
        <v>1800</v>
      </c>
      <c r="G75" s="16">
        <v>1700</v>
      </c>
      <c r="H75" s="16">
        <v>1800</v>
      </c>
      <c r="I75" s="16">
        <v>1700</v>
      </c>
      <c r="J75" s="16">
        <v>24</v>
      </c>
      <c r="K75" s="13">
        <f t="shared" si="6"/>
        <v>73.44</v>
      </c>
      <c r="L75" s="21" t="s">
        <v>96</v>
      </c>
      <c r="M75" s="12" t="s">
        <v>404</v>
      </c>
      <c r="N75">
        <f t="shared" si="7"/>
        <v>73.44</v>
      </c>
    </row>
    <row r="76" customHeight="1" outlineLevel="1" spans="1:14">
      <c r="A76" s="16">
        <v>40</v>
      </c>
      <c r="B76" s="10" t="s">
        <v>402</v>
      </c>
      <c r="C76" s="11" t="s">
        <v>417</v>
      </c>
      <c r="D76" s="12" t="s">
        <v>51</v>
      </c>
      <c r="E76" s="16" t="s">
        <v>414</v>
      </c>
      <c r="F76" s="16">
        <v>1500</v>
      </c>
      <c r="G76" s="16">
        <v>1400</v>
      </c>
      <c r="H76" s="16">
        <v>1500</v>
      </c>
      <c r="I76" s="16">
        <v>1400</v>
      </c>
      <c r="J76" s="16">
        <v>23</v>
      </c>
      <c r="K76" s="13">
        <f t="shared" si="6"/>
        <v>48.3</v>
      </c>
      <c r="L76" s="21" t="s">
        <v>96</v>
      </c>
      <c r="M76" s="12" t="s">
        <v>404</v>
      </c>
      <c r="N76">
        <f t="shared" si="7"/>
        <v>48.3</v>
      </c>
    </row>
    <row r="77" customHeight="1" outlineLevel="1" spans="1:14">
      <c r="A77" s="16">
        <v>41</v>
      </c>
      <c r="B77" s="10" t="s">
        <v>402</v>
      </c>
      <c r="C77" s="11" t="s">
        <v>418</v>
      </c>
      <c r="D77" s="12" t="s">
        <v>51</v>
      </c>
      <c r="E77" s="13" t="s">
        <v>373</v>
      </c>
      <c r="F77" s="16">
        <v>900</v>
      </c>
      <c r="G77" s="16">
        <v>1400</v>
      </c>
      <c r="H77" s="16">
        <v>900</v>
      </c>
      <c r="I77" s="16">
        <v>1400</v>
      </c>
      <c r="J77" s="16">
        <f>6*2</f>
        <v>12</v>
      </c>
      <c r="K77" s="13">
        <f t="shared" si="6"/>
        <v>15.12</v>
      </c>
      <c r="L77" s="21" t="s">
        <v>96</v>
      </c>
      <c r="M77" s="14" t="s">
        <v>404</v>
      </c>
      <c r="N77">
        <f t="shared" si="7"/>
        <v>15.12</v>
      </c>
    </row>
    <row r="78" customHeight="1" outlineLevel="1" spans="1:14">
      <c r="A78" s="16">
        <v>42</v>
      </c>
      <c r="B78" s="10" t="s">
        <v>402</v>
      </c>
      <c r="C78" s="11" t="s">
        <v>418</v>
      </c>
      <c r="D78" s="12" t="s">
        <v>51</v>
      </c>
      <c r="E78" s="13" t="s">
        <v>407</v>
      </c>
      <c r="F78" s="16">
        <v>900</v>
      </c>
      <c r="G78" s="16">
        <v>1400</v>
      </c>
      <c r="H78" s="16">
        <v>900</v>
      </c>
      <c r="I78" s="16">
        <v>1400</v>
      </c>
      <c r="J78" s="16">
        <f>17*2</f>
        <v>34</v>
      </c>
      <c r="K78" s="13">
        <f t="shared" si="6"/>
        <v>42.84</v>
      </c>
      <c r="L78" s="21" t="s">
        <v>96</v>
      </c>
      <c r="N78">
        <f t="shared" si="7"/>
        <v>42.84</v>
      </c>
    </row>
    <row r="79" customHeight="1" outlineLevel="1" spans="1:14">
      <c r="A79" s="16">
        <v>43</v>
      </c>
      <c r="B79" s="10" t="s">
        <v>111</v>
      </c>
      <c r="C79" s="17" t="s">
        <v>406</v>
      </c>
      <c r="D79" s="12" t="s">
        <v>50</v>
      </c>
      <c r="E79" s="16" t="s">
        <v>412</v>
      </c>
      <c r="F79" s="16">
        <v>500</v>
      </c>
      <c r="G79" s="16">
        <v>1000</v>
      </c>
      <c r="H79" s="16">
        <v>500</v>
      </c>
      <c r="I79" s="16">
        <v>1000</v>
      </c>
      <c r="J79" s="16">
        <v>276</v>
      </c>
      <c r="K79" s="13">
        <f t="shared" si="6"/>
        <v>138</v>
      </c>
      <c r="L79" s="21" t="s">
        <v>96</v>
      </c>
      <c r="N79">
        <f t="shared" si="7"/>
        <v>138</v>
      </c>
    </row>
    <row r="80" customHeight="1" outlineLevel="1" spans="1:14">
      <c r="A80" s="16">
        <v>44</v>
      </c>
      <c r="B80" s="11" t="s">
        <v>157</v>
      </c>
      <c r="C80" s="22" t="s">
        <v>389</v>
      </c>
      <c r="D80" s="12" t="s">
        <v>70</v>
      </c>
      <c r="E80" s="9" t="s">
        <v>412</v>
      </c>
      <c r="F80" s="16">
        <v>1600</v>
      </c>
      <c r="G80" s="16">
        <v>2300</v>
      </c>
      <c r="H80" s="16">
        <v>1600</v>
      </c>
      <c r="I80" s="16">
        <v>2300</v>
      </c>
      <c r="J80" s="16">
        <v>160</v>
      </c>
      <c r="K80" s="13">
        <f t="shared" si="6"/>
        <v>588.8</v>
      </c>
      <c r="L80" s="21" t="s">
        <v>96</v>
      </c>
      <c r="M80" s="14" t="s">
        <v>390</v>
      </c>
      <c r="N80">
        <f t="shared" si="7"/>
        <v>588.8</v>
      </c>
    </row>
    <row r="81" customHeight="1" outlineLevel="1" spans="1:14">
      <c r="A81" s="16">
        <v>45</v>
      </c>
      <c r="B81" s="11" t="s">
        <v>157</v>
      </c>
      <c r="C81" s="22" t="s">
        <v>391</v>
      </c>
      <c r="D81" s="12" t="s">
        <v>71</v>
      </c>
      <c r="E81" s="9" t="s">
        <v>412</v>
      </c>
      <c r="F81" s="16">
        <v>2100</v>
      </c>
      <c r="G81" s="16">
        <v>2300</v>
      </c>
      <c r="H81" s="16">
        <v>2100</v>
      </c>
      <c r="I81" s="16">
        <v>2300</v>
      </c>
      <c r="J81" s="16">
        <v>182</v>
      </c>
      <c r="K81" s="13">
        <f t="shared" si="6"/>
        <v>879.06</v>
      </c>
      <c r="L81" s="21" t="s">
        <v>96</v>
      </c>
      <c r="M81" s="14" t="s">
        <v>392</v>
      </c>
      <c r="N81">
        <f t="shared" si="7"/>
        <v>879.06</v>
      </c>
    </row>
    <row r="82" customHeight="1" outlineLevel="1" spans="1:14">
      <c r="A82" s="16">
        <v>46</v>
      </c>
      <c r="B82" s="11" t="s">
        <v>152</v>
      </c>
      <c r="C82" s="22" t="s">
        <v>419</v>
      </c>
      <c r="D82" s="12" t="s">
        <v>66</v>
      </c>
      <c r="E82" s="9" t="s">
        <v>412</v>
      </c>
      <c r="F82" s="16">
        <v>1200</v>
      </c>
      <c r="G82" s="16">
        <v>2300</v>
      </c>
      <c r="H82" s="16">
        <v>1200</v>
      </c>
      <c r="I82" s="16">
        <v>2300</v>
      </c>
      <c r="J82" s="16">
        <v>92</v>
      </c>
      <c r="K82" s="13">
        <f t="shared" si="6"/>
        <v>253.92</v>
      </c>
      <c r="L82" s="21" t="s">
        <v>96</v>
      </c>
      <c r="N82">
        <f t="shared" si="7"/>
        <v>253.92</v>
      </c>
    </row>
    <row r="83" customHeight="1" outlineLevel="1" spans="1:14">
      <c r="A83" s="16">
        <v>47</v>
      </c>
      <c r="B83" s="11" t="s">
        <v>176</v>
      </c>
      <c r="C83" s="11" t="s">
        <v>177</v>
      </c>
      <c r="D83" s="12" t="s">
        <v>420</v>
      </c>
      <c r="E83" s="9">
        <v>1</v>
      </c>
      <c r="F83" s="9">
        <v>11400</v>
      </c>
      <c r="G83" s="9">
        <v>4000</v>
      </c>
      <c r="H83" s="9">
        <v>11400</v>
      </c>
      <c r="I83" s="9">
        <v>4000</v>
      </c>
      <c r="J83" s="16">
        <v>1</v>
      </c>
      <c r="K83" s="13">
        <f t="shared" si="6"/>
        <v>45.6</v>
      </c>
      <c r="L83" s="21" t="s">
        <v>96</v>
      </c>
      <c r="N83">
        <f t="shared" si="7"/>
        <v>45.6</v>
      </c>
    </row>
    <row r="84" customHeight="1" outlineLevel="1" spans="1:14">
      <c r="A84" s="16">
        <v>48</v>
      </c>
      <c r="B84" s="11" t="s">
        <v>176</v>
      </c>
      <c r="C84" s="11" t="s">
        <v>177</v>
      </c>
      <c r="D84" s="12" t="s">
        <v>420</v>
      </c>
      <c r="E84" s="9">
        <v>1</v>
      </c>
      <c r="F84" s="9">
        <v>14600</v>
      </c>
      <c r="G84" s="9">
        <v>4000</v>
      </c>
      <c r="H84" s="9">
        <v>14600</v>
      </c>
      <c r="I84" s="9">
        <v>4000</v>
      </c>
      <c r="J84" s="16">
        <v>1</v>
      </c>
      <c r="K84" s="13">
        <f t="shared" si="6"/>
        <v>58.4</v>
      </c>
      <c r="L84" s="21" t="s">
        <v>96</v>
      </c>
      <c r="N84">
        <f t="shared" si="7"/>
        <v>58.4</v>
      </c>
    </row>
    <row r="85" customHeight="1" outlineLevel="1" spans="1:14">
      <c r="A85" s="16">
        <v>49</v>
      </c>
      <c r="B85" s="11" t="s">
        <v>176</v>
      </c>
      <c r="C85" s="11" t="s">
        <v>177</v>
      </c>
      <c r="D85" s="12" t="s">
        <v>420</v>
      </c>
      <c r="E85" s="9">
        <v>1</v>
      </c>
      <c r="F85" s="9">
        <v>30825</v>
      </c>
      <c r="G85" s="9">
        <v>4000</v>
      </c>
      <c r="H85" s="9">
        <v>30825</v>
      </c>
      <c r="I85" s="9">
        <v>4000</v>
      </c>
      <c r="J85" s="16">
        <v>1</v>
      </c>
      <c r="K85" s="13">
        <f t="shared" si="6"/>
        <v>123.3</v>
      </c>
      <c r="L85" s="21" t="s">
        <v>96</v>
      </c>
      <c r="N85">
        <f t="shared" si="7"/>
        <v>123.3</v>
      </c>
    </row>
    <row r="86" customHeight="1" spans="1:14">
      <c r="A86" s="7" t="s">
        <v>97</v>
      </c>
      <c r="B86" s="8"/>
      <c r="C86" s="8"/>
      <c r="D86" s="8"/>
      <c r="E86" s="8"/>
      <c r="F86" s="8"/>
      <c r="G86" s="8"/>
      <c r="H86" s="8"/>
      <c r="I86" s="8"/>
      <c r="J86" s="8"/>
      <c r="K86" s="8"/>
      <c r="L86" s="8"/>
      <c r="N86">
        <f t="shared" si="7"/>
        <v>0</v>
      </c>
    </row>
    <row r="87" customHeight="1" spans="1:14">
      <c r="A87" s="16">
        <v>50</v>
      </c>
      <c r="B87" s="10" t="s">
        <v>375</v>
      </c>
      <c r="C87" s="11" t="s">
        <v>360</v>
      </c>
      <c r="D87" s="12" t="s">
        <v>59</v>
      </c>
      <c r="E87" s="13" t="s">
        <v>361</v>
      </c>
      <c r="F87" s="9">
        <v>500</v>
      </c>
      <c r="G87" s="16">
        <v>1450</v>
      </c>
      <c r="H87" s="9">
        <v>500</v>
      </c>
      <c r="I87" s="16">
        <v>1450</v>
      </c>
      <c r="J87" s="16">
        <f>3*7</f>
        <v>21</v>
      </c>
      <c r="K87" s="13">
        <f>J87*G87*F87/1000000</f>
        <v>15.225</v>
      </c>
      <c r="L87" s="21" t="s">
        <v>97</v>
      </c>
      <c r="M87" s="14" t="s">
        <v>377</v>
      </c>
      <c r="N87">
        <f t="shared" si="7"/>
        <v>15.225</v>
      </c>
    </row>
    <row r="88" customHeight="1" spans="1:14">
      <c r="A88" s="16">
        <v>51</v>
      </c>
      <c r="B88" s="10" t="s">
        <v>375</v>
      </c>
      <c r="C88" s="11" t="s">
        <v>360</v>
      </c>
      <c r="D88" s="12" t="s">
        <v>59</v>
      </c>
      <c r="E88" s="13" t="s">
        <v>421</v>
      </c>
      <c r="F88" s="9">
        <v>500</v>
      </c>
      <c r="G88" s="16">
        <v>1450</v>
      </c>
      <c r="H88" s="9">
        <v>500</v>
      </c>
      <c r="I88" s="16">
        <v>1450</v>
      </c>
      <c r="J88" s="16">
        <f>6*3</f>
        <v>18</v>
      </c>
      <c r="K88" s="13">
        <f>J88*G88*F88/1000000</f>
        <v>13.05</v>
      </c>
      <c r="L88" s="21" t="s">
        <v>97</v>
      </c>
      <c r="N88">
        <f t="shared" si="7"/>
        <v>13.05</v>
      </c>
    </row>
    <row r="89" customHeight="1" spans="1:14">
      <c r="A89" s="16">
        <v>52</v>
      </c>
      <c r="B89" s="10" t="s">
        <v>375</v>
      </c>
      <c r="C89" s="11" t="s">
        <v>366</v>
      </c>
      <c r="D89" s="12" t="s">
        <v>59</v>
      </c>
      <c r="E89" s="13" t="s">
        <v>361</v>
      </c>
      <c r="F89" s="16">
        <v>600</v>
      </c>
      <c r="G89" s="16">
        <v>1450</v>
      </c>
      <c r="H89" s="16">
        <v>600</v>
      </c>
      <c r="I89" s="16">
        <v>1450</v>
      </c>
      <c r="J89" s="16">
        <f>7*2</f>
        <v>14</v>
      </c>
      <c r="K89" s="13">
        <f>J89*G89*F89/1000000</f>
        <v>12.18</v>
      </c>
      <c r="L89" s="21" t="s">
        <v>97</v>
      </c>
      <c r="M89" s="14" t="s">
        <v>377</v>
      </c>
      <c r="N89">
        <f t="shared" si="7"/>
        <v>12.18</v>
      </c>
    </row>
    <row r="90" customHeight="1" spans="1:14">
      <c r="A90" s="16">
        <v>53</v>
      </c>
      <c r="B90" s="10" t="s">
        <v>375</v>
      </c>
      <c r="C90" s="11" t="s">
        <v>366</v>
      </c>
      <c r="D90" s="12" t="s">
        <v>59</v>
      </c>
      <c r="E90" s="13" t="s">
        <v>421</v>
      </c>
      <c r="F90" s="16">
        <v>600</v>
      </c>
      <c r="G90" s="16">
        <v>1450</v>
      </c>
      <c r="H90" s="16">
        <v>600</v>
      </c>
      <c r="I90" s="16">
        <v>1450</v>
      </c>
      <c r="J90" s="16">
        <f>6*2</f>
        <v>12</v>
      </c>
      <c r="K90" s="13">
        <f>J90*G90*F90/1000000</f>
        <v>10.44</v>
      </c>
      <c r="L90" s="21" t="s">
        <v>97</v>
      </c>
      <c r="N90">
        <f t="shared" si="7"/>
        <v>10.44</v>
      </c>
    </row>
    <row r="91" customHeight="1" spans="1:14">
      <c r="A91" s="16">
        <v>54</v>
      </c>
      <c r="B91" s="10" t="s">
        <v>375</v>
      </c>
      <c r="C91" s="11" t="s">
        <v>371</v>
      </c>
      <c r="D91" s="12" t="s">
        <v>59</v>
      </c>
      <c r="E91" s="13" t="s">
        <v>361</v>
      </c>
      <c r="F91" s="16">
        <v>900</v>
      </c>
      <c r="G91" s="16">
        <v>1450</v>
      </c>
      <c r="H91" s="16">
        <v>900</v>
      </c>
      <c r="I91" s="16">
        <v>1450</v>
      </c>
      <c r="J91" s="16">
        <f>3*7</f>
        <v>21</v>
      </c>
      <c r="K91" s="13">
        <f>J91*G91*F91/1000000</f>
        <v>27.405</v>
      </c>
      <c r="L91" s="21" t="s">
        <v>97</v>
      </c>
      <c r="M91" s="14" t="s">
        <v>377</v>
      </c>
      <c r="N91">
        <f t="shared" si="7"/>
        <v>27.405</v>
      </c>
    </row>
    <row r="92" customHeight="1" spans="1:14">
      <c r="A92" s="16">
        <v>55</v>
      </c>
      <c r="B92" s="10" t="s">
        <v>375</v>
      </c>
      <c r="C92" s="11" t="s">
        <v>371</v>
      </c>
      <c r="D92" s="12" t="s">
        <v>59</v>
      </c>
      <c r="E92" s="13" t="s">
        <v>421</v>
      </c>
      <c r="F92" s="16">
        <v>900</v>
      </c>
      <c r="G92" s="16">
        <v>1450</v>
      </c>
      <c r="H92" s="16">
        <v>900</v>
      </c>
      <c r="I92" s="16">
        <v>1450</v>
      </c>
      <c r="J92" s="16">
        <f>3*6</f>
        <v>18</v>
      </c>
      <c r="K92" s="13">
        <f t="shared" ref="K92:K99" si="8">J92*G92*F92/1000000</f>
        <v>23.49</v>
      </c>
      <c r="L92" s="21" t="s">
        <v>97</v>
      </c>
      <c r="N92">
        <f t="shared" si="7"/>
        <v>23.49</v>
      </c>
    </row>
    <row r="93" customHeight="1" spans="1:14">
      <c r="A93" s="16">
        <v>56</v>
      </c>
      <c r="B93" s="10" t="s">
        <v>359</v>
      </c>
      <c r="C93" s="11" t="s">
        <v>371</v>
      </c>
      <c r="D93" s="12" t="s">
        <v>52</v>
      </c>
      <c r="E93" s="13" t="s">
        <v>361</v>
      </c>
      <c r="F93" s="16">
        <v>900</v>
      </c>
      <c r="G93" s="16">
        <v>1400</v>
      </c>
      <c r="H93" s="16">
        <v>900</v>
      </c>
      <c r="I93" s="16">
        <v>1400</v>
      </c>
      <c r="J93" s="16">
        <f>7*4</f>
        <v>28</v>
      </c>
      <c r="K93" s="13">
        <f t="shared" si="8"/>
        <v>35.28</v>
      </c>
      <c r="L93" s="21" t="s">
        <v>97</v>
      </c>
      <c r="M93" s="14" t="s">
        <v>368</v>
      </c>
      <c r="N93">
        <f t="shared" si="7"/>
        <v>35.28</v>
      </c>
    </row>
    <row r="94" customHeight="1" spans="1:14">
      <c r="A94" s="16">
        <v>57</v>
      </c>
      <c r="B94" s="10" t="s">
        <v>359</v>
      </c>
      <c r="C94" s="11" t="s">
        <v>371</v>
      </c>
      <c r="D94" s="12" t="s">
        <v>52</v>
      </c>
      <c r="E94" s="13" t="s">
        <v>421</v>
      </c>
      <c r="F94" s="16">
        <v>900</v>
      </c>
      <c r="G94" s="16">
        <v>1400</v>
      </c>
      <c r="H94" s="16">
        <v>900</v>
      </c>
      <c r="I94" s="16">
        <v>1400</v>
      </c>
      <c r="J94" s="16">
        <f>6*4</f>
        <v>24</v>
      </c>
      <c r="K94" s="13">
        <f t="shared" si="8"/>
        <v>30.24</v>
      </c>
      <c r="L94" s="21" t="s">
        <v>97</v>
      </c>
      <c r="N94">
        <f t="shared" si="7"/>
        <v>30.24</v>
      </c>
    </row>
    <row r="95" customHeight="1" spans="1:14">
      <c r="A95" s="16">
        <v>58</v>
      </c>
      <c r="B95" s="10" t="s">
        <v>359</v>
      </c>
      <c r="C95" s="11" t="s">
        <v>376</v>
      </c>
      <c r="D95" s="12" t="s">
        <v>52</v>
      </c>
      <c r="E95" s="13" t="s">
        <v>361</v>
      </c>
      <c r="F95" s="16">
        <v>1500</v>
      </c>
      <c r="G95" s="16">
        <v>1450</v>
      </c>
      <c r="H95" s="16">
        <v>1500</v>
      </c>
      <c r="I95" s="16">
        <v>1450</v>
      </c>
      <c r="J95" s="16">
        <f>7*3</f>
        <v>21</v>
      </c>
      <c r="K95" s="13">
        <f t="shared" si="8"/>
        <v>45.675</v>
      </c>
      <c r="L95" s="21" t="s">
        <v>97</v>
      </c>
      <c r="M95" s="14" t="s">
        <v>368</v>
      </c>
      <c r="N95">
        <f t="shared" si="7"/>
        <v>45.675</v>
      </c>
    </row>
    <row r="96" customHeight="1" spans="1:14">
      <c r="A96" s="16">
        <v>59</v>
      </c>
      <c r="B96" s="10" t="s">
        <v>359</v>
      </c>
      <c r="C96" s="11" t="s">
        <v>376</v>
      </c>
      <c r="D96" s="12" t="s">
        <v>52</v>
      </c>
      <c r="E96" s="13" t="s">
        <v>421</v>
      </c>
      <c r="F96" s="16">
        <v>1500</v>
      </c>
      <c r="G96" s="16">
        <v>1450</v>
      </c>
      <c r="H96" s="16">
        <v>1500</v>
      </c>
      <c r="I96" s="16">
        <v>1450</v>
      </c>
      <c r="J96" s="16">
        <f>6*3</f>
        <v>18</v>
      </c>
      <c r="K96" s="13">
        <f t="shared" si="8"/>
        <v>39.15</v>
      </c>
      <c r="L96" s="21" t="s">
        <v>97</v>
      </c>
      <c r="N96">
        <f t="shared" si="7"/>
        <v>39.15</v>
      </c>
    </row>
    <row r="97" customHeight="1" spans="1:14">
      <c r="A97" s="16">
        <v>60</v>
      </c>
      <c r="B97" s="10" t="s">
        <v>359</v>
      </c>
      <c r="C97" s="11" t="s">
        <v>378</v>
      </c>
      <c r="D97" s="12" t="s">
        <v>52</v>
      </c>
      <c r="E97" s="13" t="s">
        <v>361</v>
      </c>
      <c r="F97" s="16">
        <v>1600</v>
      </c>
      <c r="G97" s="16">
        <v>2150</v>
      </c>
      <c r="H97" s="16">
        <v>1600</v>
      </c>
      <c r="I97" s="16">
        <v>2150</v>
      </c>
      <c r="J97" s="16">
        <f>7*3</f>
        <v>21</v>
      </c>
      <c r="K97" s="13">
        <f t="shared" si="8"/>
        <v>72.24</v>
      </c>
      <c r="L97" s="21" t="s">
        <v>97</v>
      </c>
      <c r="M97" s="14" t="s">
        <v>368</v>
      </c>
      <c r="N97">
        <f t="shared" si="7"/>
        <v>72.24</v>
      </c>
    </row>
    <row r="98" customHeight="1" spans="1:14">
      <c r="A98" s="16">
        <v>61</v>
      </c>
      <c r="B98" s="10" t="s">
        <v>359</v>
      </c>
      <c r="C98" s="11" t="s">
        <v>378</v>
      </c>
      <c r="D98" s="12" t="s">
        <v>52</v>
      </c>
      <c r="E98" s="13" t="s">
        <v>421</v>
      </c>
      <c r="F98" s="16">
        <v>1600</v>
      </c>
      <c r="G98" s="16">
        <v>2150</v>
      </c>
      <c r="H98" s="16">
        <v>1600</v>
      </c>
      <c r="I98" s="16">
        <v>2150</v>
      </c>
      <c r="J98" s="16">
        <f>6*3</f>
        <v>18</v>
      </c>
      <c r="K98" s="13">
        <f t="shared" si="8"/>
        <v>61.92</v>
      </c>
      <c r="L98" s="21" t="s">
        <v>97</v>
      </c>
      <c r="N98">
        <f t="shared" si="7"/>
        <v>61.92</v>
      </c>
    </row>
    <row r="99" customHeight="1" spans="1:14">
      <c r="A99" s="16">
        <v>62</v>
      </c>
      <c r="B99" s="10" t="s">
        <v>359</v>
      </c>
      <c r="C99" s="11" t="s">
        <v>379</v>
      </c>
      <c r="D99" s="12" t="s">
        <v>53</v>
      </c>
      <c r="E99" s="13" t="s">
        <v>361</v>
      </c>
      <c r="F99" s="16">
        <v>2100</v>
      </c>
      <c r="G99" s="16">
        <v>2150</v>
      </c>
      <c r="H99" s="16">
        <v>2100</v>
      </c>
      <c r="I99" s="16">
        <v>2150</v>
      </c>
      <c r="J99" s="16">
        <f>7*4</f>
        <v>28</v>
      </c>
      <c r="K99" s="13">
        <f t="shared" si="8"/>
        <v>126.42</v>
      </c>
      <c r="L99" s="21" t="s">
        <v>97</v>
      </c>
      <c r="M99" s="14" t="s">
        <v>362</v>
      </c>
      <c r="N99">
        <f t="shared" si="7"/>
        <v>126.42</v>
      </c>
    </row>
    <row r="100" customHeight="1" spans="1:14">
      <c r="A100" s="16">
        <v>63</v>
      </c>
      <c r="B100" s="10" t="s">
        <v>359</v>
      </c>
      <c r="C100" s="11" t="s">
        <v>379</v>
      </c>
      <c r="D100" s="12" t="s">
        <v>53</v>
      </c>
      <c r="E100" s="13" t="s">
        <v>421</v>
      </c>
      <c r="F100" s="16">
        <v>2100</v>
      </c>
      <c r="G100" s="16">
        <v>2150</v>
      </c>
      <c r="H100" s="16">
        <v>2100</v>
      </c>
      <c r="I100" s="16">
        <v>2150</v>
      </c>
      <c r="J100" s="16">
        <f>6*4</f>
        <v>24</v>
      </c>
      <c r="K100" s="13">
        <f t="shared" ref="K100:K108" si="9">J100*G100*F100/1000000</f>
        <v>108.36</v>
      </c>
      <c r="L100" s="21" t="s">
        <v>97</v>
      </c>
      <c r="N100">
        <f t="shared" si="7"/>
        <v>108.36</v>
      </c>
    </row>
    <row r="101" customHeight="1" spans="1:14">
      <c r="A101" s="16">
        <v>64</v>
      </c>
      <c r="B101" s="10" t="s">
        <v>145</v>
      </c>
      <c r="C101" s="11" t="s">
        <v>374</v>
      </c>
      <c r="D101" s="12" t="s">
        <v>56</v>
      </c>
      <c r="E101" s="16" t="s">
        <v>422</v>
      </c>
      <c r="F101" s="16">
        <v>1500</v>
      </c>
      <c r="G101" s="16">
        <v>1500</v>
      </c>
      <c r="H101" s="16">
        <v>1500</v>
      </c>
      <c r="I101" s="16">
        <v>1500</v>
      </c>
      <c r="J101" s="16">
        <v>26</v>
      </c>
      <c r="K101" s="13">
        <f t="shared" si="9"/>
        <v>58.5</v>
      </c>
      <c r="L101" s="21" t="s">
        <v>97</v>
      </c>
      <c r="M101" s="12" t="s">
        <v>384</v>
      </c>
      <c r="N101">
        <f t="shared" si="7"/>
        <v>58.5</v>
      </c>
    </row>
    <row r="102" customHeight="1" spans="1:14">
      <c r="A102" s="16">
        <v>65</v>
      </c>
      <c r="B102" s="10" t="s">
        <v>283</v>
      </c>
      <c r="C102" s="11" t="s">
        <v>423</v>
      </c>
      <c r="D102" s="12" t="s">
        <v>62</v>
      </c>
      <c r="E102" s="16">
        <v>2</v>
      </c>
      <c r="F102" s="16">
        <v>900</v>
      </c>
      <c r="G102" s="16">
        <v>1400</v>
      </c>
      <c r="H102" s="16">
        <v>900</v>
      </c>
      <c r="I102" s="16">
        <v>1400</v>
      </c>
      <c r="J102" s="16">
        <v>2</v>
      </c>
      <c r="K102" s="13">
        <f t="shared" si="9"/>
        <v>2.52</v>
      </c>
      <c r="L102" s="21" t="s">
        <v>97</v>
      </c>
      <c r="M102" s="12" t="s">
        <v>381</v>
      </c>
      <c r="N102">
        <f t="shared" si="7"/>
        <v>2.52</v>
      </c>
    </row>
    <row r="103" customHeight="1" spans="1:14">
      <c r="A103" s="16">
        <v>66</v>
      </c>
      <c r="B103" s="10" t="s">
        <v>402</v>
      </c>
      <c r="C103" s="11" t="s">
        <v>382</v>
      </c>
      <c r="D103" s="12" t="s">
        <v>51</v>
      </c>
      <c r="E103" s="16">
        <v>2</v>
      </c>
      <c r="F103" s="16">
        <v>1200</v>
      </c>
      <c r="G103" s="16">
        <v>1200</v>
      </c>
      <c r="H103" s="16">
        <v>1200</v>
      </c>
      <c r="I103" s="16">
        <v>1200</v>
      </c>
      <c r="J103" s="16">
        <v>2</v>
      </c>
      <c r="K103" s="13">
        <f t="shared" si="9"/>
        <v>2.88</v>
      </c>
      <c r="L103" s="21" t="s">
        <v>97</v>
      </c>
      <c r="M103" s="12" t="s">
        <v>404</v>
      </c>
      <c r="N103">
        <f t="shared" si="7"/>
        <v>2.88</v>
      </c>
    </row>
    <row r="104" customHeight="1" spans="1:14">
      <c r="A104" s="16">
        <v>67</v>
      </c>
      <c r="B104" s="10" t="s">
        <v>402</v>
      </c>
      <c r="C104" s="11" t="s">
        <v>410</v>
      </c>
      <c r="D104" s="12" t="s">
        <v>51</v>
      </c>
      <c r="E104" s="16">
        <v>2</v>
      </c>
      <c r="F104" s="16">
        <v>1500</v>
      </c>
      <c r="G104" s="16">
        <v>1200</v>
      </c>
      <c r="H104" s="16">
        <v>1500</v>
      </c>
      <c r="I104" s="16">
        <v>1200</v>
      </c>
      <c r="J104" s="16">
        <v>2</v>
      </c>
      <c r="K104" s="13">
        <f t="shared" si="9"/>
        <v>3.6</v>
      </c>
      <c r="L104" s="21" t="s">
        <v>97</v>
      </c>
      <c r="M104" s="12" t="s">
        <v>404</v>
      </c>
      <c r="N104">
        <f t="shared" si="7"/>
        <v>3.6</v>
      </c>
    </row>
    <row r="105" customHeight="1" spans="1:14">
      <c r="A105" s="16">
        <v>68</v>
      </c>
      <c r="B105" s="10" t="s">
        <v>111</v>
      </c>
      <c r="C105" s="17" t="s">
        <v>406</v>
      </c>
      <c r="D105" s="12" t="s">
        <v>50</v>
      </c>
      <c r="E105" s="16" t="s">
        <v>424</v>
      </c>
      <c r="F105" s="16">
        <v>500</v>
      </c>
      <c r="G105" s="16">
        <v>1000</v>
      </c>
      <c r="H105" s="16">
        <v>500</v>
      </c>
      <c r="I105" s="16">
        <v>1000</v>
      </c>
      <c r="J105" s="16">
        <v>52</v>
      </c>
      <c r="K105" s="13">
        <f t="shared" si="9"/>
        <v>26</v>
      </c>
      <c r="L105" s="21" t="s">
        <v>97</v>
      </c>
      <c r="N105">
        <f t="shared" si="7"/>
        <v>26</v>
      </c>
    </row>
    <row r="106" customHeight="1" spans="1:14">
      <c r="A106" s="16">
        <v>69</v>
      </c>
      <c r="B106" s="11" t="s">
        <v>150</v>
      </c>
      <c r="C106" s="11" t="s">
        <v>389</v>
      </c>
      <c r="D106" s="12" t="s">
        <v>65</v>
      </c>
      <c r="E106" s="16" t="s">
        <v>424</v>
      </c>
      <c r="F106" s="16">
        <v>1200</v>
      </c>
      <c r="G106" s="16">
        <v>2350</v>
      </c>
      <c r="H106" s="16">
        <v>1200</v>
      </c>
      <c r="I106" s="16">
        <v>2350</v>
      </c>
      <c r="J106" s="16">
        <v>39</v>
      </c>
      <c r="K106" s="13">
        <f t="shared" si="9"/>
        <v>109.98</v>
      </c>
      <c r="L106" s="21" t="s">
        <v>97</v>
      </c>
      <c r="M106" s="14" t="s">
        <v>425</v>
      </c>
      <c r="N106">
        <f t="shared" si="7"/>
        <v>109.98</v>
      </c>
    </row>
    <row r="107" customHeight="1" spans="1:14">
      <c r="A107" s="16">
        <v>70</v>
      </c>
      <c r="B107" s="11" t="s">
        <v>157</v>
      </c>
      <c r="C107" s="11" t="s">
        <v>426</v>
      </c>
      <c r="D107" s="12" t="s">
        <v>71</v>
      </c>
      <c r="E107" s="16" t="s">
        <v>424</v>
      </c>
      <c r="F107" s="16">
        <v>3600</v>
      </c>
      <c r="G107" s="16">
        <v>2350</v>
      </c>
      <c r="H107" s="16">
        <v>3600</v>
      </c>
      <c r="I107" s="16">
        <v>2350</v>
      </c>
      <c r="J107" s="16">
        <v>13</v>
      </c>
      <c r="K107" s="13">
        <f t="shared" si="9"/>
        <v>109.98</v>
      </c>
      <c r="L107" s="21" t="s">
        <v>97</v>
      </c>
      <c r="M107" s="14" t="s">
        <v>392</v>
      </c>
      <c r="N107">
        <f t="shared" si="7"/>
        <v>109.98</v>
      </c>
    </row>
    <row r="108" customHeight="1" spans="1:14">
      <c r="A108" s="16">
        <v>71</v>
      </c>
      <c r="B108" s="11" t="s">
        <v>157</v>
      </c>
      <c r="C108" s="11" t="s">
        <v>427</v>
      </c>
      <c r="D108" s="12" t="s">
        <v>70</v>
      </c>
      <c r="E108" s="16" t="s">
        <v>424</v>
      </c>
      <c r="F108" s="16">
        <v>1500</v>
      </c>
      <c r="G108" s="16">
        <v>2350</v>
      </c>
      <c r="H108" s="16">
        <v>1500</v>
      </c>
      <c r="I108" s="16">
        <v>2350</v>
      </c>
      <c r="J108" s="16">
        <v>13</v>
      </c>
      <c r="K108" s="13">
        <f t="shared" si="9"/>
        <v>45.825</v>
      </c>
      <c r="L108" s="21" t="s">
        <v>97</v>
      </c>
      <c r="M108" s="14" t="s">
        <v>390</v>
      </c>
      <c r="N108">
        <f t="shared" si="7"/>
        <v>45.825</v>
      </c>
    </row>
    <row r="109" customHeight="1" spans="1:14">
      <c r="A109" s="16">
        <v>72</v>
      </c>
      <c r="B109" s="11" t="s">
        <v>157</v>
      </c>
      <c r="C109" s="11" t="s">
        <v>428</v>
      </c>
      <c r="D109" s="12" t="s">
        <v>70</v>
      </c>
      <c r="E109" s="16" t="s">
        <v>424</v>
      </c>
      <c r="F109" s="16">
        <v>1600</v>
      </c>
      <c r="G109" s="16">
        <v>2350</v>
      </c>
      <c r="H109" s="16">
        <v>1600</v>
      </c>
      <c r="I109" s="16">
        <v>2350</v>
      </c>
      <c r="J109" s="16">
        <v>13</v>
      </c>
      <c r="K109" s="13">
        <f t="shared" ref="K109:K116" si="10">J109*G109*F109/1000000</f>
        <v>48.88</v>
      </c>
      <c r="L109" s="21" t="s">
        <v>97</v>
      </c>
      <c r="M109" s="14" t="s">
        <v>390</v>
      </c>
      <c r="N109">
        <f t="shared" si="7"/>
        <v>48.88</v>
      </c>
    </row>
    <row r="110" customHeight="1" spans="1:14">
      <c r="A110" s="16">
        <v>73</v>
      </c>
      <c r="B110" s="11" t="s">
        <v>157</v>
      </c>
      <c r="C110" s="11" t="s">
        <v>429</v>
      </c>
      <c r="D110" s="12" t="s">
        <v>70</v>
      </c>
      <c r="E110" s="16" t="s">
        <v>424</v>
      </c>
      <c r="F110" s="16">
        <v>4800</v>
      </c>
      <c r="G110" s="16">
        <v>2350</v>
      </c>
      <c r="H110" s="16">
        <v>4800</v>
      </c>
      <c r="I110" s="16">
        <v>2350</v>
      </c>
      <c r="J110" s="16">
        <v>39</v>
      </c>
      <c r="K110" s="13">
        <f t="shared" si="10"/>
        <v>439.92</v>
      </c>
      <c r="L110" s="21" t="s">
        <v>97</v>
      </c>
      <c r="M110" s="14" t="s">
        <v>390</v>
      </c>
      <c r="N110">
        <f t="shared" si="7"/>
        <v>439.92</v>
      </c>
    </row>
    <row r="111" customHeight="1" spans="1:14">
      <c r="A111" s="16">
        <v>74</v>
      </c>
      <c r="B111" s="11" t="s">
        <v>150</v>
      </c>
      <c r="C111" s="11" t="s">
        <v>430</v>
      </c>
      <c r="D111" s="12" t="s">
        <v>65</v>
      </c>
      <c r="E111" s="16" t="s">
        <v>424</v>
      </c>
      <c r="F111" s="16">
        <v>700</v>
      </c>
      <c r="G111" s="16">
        <v>2350</v>
      </c>
      <c r="H111" s="16">
        <v>700</v>
      </c>
      <c r="I111" s="16">
        <v>2350</v>
      </c>
      <c r="J111" s="16">
        <v>48</v>
      </c>
      <c r="K111" s="13">
        <f t="shared" si="10"/>
        <v>78.96</v>
      </c>
      <c r="L111" s="21" t="s">
        <v>97</v>
      </c>
      <c r="M111" s="14" t="s">
        <v>425</v>
      </c>
      <c r="N111">
        <f t="shared" si="7"/>
        <v>78.96</v>
      </c>
    </row>
    <row r="112" customHeight="1" spans="1:14">
      <c r="A112" s="16">
        <v>75</v>
      </c>
      <c r="B112" s="11" t="s">
        <v>155</v>
      </c>
      <c r="C112" s="11" t="s">
        <v>431</v>
      </c>
      <c r="D112" s="12" t="s">
        <v>432</v>
      </c>
      <c r="E112" s="16" t="s">
        <v>433</v>
      </c>
      <c r="F112" s="16">
        <v>1200</v>
      </c>
      <c r="G112" s="16">
        <v>2400</v>
      </c>
      <c r="H112" s="16">
        <v>1200</v>
      </c>
      <c r="I112" s="16">
        <v>2400</v>
      </c>
      <c r="J112" s="16">
        <v>2</v>
      </c>
      <c r="K112" s="13">
        <f t="shared" si="10"/>
        <v>5.76</v>
      </c>
      <c r="L112" s="21" t="s">
        <v>97</v>
      </c>
      <c r="N112">
        <f t="shared" si="7"/>
        <v>5.76</v>
      </c>
    </row>
    <row r="113" customHeight="1" spans="1:14">
      <c r="A113" s="16">
        <v>76</v>
      </c>
      <c r="B113" s="10" t="s">
        <v>111</v>
      </c>
      <c r="C113" s="17" t="s">
        <v>434</v>
      </c>
      <c r="D113" s="12" t="s">
        <v>50</v>
      </c>
      <c r="E113" s="16" t="s">
        <v>435</v>
      </c>
      <c r="F113" s="16">
        <v>600</v>
      </c>
      <c r="G113" s="16">
        <v>1200</v>
      </c>
      <c r="H113" s="16">
        <v>600</v>
      </c>
      <c r="I113" s="16">
        <v>1200</v>
      </c>
      <c r="J113" s="16">
        <v>4</v>
      </c>
      <c r="K113" s="13">
        <f t="shared" si="10"/>
        <v>2.88</v>
      </c>
      <c r="L113" s="21" t="s">
        <v>97</v>
      </c>
      <c r="N113">
        <f t="shared" si="7"/>
        <v>2.88</v>
      </c>
    </row>
    <row r="114" customHeight="1" spans="1:14">
      <c r="A114" s="16">
        <v>77</v>
      </c>
      <c r="B114" s="11" t="s">
        <v>176</v>
      </c>
      <c r="C114" s="11" t="s">
        <v>177</v>
      </c>
      <c r="D114" s="12" t="s">
        <v>420</v>
      </c>
      <c r="E114" s="9">
        <v>1</v>
      </c>
      <c r="F114" s="9">
        <v>9800</v>
      </c>
      <c r="G114" s="9">
        <v>2900</v>
      </c>
      <c r="H114" s="9">
        <v>9800</v>
      </c>
      <c r="I114" s="9">
        <v>2900</v>
      </c>
      <c r="J114" s="16">
        <v>1</v>
      </c>
      <c r="K114" s="13">
        <f t="shared" si="10"/>
        <v>28.42</v>
      </c>
      <c r="L114" s="21" t="s">
        <v>97</v>
      </c>
      <c r="N114">
        <f t="shared" si="7"/>
        <v>28.42</v>
      </c>
    </row>
    <row r="115" customHeight="1" spans="1:14">
      <c r="A115" s="16">
        <v>78</v>
      </c>
      <c r="B115" s="11" t="s">
        <v>176</v>
      </c>
      <c r="C115" s="11" t="s">
        <v>177</v>
      </c>
      <c r="D115" s="12" t="s">
        <v>420</v>
      </c>
      <c r="E115" s="9">
        <v>1</v>
      </c>
      <c r="F115" s="9">
        <v>10100</v>
      </c>
      <c r="G115" s="9">
        <v>2900</v>
      </c>
      <c r="H115" s="9">
        <v>10100</v>
      </c>
      <c r="I115" s="9">
        <v>2900</v>
      </c>
      <c r="J115" s="16">
        <v>1</v>
      </c>
      <c r="K115" s="13">
        <f t="shared" si="10"/>
        <v>29.29</v>
      </c>
      <c r="L115" s="21" t="s">
        <v>97</v>
      </c>
      <c r="N115">
        <f t="shared" si="7"/>
        <v>29.29</v>
      </c>
    </row>
    <row r="116" customHeight="1" spans="1:14">
      <c r="A116" s="16">
        <v>79</v>
      </c>
      <c r="B116" s="12" t="s">
        <v>255</v>
      </c>
      <c r="C116" s="11" t="s">
        <v>177</v>
      </c>
      <c r="D116" s="12" t="s">
        <v>436</v>
      </c>
      <c r="E116" s="9">
        <v>1</v>
      </c>
      <c r="F116" s="9">
        <f>6450+5500+31300</f>
        <v>43250</v>
      </c>
      <c r="G116" s="9">
        <v>2900</v>
      </c>
      <c r="H116" s="9">
        <f>6450+5500+31300</f>
        <v>43250</v>
      </c>
      <c r="I116" s="9">
        <v>2900</v>
      </c>
      <c r="J116" s="16">
        <v>1</v>
      </c>
      <c r="K116" s="13">
        <f t="shared" si="10"/>
        <v>125.425</v>
      </c>
      <c r="L116" s="21" t="s">
        <v>97</v>
      </c>
      <c r="N116">
        <f t="shared" si="7"/>
        <v>125.425</v>
      </c>
    </row>
    <row r="117" customHeight="1" spans="1:14">
      <c r="A117" s="7" t="s">
        <v>98</v>
      </c>
      <c r="B117" s="8"/>
      <c r="C117" s="8"/>
      <c r="D117" s="8"/>
      <c r="E117" s="8"/>
      <c r="F117" s="8"/>
      <c r="G117" s="8"/>
      <c r="H117" s="8"/>
      <c r="I117" s="8"/>
      <c r="J117" s="8"/>
      <c r="K117" s="8"/>
      <c r="L117" s="8"/>
      <c r="N117">
        <f t="shared" si="7"/>
        <v>0</v>
      </c>
    </row>
    <row r="118" customHeight="1" spans="1:14">
      <c r="A118" s="16">
        <v>80</v>
      </c>
      <c r="B118" s="10" t="s">
        <v>375</v>
      </c>
      <c r="C118" s="11" t="s">
        <v>360</v>
      </c>
      <c r="D118" s="12" t="s">
        <v>59</v>
      </c>
      <c r="E118" s="13" t="s">
        <v>361</v>
      </c>
      <c r="F118" s="9">
        <v>900</v>
      </c>
      <c r="G118" s="9">
        <v>1400</v>
      </c>
      <c r="H118" s="9">
        <v>900</v>
      </c>
      <c r="I118" s="9">
        <v>1400</v>
      </c>
      <c r="J118" s="16">
        <f>6*2+1</f>
        <v>13</v>
      </c>
      <c r="K118" s="13">
        <f>J118*G118*F118/1000000</f>
        <v>16.38</v>
      </c>
      <c r="L118" s="21" t="s">
        <v>98</v>
      </c>
      <c r="M118" s="14" t="s">
        <v>377</v>
      </c>
      <c r="N118">
        <f t="shared" si="7"/>
        <v>16.38</v>
      </c>
    </row>
    <row r="119" customHeight="1" spans="1:14">
      <c r="A119" s="16">
        <v>81</v>
      </c>
      <c r="B119" s="10" t="s">
        <v>375</v>
      </c>
      <c r="C119" s="11" t="s">
        <v>360</v>
      </c>
      <c r="D119" s="12" t="s">
        <v>59</v>
      </c>
      <c r="E119" s="13" t="s">
        <v>363</v>
      </c>
      <c r="F119" s="9">
        <v>900</v>
      </c>
      <c r="G119" s="9">
        <v>1400</v>
      </c>
      <c r="H119" s="9">
        <v>900</v>
      </c>
      <c r="I119" s="9">
        <v>1400</v>
      </c>
      <c r="J119" s="16">
        <f>19*2</f>
        <v>38</v>
      </c>
      <c r="K119" s="13">
        <f t="shared" ref="K119:K153" si="11">J119*G119*F119/1000000</f>
        <v>47.88</v>
      </c>
      <c r="L119" s="21" t="s">
        <v>98</v>
      </c>
      <c r="N119">
        <f t="shared" si="7"/>
        <v>47.88</v>
      </c>
    </row>
    <row r="120" customHeight="1" spans="1:14">
      <c r="A120" s="16">
        <v>82</v>
      </c>
      <c r="B120" s="10" t="s">
        <v>375</v>
      </c>
      <c r="C120" s="11" t="s">
        <v>371</v>
      </c>
      <c r="D120" s="12" t="s">
        <v>59</v>
      </c>
      <c r="E120" s="13" t="s">
        <v>373</v>
      </c>
      <c r="F120" s="16">
        <v>600</v>
      </c>
      <c r="G120" s="16">
        <v>1400</v>
      </c>
      <c r="H120" s="16">
        <v>600</v>
      </c>
      <c r="I120" s="16">
        <v>1400</v>
      </c>
      <c r="J120" s="16">
        <f>5+6*8</f>
        <v>53</v>
      </c>
      <c r="K120" s="13">
        <f t="shared" si="11"/>
        <v>44.52</v>
      </c>
      <c r="L120" s="21" t="s">
        <v>98</v>
      </c>
      <c r="M120" s="14" t="s">
        <v>377</v>
      </c>
      <c r="N120">
        <f t="shared" si="7"/>
        <v>44.52</v>
      </c>
    </row>
    <row r="121" customHeight="1" spans="1:14">
      <c r="A121" s="16">
        <v>83</v>
      </c>
      <c r="B121" s="10" t="s">
        <v>375</v>
      </c>
      <c r="C121" s="11" t="s">
        <v>371</v>
      </c>
      <c r="D121" s="12" t="s">
        <v>59</v>
      </c>
      <c r="E121" s="13" t="s">
        <v>363</v>
      </c>
      <c r="F121" s="16">
        <v>600</v>
      </c>
      <c r="G121" s="16">
        <v>1400</v>
      </c>
      <c r="H121" s="16">
        <v>600</v>
      </c>
      <c r="I121" s="16">
        <v>1400</v>
      </c>
      <c r="J121" s="16">
        <f>19*8</f>
        <v>152</v>
      </c>
      <c r="K121" s="13">
        <f t="shared" si="11"/>
        <v>127.68</v>
      </c>
      <c r="L121" s="21" t="s">
        <v>98</v>
      </c>
      <c r="N121">
        <f t="shared" si="7"/>
        <v>127.68</v>
      </c>
    </row>
    <row r="122" customHeight="1" spans="1:14">
      <c r="A122" s="16">
        <v>84</v>
      </c>
      <c r="B122" s="10" t="s">
        <v>375</v>
      </c>
      <c r="C122" s="11" t="s">
        <v>378</v>
      </c>
      <c r="D122" s="12" t="s">
        <v>59</v>
      </c>
      <c r="E122" s="13" t="s">
        <v>361</v>
      </c>
      <c r="F122" s="16">
        <v>500</v>
      </c>
      <c r="G122" s="16">
        <v>1400</v>
      </c>
      <c r="H122" s="16">
        <v>500</v>
      </c>
      <c r="I122" s="16">
        <v>1400</v>
      </c>
      <c r="J122" s="16">
        <v>6</v>
      </c>
      <c r="K122" s="13">
        <f t="shared" si="11"/>
        <v>4.2</v>
      </c>
      <c r="L122" s="21" t="s">
        <v>98</v>
      </c>
      <c r="M122" s="14" t="s">
        <v>377</v>
      </c>
      <c r="N122">
        <f t="shared" si="7"/>
        <v>4.2</v>
      </c>
    </row>
    <row r="123" customHeight="1" spans="1:14">
      <c r="A123" s="16">
        <v>85</v>
      </c>
      <c r="B123" s="10" t="s">
        <v>375</v>
      </c>
      <c r="C123" s="11" t="s">
        <v>378</v>
      </c>
      <c r="D123" s="12" t="s">
        <v>59</v>
      </c>
      <c r="E123" s="13" t="s">
        <v>363</v>
      </c>
      <c r="F123" s="16">
        <v>500</v>
      </c>
      <c r="G123" s="16">
        <v>1400</v>
      </c>
      <c r="H123" s="16">
        <v>500</v>
      </c>
      <c r="I123" s="16">
        <v>1400</v>
      </c>
      <c r="J123" s="16">
        <v>19</v>
      </c>
      <c r="K123" s="13">
        <f t="shared" si="11"/>
        <v>13.3</v>
      </c>
      <c r="L123" s="21" t="s">
        <v>98</v>
      </c>
      <c r="N123">
        <f t="shared" si="7"/>
        <v>13.3</v>
      </c>
    </row>
    <row r="124" customHeight="1" spans="1:14">
      <c r="A124" s="16">
        <v>86</v>
      </c>
      <c r="B124" s="10" t="s">
        <v>375</v>
      </c>
      <c r="C124" s="11" t="s">
        <v>408</v>
      </c>
      <c r="D124" s="12" t="s">
        <v>59</v>
      </c>
      <c r="E124" s="13" t="s">
        <v>373</v>
      </c>
      <c r="F124" s="16">
        <v>550</v>
      </c>
      <c r="G124" s="16">
        <v>1400</v>
      </c>
      <c r="H124" s="16">
        <v>550</v>
      </c>
      <c r="I124" s="16">
        <v>1400</v>
      </c>
      <c r="J124" s="16">
        <v>6</v>
      </c>
      <c r="K124" s="13">
        <f t="shared" si="11"/>
        <v>4.62</v>
      </c>
      <c r="L124" s="21" t="s">
        <v>98</v>
      </c>
      <c r="M124" s="14" t="s">
        <v>377</v>
      </c>
      <c r="N124">
        <f t="shared" si="7"/>
        <v>4.62</v>
      </c>
    </row>
    <row r="125" customHeight="1" spans="1:14">
      <c r="A125" s="16">
        <v>87</v>
      </c>
      <c r="B125" s="10" t="s">
        <v>375</v>
      </c>
      <c r="C125" s="11" t="s">
        <v>408</v>
      </c>
      <c r="D125" s="12" t="s">
        <v>59</v>
      </c>
      <c r="E125" s="13" t="s">
        <v>363</v>
      </c>
      <c r="F125" s="16">
        <v>550</v>
      </c>
      <c r="G125" s="16">
        <v>1400</v>
      </c>
      <c r="H125" s="16">
        <v>550</v>
      </c>
      <c r="I125" s="16">
        <v>1400</v>
      </c>
      <c r="J125" s="16">
        <v>19</v>
      </c>
      <c r="K125" s="13">
        <f t="shared" si="11"/>
        <v>14.63</v>
      </c>
      <c r="L125" s="21" t="s">
        <v>98</v>
      </c>
      <c r="N125">
        <f t="shared" si="7"/>
        <v>14.63</v>
      </c>
    </row>
    <row r="126" customHeight="1" spans="1:14">
      <c r="A126" s="16">
        <v>88</v>
      </c>
      <c r="B126" s="10" t="s">
        <v>359</v>
      </c>
      <c r="C126" s="11" t="s">
        <v>366</v>
      </c>
      <c r="D126" s="12" t="s">
        <v>52</v>
      </c>
      <c r="E126" s="13" t="s">
        <v>361</v>
      </c>
      <c r="F126" s="9">
        <v>900</v>
      </c>
      <c r="G126" s="16">
        <v>1400</v>
      </c>
      <c r="H126" s="9">
        <v>900</v>
      </c>
      <c r="I126" s="16">
        <v>1400</v>
      </c>
      <c r="J126" s="16">
        <f>4*6+2</f>
        <v>26</v>
      </c>
      <c r="K126" s="13">
        <f t="shared" si="11"/>
        <v>32.76</v>
      </c>
      <c r="L126" s="21" t="s">
        <v>98</v>
      </c>
      <c r="M126" s="14" t="s">
        <v>368</v>
      </c>
      <c r="N126">
        <f t="shared" si="7"/>
        <v>32.76</v>
      </c>
    </row>
    <row r="127" customHeight="1" spans="1:14">
      <c r="A127" s="16">
        <v>89</v>
      </c>
      <c r="B127" s="10" t="s">
        <v>359</v>
      </c>
      <c r="C127" s="11" t="s">
        <v>366</v>
      </c>
      <c r="D127" s="12" t="s">
        <v>52</v>
      </c>
      <c r="E127" s="13" t="s">
        <v>363</v>
      </c>
      <c r="F127" s="9">
        <v>900</v>
      </c>
      <c r="G127" s="16">
        <v>1400</v>
      </c>
      <c r="H127" s="9">
        <v>900</v>
      </c>
      <c r="I127" s="16">
        <v>1400</v>
      </c>
      <c r="J127" s="16">
        <f>4*19</f>
        <v>76</v>
      </c>
      <c r="K127" s="13">
        <f t="shared" si="11"/>
        <v>95.76</v>
      </c>
      <c r="L127" s="21" t="s">
        <v>98</v>
      </c>
      <c r="N127">
        <f t="shared" si="7"/>
        <v>95.76</v>
      </c>
    </row>
    <row r="128" customHeight="1" spans="1:14">
      <c r="A128" s="16">
        <v>90</v>
      </c>
      <c r="B128" s="10" t="s">
        <v>359</v>
      </c>
      <c r="C128" s="11" t="s">
        <v>374</v>
      </c>
      <c r="D128" s="12" t="s">
        <v>52</v>
      </c>
      <c r="E128" s="13" t="s">
        <v>361</v>
      </c>
      <c r="F128" s="9">
        <v>600</v>
      </c>
      <c r="G128" s="9">
        <v>1400</v>
      </c>
      <c r="H128" s="9">
        <v>600</v>
      </c>
      <c r="I128" s="9">
        <v>1400</v>
      </c>
      <c r="J128" s="16">
        <f>2+6*3</f>
        <v>20</v>
      </c>
      <c r="K128" s="13">
        <f t="shared" si="11"/>
        <v>16.8</v>
      </c>
      <c r="L128" s="21" t="s">
        <v>98</v>
      </c>
      <c r="M128" s="14" t="s">
        <v>368</v>
      </c>
      <c r="N128">
        <f t="shared" si="7"/>
        <v>16.8</v>
      </c>
    </row>
    <row r="129" customHeight="1" spans="1:14">
      <c r="A129" s="16">
        <v>91</v>
      </c>
      <c r="B129" s="10" t="s">
        <v>359</v>
      </c>
      <c r="C129" s="11" t="s">
        <v>374</v>
      </c>
      <c r="D129" s="12" t="s">
        <v>52</v>
      </c>
      <c r="E129" s="13" t="s">
        <v>363</v>
      </c>
      <c r="F129" s="9">
        <v>600</v>
      </c>
      <c r="G129" s="9">
        <v>1400</v>
      </c>
      <c r="H129" s="9">
        <v>600</v>
      </c>
      <c r="I129" s="9">
        <v>1400</v>
      </c>
      <c r="J129" s="16">
        <f>19*3</f>
        <v>57</v>
      </c>
      <c r="K129" s="13">
        <f t="shared" si="11"/>
        <v>47.88</v>
      </c>
      <c r="L129" s="21" t="s">
        <v>98</v>
      </c>
      <c r="N129">
        <f t="shared" si="7"/>
        <v>47.88</v>
      </c>
    </row>
    <row r="130" customHeight="1" spans="1:14">
      <c r="A130" s="16">
        <v>92</v>
      </c>
      <c r="B130" s="10" t="s">
        <v>364</v>
      </c>
      <c r="C130" s="11" t="s">
        <v>376</v>
      </c>
      <c r="D130" s="12" t="s">
        <v>76</v>
      </c>
      <c r="E130" s="16" t="s">
        <v>372</v>
      </c>
      <c r="F130" s="16">
        <v>1500</v>
      </c>
      <c r="G130" s="16">
        <v>1400</v>
      </c>
      <c r="H130" s="16">
        <v>1500</v>
      </c>
      <c r="I130" s="16">
        <v>1400</v>
      </c>
      <c r="J130" s="16">
        <v>77</v>
      </c>
      <c r="K130" s="13">
        <f t="shared" si="11"/>
        <v>161.7</v>
      </c>
      <c r="L130" s="21" t="s">
        <v>98</v>
      </c>
      <c r="N130">
        <f t="shared" si="7"/>
        <v>161.7</v>
      </c>
    </row>
    <row r="131" customHeight="1" spans="1:14">
      <c r="A131" s="16">
        <v>93</v>
      </c>
      <c r="B131" s="10" t="s">
        <v>364</v>
      </c>
      <c r="C131" s="11" t="s">
        <v>410</v>
      </c>
      <c r="D131" s="12" t="s">
        <v>411</v>
      </c>
      <c r="E131" s="13" t="s">
        <v>372</v>
      </c>
      <c r="F131" s="16">
        <v>2100</v>
      </c>
      <c r="G131" s="16">
        <v>2100</v>
      </c>
      <c r="H131" s="16">
        <v>2100</v>
      </c>
      <c r="I131" s="16">
        <v>2100</v>
      </c>
      <c r="J131" s="16">
        <v>152</v>
      </c>
      <c r="K131" s="13">
        <f t="shared" si="11"/>
        <v>670.32</v>
      </c>
      <c r="L131" s="21" t="s">
        <v>98</v>
      </c>
      <c r="N131">
        <f t="shared" si="7"/>
        <v>670.32</v>
      </c>
    </row>
    <row r="132" customHeight="1" spans="1:14">
      <c r="A132" s="16">
        <v>94</v>
      </c>
      <c r="B132" s="10" t="s">
        <v>364</v>
      </c>
      <c r="C132" s="11" t="s">
        <v>437</v>
      </c>
      <c r="D132" s="12" t="s">
        <v>411</v>
      </c>
      <c r="E132" s="13">
        <v>2</v>
      </c>
      <c r="F132" s="16">
        <v>2100</v>
      </c>
      <c r="G132" s="16">
        <v>1700</v>
      </c>
      <c r="H132" s="16">
        <v>2100</v>
      </c>
      <c r="I132" s="16">
        <v>1700</v>
      </c>
      <c r="J132" s="16">
        <v>2</v>
      </c>
      <c r="K132" s="13">
        <f t="shared" si="11"/>
        <v>7.14</v>
      </c>
      <c r="L132" s="21" t="s">
        <v>98</v>
      </c>
      <c r="N132">
        <f t="shared" si="7"/>
        <v>7.14</v>
      </c>
    </row>
    <row r="133" customHeight="1" spans="1:14">
      <c r="A133" s="16">
        <v>95</v>
      </c>
      <c r="B133" s="10" t="s">
        <v>359</v>
      </c>
      <c r="C133" s="11" t="s">
        <v>438</v>
      </c>
      <c r="D133" s="12" t="s">
        <v>388</v>
      </c>
      <c r="E133" s="13">
        <v>1</v>
      </c>
      <c r="F133" s="16">
        <v>5000</v>
      </c>
      <c r="G133" s="16">
        <v>1700</v>
      </c>
      <c r="H133" s="16">
        <v>5000</v>
      </c>
      <c r="I133" s="16">
        <v>1700</v>
      </c>
      <c r="J133" s="16">
        <v>1</v>
      </c>
      <c r="K133" s="13">
        <f t="shared" si="11"/>
        <v>8.5</v>
      </c>
      <c r="L133" s="21" t="s">
        <v>98</v>
      </c>
      <c r="M133" s="14" t="s">
        <v>439</v>
      </c>
      <c r="N133">
        <f t="shared" ref="N133:N196" si="12">K133</f>
        <v>8.5</v>
      </c>
    </row>
    <row r="134" customHeight="1" spans="1:14">
      <c r="A134" s="16">
        <v>96</v>
      </c>
      <c r="B134" s="10" t="s">
        <v>359</v>
      </c>
      <c r="C134" s="11" t="s">
        <v>385</v>
      </c>
      <c r="D134" s="12" t="s">
        <v>388</v>
      </c>
      <c r="E134" s="16" t="s">
        <v>373</v>
      </c>
      <c r="F134" s="16">
        <v>5000</v>
      </c>
      <c r="G134" s="16">
        <v>2100</v>
      </c>
      <c r="H134" s="16">
        <v>5000</v>
      </c>
      <c r="I134" s="16">
        <v>2100</v>
      </c>
      <c r="J134" s="16">
        <v>6</v>
      </c>
      <c r="K134" s="13">
        <f t="shared" si="11"/>
        <v>63</v>
      </c>
      <c r="L134" s="21" t="s">
        <v>98</v>
      </c>
      <c r="M134" s="14" t="s">
        <v>130</v>
      </c>
      <c r="N134">
        <f t="shared" si="12"/>
        <v>63</v>
      </c>
    </row>
    <row r="135" customHeight="1" spans="1:14">
      <c r="A135" s="16">
        <v>97</v>
      </c>
      <c r="B135" s="10" t="s">
        <v>359</v>
      </c>
      <c r="C135" s="11" t="s">
        <v>385</v>
      </c>
      <c r="D135" s="12" t="s">
        <v>388</v>
      </c>
      <c r="E135" s="13" t="s">
        <v>363</v>
      </c>
      <c r="F135" s="16">
        <v>5000</v>
      </c>
      <c r="G135" s="16">
        <v>2100</v>
      </c>
      <c r="H135" s="16">
        <v>5000</v>
      </c>
      <c r="I135" s="16">
        <v>2100</v>
      </c>
      <c r="J135" s="16">
        <v>19</v>
      </c>
      <c r="K135" s="13">
        <f t="shared" si="11"/>
        <v>199.5</v>
      </c>
      <c r="L135" s="21" t="s">
        <v>98</v>
      </c>
      <c r="N135">
        <f t="shared" si="12"/>
        <v>199.5</v>
      </c>
    </row>
    <row r="136" customHeight="1" spans="1:14">
      <c r="A136" s="16">
        <v>98</v>
      </c>
      <c r="B136" s="10" t="s">
        <v>359</v>
      </c>
      <c r="C136" s="11" t="s">
        <v>413</v>
      </c>
      <c r="D136" s="12" t="s">
        <v>52</v>
      </c>
      <c r="E136" s="13" t="s">
        <v>367</v>
      </c>
      <c r="F136" s="16">
        <v>1500</v>
      </c>
      <c r="G136" s="16">
        <v>2100</v>
      </c>
      <c r="H136" s="16">
        <v>1500</v>
      </c>
      <c r="I136" s="16">
        <v>2100</v>
      </c>
      <c r="J136" s="16">
        <v>5</v>
      </c>
      <c r="K136" s="13">
        <f t="shared" si="11"/>
        <v>15.75</v>
      </c>
      <c r="L136" s="21" t="s">
        <v>98</v>
      </c>
      <c r="M136" s="12" t="s">
        <v>368</v>
      </c>
      <c r="N136">
        <f t="shared" si="12"/>
        <v>15.75</v>
      </c>
    </row>
    <row r="137" customHeight="1" spans="1:14">
      <c r="A137" s="16">
        <v>99</v>
      </c>
      <c r="B137" s="10" t="s">
        <v>359</v>
      </c>
      <c r="C137" s="11" t="s">
        <v>413</v>
      </c>
      <c r="D137" s="12" t="s">
        <v>52</v>
      </c>
      <c r="E137" s="13" t="s">
        <v>363</v>
      </c>
      <c r="F137" s="16">
        <v>1500</v>
      </c>
      <c r="G137" s="16">
        <v>2100</v>
      </c>
      <c r="H137" s="16">
        <v>1500</v>
      </c>
      <c r="I137" s="16">
        <v>2100</v>
      </c>
      <c r="J137" s="16">
        <v>19</v>
      </c>
      <c r="K137" s="13">
        <f t="shared" si="11"/>
        <v>59.85</v>
      </c>
      <c r="L137" s="21" t="s">
        <v>98</v>
      </c>
      <c r="N137">
        <f t="shared" si="12"/>
        <v>59.85</v>
      </c>
    </row>
    <row r="138" customHeight="1" spans="1:14">
      <c r="A138" s="16">
        <v>100</v>
      </c>
      <c r="B138" s="10" t="s">
        <v>359</v>
      </c>
      <c r="C138" s="11" t="s">
        <v>440</v>
      </c>
      <c r="D138" s="12" t="s">
        <v>52</v>
      </c>
      <c r="E138" s="13">
        <v>2</v>
      </c>
      <c r="F138" s="16">
        <v>1500</v>
      </c>
      <c r="G138" s="16">
        <v>1700</v>
      </c>
      <c r="H138" s="16">
        <v>1500</v>
      </c>
      <c r="I138" s="16">
        <v>1700</v>
      </c>
      <c r="J138" s="16">
        <v>1</v>
      </c>
      <c r="K138" s="13">
        <f t="shared" si="11"/>
        <v>2.55</v>
      </c>
      <c r="L138" s="21" t="s">
        <v>98</v>
      </c>
      <c r="M138" s="12" t="s">
        <v>368</v>
      </c>
      <c r="N138">
        <f t="shared" si="12"/>
        <v>2.55</v>
      </c>
    </row>
    <row r="139" customHeight="1" spans="1:14">
      <c r="A139" s="16">
        <v>101</v>
      </c>
      <c r="B139" s="10" t="s">
        <v>145</v>
      </c>
      <c r="C139" s="11" t="s">
        <v>379</v>
      </c>
      <c r="D139" s="12" t="s">
        <v>56</v>
      </c>
      <c r="E139" s="16" t="s">
        <v>365</v>
      </c>
      <c r="F139" s="16">
        <v>1200</v>
      </c>
      <c r="G139" s="16">
        <v>1400</v>
      </c>
      <c r="H139" s="16">
        <v>1200</v>
      </c>
      <c r="I139" s="16">
        <v>1400</v>
      </c>
      <c r="J139" s="16">
        <v>54</v>
      </c>
      <c r="K139" s="13">
        <f t="shared" si="11"/>
        <v>90.72</v>
      </c>
      <c r="L139" s="21" t="s">
        <v>98</v>
      </c>
      <c r="M139" s="12" t="s">
        <v>384</v>
      </c>
      <c r="N139">
        <f t="shared" si="12"/>
        <v>90.72</v>
      </c>
    </row>
    <row r="140" customHeight="1" spans="1:14">
      <c r="A140" s="16">
        <v>102</v>
      </c>
      <c r="B140" s="10" t="s">
        <v>402</v>
      </c>
      <c r="C140" s="11" t="s">
        <v>415</v>
      </c>
      <c r="D140" s="12" t="s">
        <v>51</v>
      </c>
      <c r="E140" s="16" t="s">
        <v>383</v>
      </c>
      <c r="F140" s="16">
        <v>1200</v>
      </c>
      <c r="G140" s="16">
        <v>1400</v>
      </c>
      <c r="H140" s="16">
        <v>1200</v>
      </c>
      <c r="I140" s="16">
        <v>1400</v>
      </c>
      <c r="J140" s="16">
        <v>7</v>
      </c>
      <c r="K140" s="13">
        <f t="shared" si="11"/>
        <v>11.76</v>
      </c>
      <c r="L140" s="21" t="s">
        <v>98</v>
      </c>
      <c r="M140" s="12" t="s">
        <v>404</v>
      </c>
      <c r="N140">
        <f t="shared" si="12"/>
        <v>11.76</v>
      </c>
    </row>
    <row r="141" customHeight="1" spans="1:14">
      <c r="A141" s="16">
        <v>103</v>
      </c>
      <c r="B141" s="10" t="s">
        <v>402</v>
      </c>
      <c r="C141" s="11" t="s">
        <v>382</v>
      </c>
      <c r="D141" s="12" t="s">
        <v>51</v>
      </c>
      <c r="E141" s="16" t="s">
        <v>372</v>
      </c>
      <c r="F141" s="16">
        <v>1800</v>
      </c>
      <c r="G141" s="16">
        <v>1700</v>
      </c>
      <c r="H141" s="16">
        <v>1800</v>
      </c>
      <c r="I141" s="16">
        <v>1700</v>
      </c>
      <c r="J141" s="16">
        <v>30</v>
      </c>
      <c r="K141" s="13">
        <f t="shared" si="11"/>
        <v>91.8</v>
      </c>
      <c r="L141" s="21" t="s">
        <v>98</v>
      </c>
      <c r="M141" s="12" t="s">
        <v>404</v>
      </c>
      <c r="N141">
        <f t="shared" si="12"/>
        <v>91.8</v>
      </c>
    </row>
    <row r="142" customHeight="1" spans="1:14">
      <c r="A142" s="16">
        <v>104</v>
      </c>
      <c r="B142" s="10" t="s">
        <v>402</v>
      </c>
      <c r="C142" s="11" t="s">
        <v>417</v>
      </c>
      <c r="D142" s="12" t="s">
        <v>51</v>
      </c>
      <c r="E142" s="16" t="s">
        <v>365</v>
      </c>
      <c r="F142" s="16">
        <v>1500</v>
      </c>
      <c r="G142" s="16">
        <v>1400</v>
      </c>
      <c r="H142" s="16">
        <v>1500</v>
      </c>
      <c r="I142" s="16">
        <v>1400</v>
      </c>
      <c r="J142" s="16">
        <v>26</v>
      </c>
      <c r="K142" s="13">
        <f t="shared" si="11"/>
        <v>54.6</v>
      </c>
      <c r="L142" s="21" t="s">
        <v>98</v>
      </c>
      <c r="M142" s="12" t="s">
        <v>404</v>
      </c>
      <c r="N142">
        <f t="shared" si="12"/>
        <v>54.6</v>
      </c>
    </row>
    <row r="143" customHeight="1" spans="1:14">
      <c r="A143" s="16">
        <v>105</v>
      </c>
      <c r="B143" s="10" t="s">
        <v>402</v>
      </c>
      <c r="C143" s="11" t="s">
        <v>418</v>
      </c>
      <c r="D143" s="12" t="s">
        <v>51</v>
      </c>
      <c r="E143" s="16" t="s">
        <v>373</v>
      </c>
      <c r="F143" s="16">
        <v>900</v>
      </c>
      <c r="G143" s="16">
        <v>1400</v>
      </c>
      <c r="H143" s="16">
        <v>900</v>
      </c>
      <c r="I143" s="16">
        <v>1400</v>
      </c>
      <c r="J143" s="16">
        <v>12</v>
      </c>
      <c r="K143" s="13">
        <f t="shared" si="11"/>
        <v>15.12</v>
      </c>
      <c r="L143" s="21" t="s">
        <v>98</v>
      </c>
      <c r="M143" s="12" t="s">
        <v>404</v>
      </c>
      <c r="N143">
        <f t="shared" si="12"/>
        <v>15.12</v>
      </c>
    </row>
    <row r="144" customHeight="1" spans="1:14">
      <c r="A144" s="16">
        <v>106</v>
      </c>
      <c r="B144" s="10" t="s">
        <v>402</v>
      </c>
      <c r="C144" s="11" t="s">
        <v>418</v>
      </c>
      <c r="D144" s="12" t="s">
        <v>51</v>
      </c>
      <c r="E144" s="13" t="s">
        <v>363</v>
      </c>
      <c r="F144" s="16">
        <v>900</v>
      </c>
      <c r="G144" s="16">
        <v>1400</v>
      </c>
      <c r="H144" s="16">
        <v>900</v>
      </c>
      <c r="I144" s="16">
        <v>1400</v>
      </c>
      <c r="J144" s="16">
        <f>19*2+2</f>
        <v>40</v>
      </c>
      <c r="K144" s="13">
        <f t="shared" si="11"/>
        <v>50.4</v>
      </c>
      <c r="L144" s="21" t="s">
        <v>98</v>
      </c>
      <c r="N144">
        <f t="shared" si="12"/>
        <v>50.4</v>
      </c>
    </row>
    <row r="145" customHeight="1" spans="1:14">
      <c r="A145" s="16">
        <v>107</v>
      </c>
      <c r="B145" s="10" t="s">
        <v>111</v>
      </c>
      <c r="C145" s="17" t="s">
        <v>406</v>
      </c>
      <c r="D145" s="12" t="s">
        <v>50</v>
      </c>
      <c r="E145" s="16" t="s">
        <v>372</v>
      </c>
      <c r="F145" s="16">
        <v>500</v>
      </c>
      <c r="G145" s="16">
        <v>1000</v>
      </c>
      <c r="H145" s="16">
        <v>500</v>
      </c>
      <c r="I145" s="16">
        <v>1000</v>
      </c>
      <c r="J145" s="16">
        <v>256</v>
      </c>
      <c r="K145" s="13">
        <f t="shared" si="11"/>
        <v>128</v>
      </c>
      <c r="L145" s="21" t="s">
        <v>98</v>
      </c>
      <c r="N145">
        <f t="shared" si="12"/>
        <v>128</v>
      </c>
    </row>
    <row r="146" customHeight="1" spans="1:14">
      <c r="A146" s="16">
        <v>108</v>
      </c>
      <c r="B146" s="10" t="s">
        <v>359</v>
      </c>
      <c r="C146" s="11" t="s">
        <v>441</v>
      </c>
      <c r="D146" s="12" t="s">
        <v>52</v>
      </c>
      <c r="E146" s="16">
        <v>1</v>
      </c>
      <c r="F146" s="16">
        <v>1500</v>
      </c>
      <c r="G146" s="16">
        <v>1400</v>
      </c>
      <c r="H146" s="16">
        <v>1500</v>
      </c>
      <c r="I146" s="16">
        <v>1400</v>
      </c>
      <c r="J146" s="16">
        <v>7</v>
      </c>
      <c r="K146" s="13">
        <f t="shared" si="11"/>
        <v>14.7</v>
      </c>
      <c r="L146" s="21" t="s">
        <v>98</v>
      </c>
      <c r="M146" s="12" t="s">
        <v>368</v>
      </c>
      <c r="N146">
        <f t="shared" si="12"/>
        <v>14.7</v>
      </c>
    </row>
    <row r="147" customHeight="1" spans="1:14">
      <c r="A147" s="16">
        <v>109</v>
      </c>
      <c r="B147" s="10" t="s">
        <v>375</v>
      </c>
      <c r="C147" s="11" t="s">
        <v>442</v>
      </c>
      <c r="D147" s="12" t="s">
        <v>59</v>
      </c>
      <c r="E147" s="16">
        <v>1</v>
      </c>
      <c r="F147" s="16">
        <v>900</v>
      </c>
      <c r="G147" s="16">
        <v>700</v>
      </c>
      <c r="H147" s="16">
        <v>900</v>
      </c>
      <c r="I147" s="16">
        <v>700</v>
      </c>
      <c r="J147" s="16">
        <v>4</v>
      </c>
      <c r="K147" s="13">
        <f t="shared" si="11"/>
        <v>2.52</v>
      </c>
      <c r="L147" s="21" t="s">
        <v>98</v>
      </c>
      <c r="M147" s="12" t="s">
        <v>377</v>
      </c>
      <c r="N147">
        <f t="shared" si="12"/>
        <v>2.52</v>
      </c>
    </row>
    <row r="148" customHeight="1" spans="1:14">
      <c r="A148" s="16">
        <v>110</v>
      </c>
      <c r="B148" s="15" t="s">
        <v>140</v>
      </c>
      <c r="C148" s="11" t="s">
        <v>443</v>
      </c>
      <c r="D148" s="12" t="s">
        <v>60</v>
      </c>
      <c r="E148" s="16">
        <v>1</v>
      </c>
      <c r="F148" s="16">
        <v>1800</v>
      </c>
      <c r="G148" s="16">
        <v>2450</v>
      </c>
      <c r="H148" s="16">
        <v>1800</v>
      </c>
      <c r="I148" s="16">
        <v>2450</v>
      </c>
      <c r="J148" s="16">
        <v>2</v>
      </c>
      <c r="K148" s="13">
        <f t="shared" si="11"/>
        <v>8.82</v>
      </c>
      <c r="L148" s="21" t="s">
        <v>98</v>
      </c>
      <c r="M148" s="12" t="s">
        <v>444</v>
      </c>
      <c r="N148">
        <f t="shared" si="12"/>
        <v>8.82</v>
      </c>
    </row>
    <row r="149" customHeight="1" spans="1:14">
      <c r="A149" s="16">
        <v>111</v>
      </c>
      <c r="B149" s="23" t="s">
        <v>359</v>
      </c>
      <c r="C149" s="11" t="s">
        <v>445</v>
      </c>
      <c r="D149" s="12" t="s">
        <v>52</v>
      </c>
      <c r="E149" s="16">
        <v>1</v>
      </c>
      <c r="F149" s="16">
        <v>2650</v>
      </c>
      <c r="G149" s="16">
        <v>2400</v>
      </c>
      <c r="H149" s="16">
        <v>2650</v>
      </c>
      <c r="I149" s="16">
        <v>2400</v>
      </c>
      <c r="J149" s="16">
        <v>1</v>
      </c>
      <c r="K149" s="13">
        <f t="shared" si="11"/>
        <v>6.36</v>
      </c>
      <c r="L149" s="21" t="s">
        <v>98</v>
      </c>
      <c r="M149" s="12" t="s">
        <v>368</v>
      </c>
      <c r="N149">
        <f t="shared" si="12"/>
        <v>6.36</v>
      </c>
    </row>
    <row r="150" customHeight="1" spans="1:14">
      <c r="A150" s="16">
        <v>112</v>
      </c>
      <c r="B150" s="23" t="s">
        <v>359</v>
      </c>
      <c r="C150" s="11" t="s">
        <v>446</v>
      </c>
      <c r="D150" s="12" t="s">
        <v>52</v>
      </c>
      <c r="E150" s="16">
        <v>1</v>
      </c>
      <c r="F150" s="16">
        <v>2950</v>
      </c>
      <c r="G150" s="16">
        <v>2400</v>
      </c>
      <c r="H150" s="16">
        <v>2950</v>
      </c>
      <c r="I150" s="16">
        <v>2400</v>
      </c>
      <c r="J150" s="16">
        <v>1</v>
      </c>
      <c r="K150" s="13">
        <f t="shared" si="11"/>
        <v>7.08</v>
      </c>
      <c r="L150" s="21" t="s">
        <v>98</v>
      </c>
      <c r="M150" s="12" t="s">
        <v>368</v>
      </c>
      <c r="N150">
        <f t="shared" si="12"/>
        <v>7.08</v>
      </c>
    </row>
    <row r="151" customHeight="1" spans="1:14">
      <c r="A151" s="16">
        <v>113</v>
      </c>
      <c r="B151" s="23" t="s">
        <v>359</v>
      </c>
      <c r="C151" s="11" t="s">
        <v>447</v>
      </c>
      <c r="D151" s="12" t="s">
        <v>52</v>
      </c>
      <c r="E151" s="16">
        <v>1</v>
      </c>
      <c r="F151" s="16">
        <v>3100</v>
      </c>
      <c r="G151" s="16">
        <v>2400</v>
      </c>
      <c r="H151" s="16">
        <v>3100</v>
      </c>
      <c r="I151" s="16">
        <v>2400</v>
      </c>
      <c r="J151" s="16">
        <v>1</v>
      </c>
      <c r="K151" s="13">
        <f t="shared" si="11"/>
        <v>7.44</v>
      </c>
      <c r="L151" s="21" t="s">
        <v>98</v>
      </c>
      <c r="M151" s="12" t="s">
        <v>368</v>
      </c>
      <c r="N151">
        <f t="shared" si="12"/>
        <v>7.44</v>
      </c>
    </row>
    <row r="152" customHeight="1" spans="1:14">
      <c r="A152" s="16">
        <v>114</v>
      </c>
      <c r="B152" s="23" t="s">
        <v>375</v>
      </c>
      <c r="C152" s="11" t="s">
        <v>448</v>
      </c>
      <c r="D152" s="12" t="s">
        <v>59</v>
      </c>
      <c r="E152" s="16">
        <v>1</v>
      </c>
      <c r="F152" s="16">
        <v>900</v>
      </c>
      <c r="G152" s="16">
        <v>700</v>
      </c>
      <c r="H152" s="16">
        <v>900</v>
      </c>
      <c r="I152" s="16">
        <v>700</v>
      </c>
      <c r="J152" s="16">
        <v>1</v>
      </c>
      <c r="K152" s="13">
        <f t="shared" si="11"/>
        <v>0.63</v>
      </c>
      <c r="L152" s="21" t="s">
        <v>98</v>
      </c>
      <c r="M152" s="12" t="s">
        <v>377</v>
      </c>
      <c r="N152">
        <f t="shared" si="12"/>
        <v>0.63</v>
      </c>
    </row>
    <row r="153" customHeight="1" spans="1:14">
      <c r="A153" s="16">
        <v>115</v>
      </c>
      <c r="B153" s="23" t="s">
        <v>375</v>
      </c>
      <c r="C153" s="11" t="s">
        <v>449</v>
      </c>
      <c r="D153" s="12" t="s">
        <v>59</v>
      </c>
      <c r="E153" s="16">
        <v>1</v>
      </c>
      <c r="F153" s="16">
        <v>1500</v>
      </c>
      <c r="G153" s="16">
        <v>800</v>
      </c>
      <c r="H153" s="16">
        <v>1500</v>
      </c>
      <c r="I153" s="16">
        <v>800</v>
      </c>
      <c r="J153" s="16">
        <v>1</v>
      </c>
      <c r="K153" s="13">
        <f t="shared" si="11"/>
        <v>1.2</v>
      </c>
      <c r="L153" s="21" t="s">
        <v>98</v>
      </c>
      <c r="M153" s="12" t="s">
        <v>377</v>
      </c>
      <c r="N153">
        <f t="shared" si="12"/>
        <v>1.2</v>
      </c>
    </row>
    <row r="154" customHeight="1" spans="1:14">
      <c r="A154" s="16">
        <v>116</v>
      </c>
      <c r="B154" s="23" t="s">
        <v>359</v>
      </c>
      <c r="C154" s="11" t="s">
        <v>450</v>
      </c>
      <c r="D154" s="12" t="s">
        <v>52</v>
      </c>
      <c r="E154" s="16">
        <v>2</v>
      </c>
      <c r="F154" s="16">
        <v>3100</v>
      </c>
      <c r="G154" s="16">
        <v>2400</v>
      </c>
      <c r="H154" s="16">
        <v>3100</v>
      </c>
      <c r="I154" s="16">
        <v>2400</v>
      </c>
      <c r="J154" s="16">
        <v>1</v>
      </c>
      <c r="K154" s="13">
        <f t="shared" ref="K154:K161" si="13">J154*G154*F154/1000000</f>
        <v>7.44</v>
      </c>
      <c r="L154" s="21" t="s">
        <v>98</v>
      </c>
      <c r="M154" s="12" t="s">
        <v>368</v>
      </c>
      <c r="N154">
        <f t="shared" si="12"/>
        <v>7.44</v>
      </c>
    </row>
    <row r="155" customHeight="1" spans="1:14">
      <c r="A155" s="16">
        <v>117</v>
      </c>
      <c r="B155" s="23" t="s">
        <v>359</v>
      </c>
      <c r="C155" s="11" t="s">
        <v>451</v>
      </c>
      <c r="D155" s="12" t="s">
        <v>52</v>
      </c>
      <c r="E155" s="16">
        <v>2</v>
      </c>
      <c r="F155" s="16">
        <v>2950</v>
      </c>
      <c r="G155" s="16">
        <v>2400</v>
      </c>
      <c r="H155" s="16">
        <v>2950</v>
      </c>
      <c r="I155" s="16">
        <v>2400</v>
      </c>
      <c r="J155" s="16">
        <v>3</v>
      </c>
      <c r="K155" s="13">
        <f t="shared" si="13"/>
        <v>21.24</v>
      </c>
      <c r="L155" s="21" t="s">
        <v>98</v>
      </c>
      <c r="M155" s="12" t="s">
        <v>368</v>
      </c>
      <c r="N155">
        <f t="shared" si="12"/>
        <v>21.24</v>
      </c>
    </row>
    <row r="156" customHeight="1" spans="1:14">
      <c r="A156" s="16">
        <v>118</v>
      </c>
      <c r="B156" s="11" t="s">
        <v>157</v>
      </c>
      <c r="C156" s="11" t="s">
        <v>389</v>
      </c>
      <c r="D156" s="12" t="s">
        <v>70</v>
      </c>
      <c r="E156" s="16" t="s">
        <v>372</v>
      </c>
      <c r="F156" s="16">
        <v>1600</v>
      </c>
      <c r="G156" s="16">
        <v>2300</v>
      </c>
      <c r="H156" s="16">
        <v>1600</v>
      </c>
      <c r="I156" s="16">
        <v>2300</v>
      </c>
      <c r="J156" s="16">
        <v>154</v>
      </c>
      <c r="K156" s="13">
        <f t="shared" si="13"/>
        <v>566.72</v>
      </c>
      <c r="L156" s="21" t="s">
        <v>98</v>
      </c>
      <c r="M156" s="12" t="s">
        <v>390</v>
      </c>
      <c r="N156">
        <f t="shared" si="12"/>
        <v>566.72</v>
      </c>
    </row>
    <row r="157" customHeight="1" spans="1:14">
      <c r="A157" s="16">
        <v>119</v>
      </c>
      <c r="B157" s="11" t="s">
        <v>157</v>
      </c>
      <c r="C157" s="11" t="s">
        <v>391</v>
      </c>
      <c r="D157" s="12" t="s">
        <v>71</v>
      </c>
      <c r="E157" s="16" t="s">
        <v>372</v>
      </c>
      <c r="F157" s="16">
        <v>2100</v>
      </c>
      <c r="G157" s="16">
        <v>2300</v>
      </c>
      <c r="H157" s="16">
        <v>2100</v>
      </c>
      <c r="I157" s="16">
        <v>2300</v>
      </c>
      <c r="J157" s="16">
        <v>179</v>
      </c>
      <c r="K157" s="13">
        <f t="shared" si="13"/>
        <v>864.57</v>
      </c>
      <c r="L157" s="21" t="s">
        <v>98</v>
      </c>
      <c r="M157" s="12" t="s">
        <v>392</v>
      </c>
      <c r="N157">
        <f t="shared" si="12"/>
        <v>864.57</v>
      </c>
    </row>
    <row r="158" customHeight="1" spans="1:14">
      <c r="A158" s="16">
        <v>120</v>
      </c>
      <c r="B158" s="11" t="s">
        <v>157</v>
      </c>
      <c r="C158" s="11" t="s">
        <v>419</v>
      </c>
      <c r="D158" s="12" t="s">
        <v>70</v>
      </c>
      <c r="E158" s="16" t="s">
        <v>365</v>
      </c>
      <c r="F158" s="16">
        <v>1800</v>
      </c>
      <c r="G158" s="16">
        <v>2300</v>
      </c>
      <c r="H158" s="16">
        <v>1800</v>
      </c>
      <c r="I158" s="16">
        <v>2300</v>
      </c>
      <c r="J158" s="16">
        <v>25</v>
      </c>
      <c r="K158" s="13">
        <f t="shared" si="13"/>
        <v>103.5</v>
      </c>
      <c r="L158" s="21" t="s">
        <v>98</v>
      </c>
      <c r="M158" s="12" t="s">
        <v>390</v>
      </c>
      <c r="N158">
        <f t="shared" si="12"/>
        <v>103.5</v>
      </c>
    </row>
    <row r="159" customHeight="1" spans="1:14">
      <c r="A159" s="16">
        <v>121</v>
      </c>
      <c r="B159" s="11" t="s">
        <v>150</v>
      </c>
      <c r="C159" s="11" t="s">
        <v>426</v>
      </c>
      <c r="D159" s="12" t="s">
        <v>65</v>
      </c>
      <c r="E159" s="16" t="s">
        <v>372</v>
      </c>
      <c r="F159" s="16">
        <v>1200</v>
      </c>
      <c r="G159" s="16">
        <v>2300</v>
      </c>
      <c r="H159" s="16">
        <v>1200</v>
      </c>
      <c r="I159" s="16">
        <v>2300</v>
      </c>
      <c r="J159" s="16">
        <v>127</v>
      </c>
      <c r="K159" s="13">
        <f t="shared" si="13"/>
        <v>350.52</v>
      </c>
      <c r="L159" s="21" t="s">
        <v>98</v>
      </c>
      <c r="M159" s="12" t="s">
        <v>425</v>
      </c>
      <c r="N159">
        <f t="shared" si="12"/>
        <v>350.52</v>
      </c>
    </row>
    <row r="160" customHeight="1" spans="1:14">
      <c r="A160" s="16">
        <v>122</v>
      </c>
      <c r="B160" s="11" t="s">
        <v>165</v>
      </c>
      <c r="C160" s="22" t="s">
        <v>452</v>
      </c>
      <c r="D160" s="15" t="s">
        <v>73</v>
      </c>
      <c r="E160" s="16">
        <v>1</v>
      </c>
      <c r="F160" s="16">
        <v>1800</v>
      </c>
      <c r="G160" s="16">
        <v>2750</v>
      </c>
      <c r="H160" s="16">
        <v>1800</v>
      </c>
      <c r="I160" s="16">
        <v>2750</v>
      </c>
      <c r="J160" s="16">
        <v>1</v>
      </c>
      <c r="K160" s="13">
        <f t="shared" si="13"/>
        <v>4.95</v>
      </c>
      <c r="L160" s="21" t="s">
        <v>98</v>
      </c>
      <c r="M160" s="15" t="s">
        <v>453</v>
      </c>
      <c r="N160">
        <f t="shared" si="12"/>
        <v>4.95</v>
      </c>
    </row>
    <row r="161" customHeight="1" spans="1:14">
      <c r="A161" s="16">
        <v>123</v>
      </c>
      <c r="B161" s="11" t="s">
        <v>165</v>
      </c>
      <c r="C161" s="11" t="s">
        <v>397</v>
      </c>
      <c r="D161" s="15" t="s">
        <v>73</v>
      </c>
      <c r="E161" s="9">
        <v>1</v>
      </c>
      <c r="F161" s="9">
        <v>3600</v>
      </c>
      <c r="G161" s="9">
        <v>2750</v>
      </c>
      <c r="H161" s="9">
        <v>3600</v>
      </c>
      <c r="I161" s="9">
        <v>2750</v>
      </c>
      <c r="J161" s="9">
        <v>1</v>
      </c>
      <c r="K161" s="13">
        <f t="shared" si="13"/>
        <v>9.9</v>
      </c>
      <c r="L161" s="21" t="s">
        <v>98</v>
      </c>
      <c r="M161" s="24" t="s">
        <v>453</v>
      </c>
      <c r="N161">
        <f t="shared" si="12"/>
        <v>9.9</v>
      </c>
    </row>
    <row r="162" customHeight="1" spans="1:14">
      <c r="A162" s="16">
        <v>124</v>
      </c>
      <c r="B162" s="11" t="s">
        <v>165</v>
      </c>
      <c r="C162" s="11" t="s">
        <v>398</v>
      </c>
      <c r="D162" s="15" t="s">
        <v>73</v>
      </c>
      <c r="E162" s="16">
        <v>1</v>
      </c>
      <c r="F162" s="16">
        <v>2000</v>
      </c>
      <c r="G162" s="16">
        <v>3000</v>
      </c>
      <c r="H162" s="16">
        <v>2000</v>
      </c>
      <c r="I162" s="16">
        <v>3000</v>
      </c>
      <c r="J162" s="16">
        <v>2</v>
      </c>
      <c r="K162" s="13">
        <f t="shared" ref="K162:K169" si="14">J162*G162*F162/1000000</f>
        <v>12</v>
      </c>
      <c r="L162" s="21" t="s">
        <v>98</v>
      </c>
      <c r="M162" s="24" t="s">
        <v>453</v>
      </c>
      <c r="N162">
        <f t="shared" si="12"/>
        <v>12</v>
      </c>
    </row>
    <row r="163" customHeight="1" spans="1:14">
      <c r="A163" s="16">
        <v>125</v>
      </c>
      <c r="B163" s="11" t="s">
        <v>165</v>
      </c>
      <c r="C163" s="11" t="s">
        <v>399</v>
      </c>
      <c r="D163" s="15" t="s">
        <v>73</v>
      </c>
      <c r="E163" s="16">
        <v>1</v>
      </c>
      <c r="F163" s="16">
        <v>2950</v>
      </c>
      <c r="G163" s="16">
        <v>3000</v>
      </c>
      <c r="H163" s="16">
        <v>2950</v>
      </c>
      <c r="I163" s="16">
        <v>3000</v>
      </c>
      <c r="J163" s="16">
        <v>2</v>
      </c>
      <c r="K163" s="13">
        <f t="shared" si="14"/>
        <v>17.7</v>
      </c>
      <c r="L163" s="21" t="s">
        <v>98</v>
      </c>
      <c r="M163" s="24" t="s">
        <v>453</v>
      </c>
      <c r="N163">
        <f t="shared" si="12"/>
        <v>17.7</v>
      </c>
    </row>
    <row r="164" customHeight="1" spans="1:14">
      <c r="A164" s="16">
        <v>126</v>
      </c>
      <c r="B164" s="11" t="s">
        <v>165</v>
      </c>
      <c r="C164" s="11" t="s">
        <v>400</v>
      </c>
      <c r="D164" s="15" t="s">
        <v>73</v>
      </c>
      <c r="E164" s="16">
        <v>1</v>
      </c>
      <c r="F164" s="16">
        <v>3100</v>
      </c>
      <c r="G164" s="16">
        <v>3000</v>
      </c>
      <c r="H164" s="16">
        <v>3100</v>
      </c>
      <c r="I164" s="16">
        <v>3000</v>
      </c>
      <c r="J164" s="16">
        <v>1</v>
      </c>
      <c r="K164" s="13">
        <f t="shared" si="14"/>
        <v>9.3</v>
      </c>
      <c r="L164" s="21" t="s">
        <v>98</v>
      </c>
      <c r="M164" s="24" t="s">
        <v>453</v>
      </c>
      <c r="N164">
        <f t="shared" si="12"/>
        <v>9.3</v>
      </c>
    </row>
    <row r="165" customHeight="1" spans="1:14">
      <c r="A165" s="16">
        <v>127</v>
      </c>
      <c r="B165" s="11" t="s">
        <v>165</v>
      </c>
      <c r="C165" s="22" t="s">
        <v>454</v>
      </c>
      <c r="D165" s="15" t="s">
        <v>73</v>
      </c>
      <c r="E165" s="16">
        <v>1</v>
      </c>
      <c r="F165" s="16">
        <v>1500</v>
      </c>
      <c r="G165" s="16">
        <v>2750</v>
      </c>
      <c r="H165" s="16">
        <v>1500</v>
      </c>
      <c r="I165" s="16">
        <v>2750</v>
      </c>
      <c r="J165" s="16">
        <v>1</v>
      </c>
      <c r="K165" s="13">
        <f t="shared" si="14"/>
        <v>4.125</v>
      </c>
      <c r="L165" s="21" t="s">
        <v>98</v>
      </c>
      <c r="M165" s="15" t="s">
        <v>453</v>
      </c>
      <c r="N165">
        <f t="shared" si="12"/>
        <v>4.125</v>
      </c>
    </row>
    <row r="166" customHeight="1" spans="1:14">
      <c r="A166" s="16">
        <v>128</v>
      </c>
      <c r="B166" s="11" t="s">
        <v>165</v>
      </c>
      <c r="C166" s="22" t="s">
        <v>455</v>
      </c>
      <c r="D166" s="15" t="s">
        <v>73</v>
      </c>
      <c r="E166" s="16">
        <v>1</v>
      </c>
      <c r="F166" s="16">
        <v>1800</v>
      </c>
      <c r="G166" s="16">
        <v>3000</v>
      </c>
      <c r="H166" s="16">
        <v>1800</v>
      </c>
      <c r="I166" s="16">
        <v>3000</v>
      </c>
      <c r="J166" s="16">
        <v>2</v>
      </c>
      <c r="K166" s="13">
        <f t="shared" si="14"/>
        <v>10.8</v>
      </c>
      <c r="L166" s="21" t="s">
        <v>98</v>
      </c>
      <c r="M166" s="15" t="s">
        <v>453</v>
      </c>
      <c r="N166">
        <f t="shared" si="12"/>
        <v>10.8</v>
      </c>
    </row>
    <row r="167" customHeight="1" spans="1:14">
      <c r="A167" s="16">
        <v>129</v>
      </c>
      <c r="B167" s="12" t="s">
        <v>255</v>
      </c>
      <c r="C167" s="11" t="s">
        <v>177</v>
      </c>
      <c r="D167" s="12" t="s">
        <v>456</v>
      </c>
      <c r="E167" s="9">
        <v>1</v>
      </c>
      <c r="F167" s="9">
        <v>12100</v>
      </c>
      <c r="G167" s="9">
        <v>4000</v>
      </c>
      <c r="H167" s="9">
        <v>12100</v>
      </c>
      <c r="I167" s="9">
        <v>4000</v>
      </c>
      <c r="J167" s="16">
        <v>1</v>
      </c>
      <c r="K167" s="13">
        <f t="shared" si="14"/>
        <v>48.4</v>
      </c>
      <c r="L167" s="21" t="s">
        <v>98</v>
      </c>
      <c r="N167">
        <f t="shared" si="12"/>
        <v>48.4</v>
      </c>
    </row>
    <row r="168" customHeight="1" spans="1:14">
      <c r="A168" s="16">
        <v>130</v>
      </c>
      <c r="B168" s="12" t="s">
        <v>255</v>
      </c>
      <c r="C168" s="11" t="s">
        <v>177</v>
      </c>
      <c r="D168" s="12" t="s">
        <v>456</v>
      </c>
      <c r="E168" s="9">
        <v>1</v>
      </c>
      <c r="F168" s="9">
        <v>14700</v>
      </c>
      <c r="G168" s="9">
        <v>4000</v>
      </c>
      <c r="H168" s="9">
        <v>14700</v>
      </c>
      <c r="I168" s="9">
        <v>4000</v>
      </c>
      <c r="J168" s="16">
        <v>1</v>
      </c>
      <c r="K168" s="13">
        <f t="shared" si="14"/>
        <v>58.8</v>
      </c>
      <c r="L168" s="21" t="s">
        <v>98</v>
      </c>
      <c r="N168">
        <f t="shared" si="12"/>
        <v>58.8</v>
      </c>
    </row>
    <row r="169" customHeight="1" spans="1:14">
      <c r="A169" s="16">
        <v>131</v>
      </c>
      <c r="B169" s="12" t="s">
        <v>255</v>
      </c>
      <c r="C169" s="11" t="s">
        <v>177</v>
      </c>
      <c r="D169" s="12" t="s">
        <v>456</v>
      </c>
      <c r="E169" s="9">
        <v>1</v>
      </c>
      <c r="F169" s="9">
        <v>22200</v>
      </c>
      <c r="G169" s="9">
        <v>4000</v>
      </c>
      <c r="H169" s="9">
        <v>22200</v>
      </c>
      <c r="I169" s="9">
        <v>4000</v>
      </c>
      <c r="J169" s="16">
        <v>1</v>
      </c>
      <c r="K169" s="13">
        <f t="shared" si="14"/>
        <v>88.8</v>
      </c>
      <c r="L169" s="21" t="s">
        <v>98</v>
      </c>
      <c r="N169">
        <f t="shared" si="12"/>
        <v>88.8</v>
      </c>
    </row>
    <row r="170" customHeight="1" spans="1:14">
      <c r="A170" s="7" t="s">
        <v>99</v>
      </c>
      <c r="B170" s="8"/>
      <c r="C170" s="8"/>
      <c r="D170" s="8"/>
      <c r="E170" s="8"/>
      <c r="F170" s="8"/>
      <c r="G170" s="8"/>
      <c r="H170" s="8"/>
      <c r="I170" s="8"/>
      <c r="J170" s="8"/>
      <c r="K170" s="8"/>
      <c r="L170" s="8"/>
      <c r="N170">
        <f t="shared" si="12"/>
        <v>0</v>
      </c>
    </row>
    <row r="171" customHeight="1" spans="1:14">
      <c r="A171" s="16">
        <v>132</v>
      </c>
      <c r="B171" s="10" t="s">
        <v>375</v>
      </c>
      <c r="C171" s="11" t="s">
        <v>360</v>
      </c>
      <c r="D171" s="12" t="s">
        <v>59</v>
      </c>
      <c r="E171" s="13" t="s">
        <v>361</v>
      </c>
      <c r="F171" s="9">
        <v>500</v>
      </c>
      <c r="G171" s="16">
        <v>1450</v>
      </c>
      <c r="H171" s="9">
        <v>500</v>
      </c>
      <c r="I171" s="16">
        <v>1450</v>
      </c>
      <c r="J171" s="16">
        <f>7*3</f>
        <v>21</v>
      </c>
      <c r="K171" s="13">
        <f>J171*G171*F171/1000000</f>
        <v>15.225</v>
      </c>
      <c r="L171" s="21" t="s">
        <v>99</v>
      </c>
      <c r="M171" s="12" t="s">
        <v>377</v>
      </c>
      <c r="N171">
        <f t="shared" si="12"/>
        <v>15.225</v>
      </c>
    </row>
    <row r="172" customHeight="1" spans="1:14">
      <c r="A172" s="16">
        <v>133</v>
      </c>
      <c r="B172" s="10" t="s">
        <v>375</v>
      </c>
      <c r="C172" s="11" t="s">
        <v>360</v>
      </c>
      <c r="D172" s="12" t="s">
        <v>59</v>
      </c>
      <c r="E172" s="13" t="s">
        <v>457</v>
      </c>
      <c r="F172" s="9">
        <v>500</v>
      </c>
      <c r="G172" s="16">
        <v>1450</v>
      </c>
      <c r="H172" s="9">
        <v>500</v>
      </c>
      <c r="I172" s="16">
        <v>1450</v>
      </c>
      <c r="J172" s="16">
        <f>4*3</f>
        <v>12</v>
      </c>
      <c r="K172" s="13">
        <f t="shared" ref="K172:K197" si="15">J172*G172*F172/1000000</f>
        <v>8.7</v>
      </c>
      <c r="L172" s="21" t="s">
        <v>99</v>
      </c>
      <c r="N172">
        <f t="shared" si="12"/>
        <v>8.7</v>
      </c>
    </row>
    <row r="173" customHeight="1" spans="1:14">
      <c r="A173" s="16">
        <v>134</v>
      </c>
      <c r="B173" s="10" t="s">
        <v>375</v>
      </c>
      <c r="C173" s="11" t="s">
        <v>366</v>
      </c>
      <c r="D173" s="12" t="s">
        <v>59</v>
      </c>
      <c r="E173" s="13" t="s">
        <v>361</v>
      </c>
      <c r="F173" s="16">
        <v>600</v>
      </c>
      <c r="G173" s="16">
        <v>1450</v>
      </c>
      <c r="H173" s="16">
        <v>600</v>
      </c>
      <c r="I173" s="16">
        <v>1450</v>
      </c>
      <c r="J173" s="16">
        <v>14</v>
      </c>
      <c r="K173" s="13">
        <f t="shared" si="15"/>
        <v>12.18</v>
      </c>
      <c r="L173" s="21" t="s">
        <v>99</v>
      </c>
      <c r="M173" s="12" t="s">
        <v>377</v>
      </c>
      <c r="N173">
        <f t="shared" si="12"/>
        <v>12.18</v>
      </c>
    </row>
    <row r="174" customHeight="1" spans="1:14">
      <c r="A174" s="16">
        <v>135</v>
      </c>
      <c r="B174" s="10" t="s">
        <v>375</v>
      </c>
      <c r="C174" s="11" t="s">
        <v>366</v>
      </c>
      <c r="D174" s="12" t="s">
        <v>59</v>
      </c>
      <c r="E174" s="13" t="s">
        <v>457</v>
      </c>
      <c r="F174" s="16">
        <v>600</v>
      </c>
      <c r="G174" s="16">
        <v>1450</v>
      </c>
      <c r="H174" s="16">
        <v>600</v>
      </c>
      <c r="I174" s="16">
        <v>1450</v>
      </c>
      <c r="J174" s="16">
        <v>8</v>
      </c>
      <c r="K174" s="13">
        <f t="shared" si="15"/>
        <v>6.96</v>
      </c>
      <c r="L174" s="21" t="s">
        <v>99</v>
      </c>
      <c r="N174">
        <f t="shared" si="12"/>
        <v>6.96</v>
      </c>
    </row>
    <row r="175" customHeight="1" spans="1:14">
      <c r="A175" s="16">
        <v>136</v>
      </c>
      <c r="B175" s="10" t="s">
        <v>375</v>
      </c>
      <c r="C175" s="11" t="s">
        <v>371</v>
      </c>
      <c r="D175" s="12" t="s">
        <v>59</v>
      </c>
      <c r="E175" s="13" t="s">
        <v>361</v>
      </c>
      <c r="F175" s="16">
        <v>900</v>
      </c>
      <c r="G175" s="16">
        <v>1450</v>
      </c>
      <c r="H175" s="16">
        <v>900</v>
      </c>
      <c r="I175" s="16">
        <v>1450</v>
      </c>
      <c r="J175" s="16">
        <f>7*3</f>
        <v>21</v>
      </c>
      <c r="K175" s="13">
        <f t="shared" si="15"/>
        <v>27.405</v>
      </c>
      <c r="L175" s="21" t="s">
        <v>99</v>
      </c>
      <c r="M175" s="12" t="s">
        <v>377</v>
      </c>
      <c r="N175">
        <f t="shared" si="12"/>
        <v>27.405</v>
      </c>
    </row>
    <row r="176" customHeight="1" spans="1:14">
      <c r="A176" s="16">
        <v>137</v>
      </c>
      <c r="B176" s="10" t="s">
        <v>375</v>
      </c>
      <c r="C176" s="11" t="s">
        <v>371</v>
      </c>
      <c r="D176" s="12" t="s">
        <v>59</v>
      </c>
      <c r="E176" s="13" t="s">
        <v>457</v>
      </c>
      <c r="F176" s="16">
        <v>900</v>
      </c>
      <c r="G176" s="16">
        <v>1450</v>
      </c>
      <c r="H176" s="16">
        <v>900</v>
      </c>
      <c r="I176" s="16">
        <v>1450</v>
      </c>
      <c r="J176" s="16">
        <f>4*3</f>
        <v>12</v>
      </c>
      <c r="K176" s="13">
        <f t="shared" si="15"/>
        <v>15.66</v>
      </c>
      <c r="L176" s="21" t="s">
        <v>99</v>
      </c>
      <c r="N176">
        <f t="shared" si="12"/>
        <v>15.66</v>
      </c>
    </row>
    <row r="177" customHeight="1" spans="1:14">
      <c r="A177" s="16">
        <v>138</v>
      </c>
      <c r="B177" s="10" t="s">
        <v>359</v>
      </c>
      <c r="C177" s="11" t="s">
        <v>371</v>
      </c>
      <c r="D177" s="12" t="s">
        <v>52</v>
      </c>
      <c r="E177" s="13" t="s">
        <v>361</v>
      </c>
      <c r="F177" s="16">
        <v>900</v>
      </c>
      <c r="G177" s="16">
        <v>1450</v>
      </c>
      <c r="H177" s="16">
        <v>900</v>
      </c>
      <c r="I177" s="16">
        <v>1450</v>
      </c>
      <c r="J177" s="16">
        <f>7*4</f>
        <v>28</v>
      </c>
      <c r="K177" s="13">
        <f t="shared" si="15"/>
        <v>36.54</v>
      </c>
      <c r="L177" s="21" t="s">
        <v>99</v>
      </c>
      <c r="M177" s="12" t="s">
        <v>368</v>
      </c>
      <c r="N177">
        <f t="shared" si="12"/>
        <v>36.54</v>
      </c>
    </row>
    <row r="178" customHeight="1" spans="1:14">
      <c r="A178" s="16">
        <v>139</v>
      </c>
      <c r="B178" s="10" t="s">
        <v>359</v>
      </c>
      <c r="C178" s="11" t="s">
        <v>371</v>
      </c>
      <c r="D178" s="12" t="s">
        <v>52</v>
      </c>
      <c r="E178" s="13" t="s">
        <v>457</v>
      </c>
      <c r="F178" s="16">
        <v>900</v>
      </c>
      <c r="G178" s="16">
        <v>1450</v>
      </c>
      <c r="H178" s="16">
        <v>900</v>
      </c>
      <c r="I178" s="16">
        <v>1450</v>
      </c>
      <c r="J178" s="16">
        <f>4*4</f>
        <v>16</v>
      </c>
      <c r="K178" s="13">
        <f t="shared" si="15"/>
        <v>20.88</v>
      </c>
      <c r="L178" s="21" t="s">
        <v>99</v>
      </c>
      <c r="N178">
        <f t="shared" si="12"/>
        <v>20.88</v>
      </c>
    </row>
    <row r="179" customHeight="1" spans="1:14">
      <c r="A179" s="16">
        <v>140</v>
      </c>
      <c r="B179" s="10" t="s">
        <v>359</v>
      </c>
      <c r="C179" s="11" t="s">
        <v>376</v>
      </c>
      <c r="D179" s="12" t="s">
        <v>52</v>
      </c>
      <c r="E179" s="13" t="s">
        <v>361</v>
      </c>
      <c r="F179" s="16">
        <v>1500</v>
      </c>
      <c r="G179" s="16">
        <v>1450</v>
      </c>
      <c r="H179" s="16">
        <v>1500</v>
      </c>
      <c r="I179" s="16">
        <v>1450</v>
      </c>
      <c r="J179" s="16">
        <f>7*3</f>
        <v>21</v>
      </c>
      <c r="K179" s="13">
        <f t="shared" si="15"/>
        <v>45.675</v>
      </c>
      <c r="L179" s="21" t="s">
        <v>99</v>
      </c>
      <c r="M179" s="12" t="s">
        <v>368</v>
      </c>
      <c r="N179">
        <f t="shared" si="12"/>
        <v>45.675</v>
      </c>
    </row>
    <row r="180" customHeight="1" spans="1:14">
      <c r="A180" s="16">
        <v>141</v>
      </c>
      <c r="B180" s="10" t="s">
        <v>359</v>
      </c>
      <c r="C180" s="11" t="s">
        <v>376</v>
      </c>
      <c r="D180" s="12" t="s">
        <v>52</v>
      </c>
      <c r="E180" s="13" t="s">
        <v>457</v>
      </c>
      <c r="F180" s="16">
        <v>1500</v>
      </c>
      <c r="G180" s="16">
        <v>1450</v>
      </c>
      <c r="H180" s="16">
        <v>1500</v>
      </c>
      <c r="I180" s="16">
        <v>1450</v>
      </c>
      <c r="J180" s="16">
        <f>4*3</f>
        <v>12</v>
      </c>
      <c r="K180" s="13">
        <f t="shared" si="15"/>
        <v>26.1</v>
      </c>
      <c r="L180" s="21" t="s">
        <v>99</v>
      </c>
      <c r="N180">
        <f t="shared" si="12"/>
        <v>26.1</v>
      </c>
    </row>
    <row r="181" customHeight="1" spans="1:14">
      <c r="A181" s="16">
        <v>142</v>
      </c>
      <c r="B181" s="10" t="s">
        <v>359</v>
      </c>
      <c r="C181" s="11" t="s">
        <v>378</v>
      </c>
      <c r="D181" s="12" t="s">
        <v>52</v>
      </c>
      <c r="E181" s="13" t="s">
        <v>361</v>
      </c>
      <c r="F181" s="16">
        <v>1600</v>
      </c>
      <c r="G181" s="16">
        <v>2150</v>
      </c>
      <c r="H181" s="16">
        <v>1600</v>
      </c>
      <c r="I181" s="16">
        <v>2150</v>
      </c>
      <c r="J181" s="16">
        <f>7*3</f>
        <v>21</v>
      </c>
      <c r="K181" s="13">
        <f t="shared" si="15"/>
        <v>72.24</v>
      </c>
      <c r="L181" s="21" t="s">
        <v>99</v>
      </c>
      <c r="M181" s="12" t="s">
        <v>368</v>
      </c>
      <c r="N181">
        <f t="shared" si="12"/>
        <v>72.24</v>
      </c>
    </row>
    <row r="182" customHeight="1" spans="1:14">
      <c r="A182" s="16">
        <v>143</v>
      </c>
      <c r="B182" s="10" t="s">
        <v>359</v>
      </c>
      <c r="C182" s="11" t="s">
        <v>378</v>
      </c>
      <c r="D182" s="12" t="s">
        <v>52</v>
      </c>
      <c r="E182" s="13" t="s">
        <v>457</v>
      </c>
      <c r="F182" s="16">
        <v>1600</v>
      </c>
      <c r="G182" s="16">
        <v>2150</v>
      </c>
      <c r="H182" s="16">
        <v>1600</v>
      </c>
      <c r="I182" s="16">
        <v>2150</v>
      </c>
      <c r="J182" s="16">
        <f>4*3</f>
        <v>12</v>
      </c>
      <c r="K182" s="13">
        <f t="shared" si="15"/>
        <v>41.28</v>
      </c>
      <c r="L182" s="21" t="s">
        <v>99</v>
      </c>
      <c r="N182">
        <f t="shared" si="12"/>
        <v>41.28</v>
      </c>
    </row>
    <row r="183" customHeight="1" spans="1:14">
      <c r="A183" s="16">
        <v>144</v>
      </c>
      <c r="B183" s="10" t="s">
        <v>359</v>
      </c>
      <c r="C183" s="11" t="s">
        <v>379</v>
      </c>
      <c r="D183" s="12" t="s">
        <v>53</v>
      </c>
      <c r="E183" s="13" t="s">
        <v>361</v>
      </c>
      <c r="F183" s="16">
        <v>2100</v>
      </c>
      <c r="G183" s="16">
        <v>2150</v>
      </c>
      <c r="H183" s="16">
        <v>2100</v>
      </c>
      <c r="I183" s="16">
        <v>2150</v>
      </c>
      <c r="J183" s="16">
        <f>7*4</f>
        <v>28</v>
      </c>
      <c r="K183" s="13">
        <f t="shared" si="15"/>
        <v>126.42</v>
      </c>
      <c r="L183" s="21" t="s">
        <v>99</v>
      </c>
      <c r="M183" s="12" t="s">
        <v>362</v>
      </c>
      <c r="N183">
        <f t="shared" si="12"/>
        <v>126.42</v>
      </c>
    </row>
    <row r="184" customHeight="1" spans="1:14">
      <c r="A184" s="16">
        <v>145</v>
      </c>
      <c r="B184" s="10" t="s">
        <v>359</v>
      </c>
      <c r="C184" s="11" t="s">
        <v>379</v>
      </c>
      <c r="D184" s="12" t="s">
        <v>53</v>
      </c>
      <c r="E184" s="13" t="s">
        <v>457</v>
      </c>
      <c r="F184" s="16">
        <v>2100</v>
      </c>
      <c r="G184" s="16">
        <v>2150</v>
      </c>
      <c r="H184" s="16">
        <v>2100</v>
      </c>
      <c r="I184" s="16">
        <v>2150</v>
      </c>
      <c r="J184" s="16">
        <f>4*4</f>
        <v>16</v>
      </c>
      <c r="K184" s="13">
        <f t="shared" si="15"/>
        <v>72.24</v>
      </c>
      <c r="L184" s="21" t="s">
        <v>99</v>
      </c>
      <c r="N184">
        <f t="shared" si="12"/>
        <v>72.24</v>
      </c>
    </row>
    <row r="185" customHeight="1" spans="1:14">
      <c r="A185" s="16">
        <v>146</v>
      </c>
      <c r="B185" s="10" t="s">
        <v>145</v>
      </c>
      <c r="C185" s="11" t="s">
        <v>374</v>
      </c>
      <c r="D185" s="12" t="s">
        <v>56</v>
      </c>
      <c r="E185" s="16" t="s">
        <v>458</v>
      </c>
      <c r="F185" s="16">
        <v>1100</v>
      </c>
      <c r="G185" s="16">
        <v>1500</v>
      </c>
      <c r="H185" s="16">
        <v>1100</v>
      </c>
      <c r="I185" s="16">
        <v>1500</v>
      </c>
      <c r="J185" s="16">
        <v>22</v>
      </c>
      <c r="K185" s="13">
        <f t="shared" si="15"/>
        <v>36.3</v>
      </c>
      <c r="L185" s="21" t="s">
        <v>99</v>
      </c>
      <c r="M185" s="12" t="s">
        <v>384</v>
      </c>
      <c r="N185">
        <f t="shared" si="12"/>
        <v>36.3</v>
      </c>
    </row>
    <row r="186" customHeight="1" spans="1:14">
      <c r="A186" s="16">
        <v>147</v>
      </c>
      <c r="B186" s="10" t="s">
        <v>402</v>
      </c>
      <c r="C186" s="11" t="s">
        <v>423</v>
      </c>
      <c r="D186" s="12" t="s">
        <v>459</v>
      </c>
      <c r="E186" s="16">
        <v>2</v>
      </c>
      <c r="F186" s="16">
        <v>900</v>
      </c>
      <c r="G186" s="16">
        <v>1400</v>
      </c>
      <c r="H186" s="16">
        <v>900</v>
      </c>
      <c r="I186" s="16">
        <v>1400</v>
      </c>
      <c r="J186" s="16">
        <v>2</v>
      </c>
      <c r="K186" s="13">
        <f t="shared" si="15"/>
        <v>2.52</v>
      </c>
      <c r="L186" s="21" t="s">
        <v>99</v>
      </c>
      <c r="M186" s="12" t="s">
        <v>460</v>
      </c>
      <c r="N186">
        <f t="shared" si="12"/>
        <v>2.52</v>
      </c>
    </row>
    <row r="187" customHeight="1" spans="1:14">
      <c r="A187" s="16">
        <v>148</v>
      </c>
      <c r="B187" s="10" t="s">
        <v>111</v>
      </c>
      <c r="C187" s="17" t="s">
        <v>406</v>
      </c>
      <c r="D187" s="12" t="s">
        <v>50</v>
      </c>
      <c r="E187" s="16" t="s">
        <v>424</v>
      </c>
      <c r="F187" s="16">
        <v>500</v>
      </c>
      <c r="G187" s="16">
        <v>1000</v>
      </c>
      <c r="H187" s="16">
        <v>500</v>
      </c>
      <c r="I187" s="16">
        <v>1000</v>
      </c>
      <c r="J187" s="16">
        <v>33</v>
      </c>
      <c r="K187" s="13">
        <f t="shared" si="15"/>
        <v>16.5</v>
      </c>
      <c r="L187" s="21" t="s">
        <v>99</v>
      </c>
      <c r="N187">
        <f t="shared" si="12"/>
        <v>16.5</v>
      </c>
    </row>
    <row r="188" customHeight="1" spans="1:14">
      <c r="A188" s="16">
        <v>149</v>
      </c>
      <c r="B188" s="11" t="s">
        <v>150</v>
      </c>
      <c r="C188" s="11" t="s">
        <v>389</v>
      </c>
      <c r="D188" s="12" t="s">
        <v>65</v>
      </c>
      <c r="E188" s="16" t="s">
        <v>461</v>
      </c>
      <c r="F188" s="16">
        <v>1200</v>
      </c>
      <c r="G188" s="16">
        <v>2350</v>
      </c>
      <c r="H188" s="16">
        <v>1200</v>
      </c>
      <c r="I188" s="16">
        <v>2350</v>
      </c>
      <c r="J188" s="16">
        <v>33</v>
      </c>
      <c r="K188" s="13">
        <f t="shared" si="15"/>
        <v>93.06</v>
      </c>
      <c r="L188" s="21" t="s">
        <v>99</v>
      </c>
      <c r="M188" s="12" t="s">
        <v>425</v>
      </c>
      <c r="N188">
        <f t="shared" si="12"/>
        <v>93.06</v>
      </c>
    </row>
    <row r="189" customHeight="1" spans="1:14">
      <c r="A189" s="16">
        <v>150</v>
      </c>
      <c r="B189" s="11" t="s">
        <v>157</v>
      </c>
      <c r="C189" s="11" t="s">
        <v>426</v>
      </c>
      <c r="D189" s="12" t="s">
        <v>71</v>
      </c>
      <c r="E189" s="16" t="s">
        <v>461</v>
      </c>
      <c r="F189" s="16">
        <v>3600</v>
      </c>
      <c r="G189" s="16">
        <v>2350</v>
      </c>
      <c r="H189" s="16">
        <v>3600</v>
      </c>
      <c r="I189" s="16">
        <v>2350</v>
      </c>
      <c r="J189" s="16">
        <v>11</v>
      </c>
      <c r="K189" s="13">
        <f t="shared" si="15"/>
        <v>93.06</v>
      </c>
      <c r="L189" s="21" t="s">
        <v>99</v>
      </c>
      <c r="M189" s="12" t="s">
        <v>392</v>
      </c>
      <c r="N189">
        <f t="shared" si="12"/>
        <v>93.06</v>
      </c>
    </row>
    <row r="190" customHeight="1" spans="1:14">
      <c r="A190" s="16">
        <v>151</v>
      </c>
      <c r="B190" s="11" t="s">
        <v>157</v>
      </c>
      <c r="C190" s="11" t="s">
        <v>427</v>
      </c>
      <c r="D190" s="12" t="s">
        <v>70</v>
      </c>
      <c r="E190" s="16" t="s">
        <v>461</v>
      </c>
      <c r="F190" s="16">
        <v>1500</v>
      </c>
      <c r="G190" s="16">
        <v>2350</v>
      </c>
      <c r="H190" s="16">
        <v>1500</v>
      </c>
      <c r="I190" s="16">
        <v>2350</v>
      </c>
      <c r="J190" s="16">
        <v>11</v>
      </c>
      <c r="K190" s="13">
        <f t="shared" ref="K190:K197" si="16">J190*G190*F190/1000000</f>
        <v>38.775</v>
      </c>
      <c r="L190" s="21" t="s">
        <v>99</v>
      </c>
      <c r="M190" s="12" t="s">
        <v>390</v>
      </c>
      <c r="N190">
        <f t="shared" si="12"/>
        <v>38.775</v>
      </c>
    </row>
    <row r="191" customHeight="1" spans="1:14">
      <c r="A191" s="16">
        <v>152</v>
      </c>
      <c r="B191" s="11" t="s">
        <v>157</v>
      </c>
      <c r="C191" s="11" t="s">
        <v>428</v>
      </c>
      <c r="D191" s="12" t="s">
        <v>70</v>
      </c>
      <c r="E191" s="16" t="s">
        <v>424</v>
      </c>
      <c r="F191" s="16">
        <v>1600</v>
      </c>
      <c r="G191" s="16">
        <v>2350</v>
      </c>
      <c r="H191" s="16">
        <v>1600</v>
      </c>
      <c r="I191" s="16">
        <v>2350</v>
      </c>
      <c r="J191" s="16">
        <v>11</v>
      </c>
      <c r="K191" s="13">
        <f t="shared" si="16"/>
        <v>41.36</v>
      </c>
      <c r="L191" s="21" t="s">
        <v>99</v>
      </c>
      <c r="M191" s="12" t="s">
        <v>390</v>
      </c>
      <c r="N191">
        <f t="shared" si="12"/>
        <v>41.36</v>
      </c>
    </row>
    <row r="192" customHeight="1" spans="1:14">
      <c r="A192" s="16">
        <v>153</v>
      </c>
      <c r="B192" s="11" t="s">
        <v>157</v>
      </c>
      <c r="C192" s="11" t="s">
        <v>429</v>
      </c>
      <c r="D192" s="12" t="s">
        <v>70</v>
      </c>
      <c r="E192" s="16" t="s">
        <v>424</v>
      </c>
      <c r="F192" s="16">
        <v>4800</v>
      </c>
      <c r="G192" s="16">
        <v>2350</v>
      </c>
      <c r="H192" s="16">
        <v>4800</v>
      </c>
      <c r="I192" s="16">
        <v>2350</v>
      </c>
      <c r="J192" s="16">
        <v>33</v>
      </c>
      <c r="K192" s="13">
        <f t="shared" si="16"/>
        <v>372.24</v>
      </c>
      <c r="L192" s="21" t="s">
        <v>99</v>
      </c>
      <c r="M192" s="12" t="s">
        <v>390</v>
      </c>
      <c r="N192">
        <f t="shared" si="12"/>
        <v>372.24</v>
      </c>
    </row>
    <row r="193" customHeight="1" spans="1:14">
      <c r="A193" s="16">
        <v>154</v>
      </c>
      <c r="B193" s="11" t="s">
        <v>150</v>
      </c>
      <c r="C193" s="11" t="s">
        <v>430</v>
      </c>
      <c r="D193" s="12" t="s">
        <v>65</v>
      </c>
      <c r="E193" s="16" t="s">
        <v>424</v>
      </c>
      <c r="F193" s="16">
        <v>700</v>
      </c>
      <c r="G193" s="16">
        <v>2350</v>
      </c>
      <c r="H193" s="16">
        <v>700</v>
      </c>
      <c r="I193" s="16">
        <v>2350</v>
      </c>
      <c r="J193" s="16">
        <v>40</v>
      </c>
      <c r="K193" s="13">
        <f t="shared" si="16"/>
        <v>65.8</v>
      </c>
      <c r="L193" s="21" t="s">
        <v>99</v>
      </c>
      <c r="M193" s="12" t="s">
        <v>425</v>
      </c>
      <c r="N193">
        <f t="shared" si="12"/>
        <v>65.8</v>
      </c>
    </row>
    <row r="194" customHeight="1" spans="1:14">
      <c r="A194" s="16">
        <v>155</v>
      </c>
      <c r="B194" s="11" t="s">
        <v>155</v>
      </c>
      <c r="C194" s="11" t="s">
        <v>431</v>
      </c>
      <c r="D194" s="12" t="s">
        <v>68</v>
      </c>
      <c r="E194" s="16" t="s">
        <v>433</v>
      </c>
      <c r="F194" s="16">
        <v>1200</v>
      </c>
      <c r="G194" s="16">
        <v>2400</v>
      </c>
      <c r="H194" s="16">
        <v>1200</v>
      </c>
      <c r="I194" s="16">
        <v>2400</v>
      </c>
      <c r="J194" s="16">
        <v>2</v>
      </c>
      <c r="K194" s="13">
        <f t="shared" si="16"/>
        <v>5.76</v>
      </c>
      <c r="L194" s="21" t="s">
        <v>99</v>
      </c>
      <c r="N194">
        <f t="shared" si="12"/>
        <v>5.76</v>
      </c>
    </row>
    <row r="195" customHeight="1" spans="1:14">
      <c r="A195" s="16">
        <v>156</v>
      </c>
      <c r="B195" s="12" t="s">
        <v>255</v>
      </c>
      <c r="C195" s="11" t="s">
        <v>177</v>
      </c>
      <c r="D195" s="12" t="s">
        <v>456</v>
      </c>
      <c r="E195" s="9">
        <v>1</v>
      </c>
      <c r="F195" s="9">
        <v>10450</v>
      </c>
      <c r="G195" s="9">
        <v>2900</v>
      </c>
      <c r="H195" s="9">
        <v>10450</v>
      </c>
      <c r="I195" s="9">
        <v>2900</v>
      </c>
      <c r="J195" s="16">
        <v>1</v>
      </c>
      <c r="K195" s="13">
        <f t="shared" si="16"/>
        <v>30.305</v>
      </c>
      <c r="L195" s="21" t="s">
        <v>99</v>
      </c>
      <c r="N195">
        <f t="shared" si="12"/>
        <v>30.305</v>
      </c>
    </row>
    <row r="196" customHeight="1" spans="1:14">
      <c r="A196" s="16">
        <v>157</v>
      </c>
      <c r="B196" s="12" t="s">
        <v>255</v>
      </c>
      <c r="C196" s="11" t="s">
        <v>177</v>
      </c>
      <c r="D196" s="12" t="s">
        <v>456</v>
      </c>
      <c r="E196" s="9">
        <v>1</v>
      </c>
      <c r="F196" s="9">
        <v>9700</v>
      </c>
      <c r="G196" s="9">
        <v>2900</v>
      </c>
      <c r="H196" s="9">
        <v>9700</v>
      </c>
      <c r="I196" s="9">
        <v>2900</v>
      </c>
      <c r="J196" s="16">
        <v>1</v>
      </c>
      <c r="K196" s="13">
        <f t="shared" si="16"/>
        <v>28.13</v>
      </c>
      <c r="L196" s="21" t="s">
        <v>99</v>
      </c>
      <c r="N196">
        <f t="shared" si="12"/>
        <v>28.13</v>
      </c>
    </row>
    <row r="197" customHeight="1" spans="1:14">
      <c r="A197" s="16">
        <v>158</v>
      </c>
      <c r="B197" s="12" t="s">
        <v>176</v>
      </c>
      <c r="C197" s="11" t="s">
        <v>177</v>
      </c>
      <c r="D197" s="12" t="s">
        <v>462</v>
      </c>
      <c r="E197" s="9">
        <v>1</v>
      </c>
      <c r="F197" s="9">
        <v>31000</v>
      </c>
      <c r="G197" s="9">
        <v>2900</v>
      </c>
      <c r="H197" s="9">
        <v>31000</v>
      </c>
      <c r="I197" s="9">
        <v>2900</v>
      </c>
      <c r="J197" s="16">
        <v>1</v>
      </c>
      <c r="K197" s="13">
        <f t="shared" si="16"/>
        <v>89.9</v>
      </c>
      <c r="L197" s="21" t="s">
        <v>99</v>
      </c>
      <c r="N197">
        <f t="shared" ref="N197:N260" si="17">K197</f>
        <v>89.9</v>
      </c>
    </row>
    <row r="198" customHeight="1" spans="1:14">
      <c r="A198" s="16">
        <v>159</v>
      </c>
      <c r="B198" s="12" t="s">
        <v>255</v>
      </c>
      <c r="C198" s="11" t="s">
        <v>177</v>
      </c>
      <c r="D198" s="12" t="s">
        <v>456</v>
      </c>
      <c r="E198" s="9">
        <v>1</v>
      </c>
      <c r="F198" s="9">
        <v>4800</v>
      </c>
      <c r="G198" s="9">
        <v>2900</v>
      </c>
      <c r="H198" s="9">
        <v>4800</v>
      </c>
      <c r="I198" s="9">
        <v>2900</v>
      </c>
      <c r="J198" s="16">
        <v>1</v>
      </c>
      <c r="K198" s="13">
        <f t="shared" ref="K198:K201" si="18">J198*G198*F198/1000000</f>
        <v>13.92</v>
      </c>
      <c r="L198" s="21" t="s">
        <v>99</v>
      </c>
      <c r="N198">
        <f t="shared" si="17"/>
        <v>13.92</v>
      </c>
    </row>
    <row r="199" customHeight="1" spans="1:14">
      <c r="A199" s="16">
        <v>160</v>
      </c>
      <c r="B199" s="12" t="s">
        <v>255</v>
      </c>
      <c r="C199" s="11" t="s">
        <v>177</v>
      </c>
      <c r="D199" s="12" t="s">
        <v>456</v>
      </c>
      <c r="E199" s="9">
        <v>1</v>
      </c>
      <c r="F199" s="9">
        <v>6450</v>
      </c>
      <c r="G199" s="9">
        <v>2900</v>
      </c>
      <c r="H199" s="9">
        <v>6450</v>
      </c>
      <c r="I199" s="9">
        <v>2900</v>
      </c>
      <c r="J199" s="16">
        <v>1</v>
      </c>
      <c r="K199" s="13">
        <f t="shared" si="18"/>
        <v>18.705</v>
      </c>
      <c r="L199" s="21" t="s">
        <v>99</v>
      </c>
      <c r="N199">
        <f t="shared" si="17"/>
        <v>18.705</v>
      </c>
    </row>
    <row r="200" customHeight="1" spans="1:14">
      <c r="A200" s="7" t="s">
        <v>100</v>
      </c>
      <c r="B200" s="8"/>
      <c r="C200" s="8"/>
      <c r="D200" s="8"/>
      <c r="E200" s="8"/>
      <c r="F200" s="8"/>
      <c r="G200" s="8"/>
      <c r="H200" s="8"/>
      <c r="I200" s="8"/>
      <c r="J200" s="8"/>
      <c r="K200" s="8"/>
      <c r="L200" s="8"/>
      <c r="N200">
        <f t="shared" si="17"/>
        <v>0</v>
      </c>
    </row>
    <row r="201" customHeight="1" spans="1:14">
      <c r="A201" s="16">
        <v>161</v>
      </c>
      <c r="B201" s="10" t="s">
        <v>375</v>
      </c>
      <c r="C201" s="11" t="s">
        <v>360</v>
      </c>
      <c r="D201" s="12" t="s">
        <v>377</v>
      </c>
      <c r="E201" s="13" t="s">
        <v>361</v>
      </c>
      <c r="F201" s="9">
        <v>500</v>
      </c>
      <c r="G201" s="16">
        <v>1450</v>
      </c>
      <c r="H201" s="9">
        <v>500</v>
      </c>
      <c r="I201" s="16">
        <v>1450</v>
      </c>
      <c r="J201" s="16">
        <f>7*3</f>
        <v>21</v>
      </c>
      <c r="K201" s="13">
        <f t="shared" si="18"/>
        <v>15.225</v>
      </c>
      <c r="L201" s="21" t="s">
        <v>100</v>
      </c>
      <c r="M201" s="12" t="s">
        <v>377</v>
      </c>
      <c r="N201">
        <f t="shared" si="17"/>
        <v>15.225</v>
      </c>
    </row>
    <row r="202" customHeight="1" spans="1:14">
      <c r="A202" s="16">
        <v>162</v>
      </c>
      <c r="B202" s="10" t="s">
        <v>375</v>
      </c>
      <c r="C202" s="11" t="s">
        <v>360</v>
      </c>
      <c r="D202" s="12" t="s">
        <v>59</v>
      </c>
      <c r="E202" s="13" t="s">
        <v>457</v>
      </c>
      <c r="F202" s="9">
        <v>500</v>
      </c>
      <c r="G202" s="16">
        <v>1450</v>
      </c>
      <c r="H202" s="9">
        <v>500</v>
      </c>
      <c r="I202" s="16">
        <v>1450</v>
      </c>
      <c r="J202" s="16">
        <f>4*3</f>
        <v>12</v>
      </c>
      <c r="K202" s="13">
        <f t="shared" ref="K202:K227" si="19">J202*G202*F202/1000000</f>
        <v>8.7</v>
      </c>
      <c r="L202" s="21" t="s">
        <v>100</v>
      </c>
      <c r="M202" s="2">
        <f>K202</f>
        <v>8.7</v>
      </c>
      <c r="N202">
        <f t="shared" si="17"/>
        <v>8.7</v>
      </c>
    </row>
    <row r="203" customHeight="1" spans="1:14">
      <c r="A203" s="16">
        <v>163</v>
      </c>
      <c r="B203" s="10" t="s">
        <v>375</v>
      </c>
      <c r="C203" s="11" t="s">
        <v>366</v>
      </c>
      <c r="D203" s="12" t="s">
        <v>377</v>
      </c>
      <c r="E203" s="13" t="s">
        <v>361</v>
      </c>
      <c r="F203" s="16">
        <v>600</v>
      </c>
      <c r="G203" s="16">
        <v>1450</v>
      </c>
      <c r="H203" s="16">
        <v>600</v>
      </c>
      <c r="I203" s="16">
        <v>1450</v>
      </c>
      <c r="J203" s="16">
        <v>14</v>
      </c>
      <c r="K203" s="13">
        <f t="shared" si="19"/>
        <v>12.18</v>
      </c>
      <c r="L203" s="21" t="s">
        <v>100</v>
      </c>
      <c r="M203" s="12" t="s">
        <v>377</v>
      </c>
      <c r="N203">
        <f t="shared" si="17"/>
        <v>12.18</v>
      </c>
    </row>
    <row r="204" customHeight="1" spans="1:14">
      <c r="A204" s="16">
        <v>164</v>
      </c>
      <c r="B204" s="10" t="s">
        <v>375</v>
      </c>
      <c r="C204" s="11" t="s">
        <v>366</v>
      </c>
      <c r="D204" s="12" t="s">
        <v>59</v>
      </c>
      <c r="E204" s="13" t="s">
        <v>457</v>
      </c>
      <c r="F204" s="16">
        <v>600</v>
      </c>
      <c r="G204" s="16">
        <v>1450</v>
      </c>
      <c r="H204" s="16">
        <v>600</v>
      </c>
      <c r="I204" s="16">
        <v>1450</v>
      </c>
      <c r="J204" s="16">
        <v>8</v>
      </c>
      <c r="K204" s="13">
        <f t="shared" si="19"/>
        <v>6.96</v>
      </c>
      <c r="L204" s="21" t="s">
        <v>100</v>
      </c>
      <c r="M204" s="2">
        <f>K204</f>
        <v>6.96</v>
      </c>
      <c r="N204">
        <f t="shared" si="17"/>
        <v>6.96</v>
      </c>
    </row>
    <row r="205" customHeight="1" spans="1:14">
      <c r="A205" s="16">
        <v>165</v>
      </c>
      <c r="B205" s="10" t="s">
        <v>375</v>
      </c>
      <c r="C205" s="11" t="s">
        <v>371</v>
      </c>
      <c r="D205" s="12" t="s">
        <v>377</v>
      </c>
      <c r="E205" s="13" t="s">
        <v>361</v>
      </c>
      <c r="F205" s="16">
        <v>900</v>
      </c>
      <c r="G205" s="16">
        <v>1450</v>
      </c>
      <c r="H205" s="16">
        <v>900</v>
      </c>
      <c r="I205" s="16">
        <v>1450</v>
      </c>
      <c r="J205" s="16">
        <f>7*3</f>
        <v>21</v>
      </c>
      <c r="K205" s="13">
        <f t="shared" si="19"/>
        <v>27.405</v>
      </c>
      <c r="L205" s="21" t="s">
        <v>100</v>
      </c>
      <c r="M205" s="12" t="s">
        <v>377</v>
      </c>
      <c r="N205">
        <f t="shared" si="17"/>
        <v>27.405</v>
      </c>
    </row>
    <row r="206" customHeight="1" spans="1:14">
      <c r="A206" s="16">
        <v>166</v>
      </c>
      <c r="B206" s="10" t="s">
        <v>375</v>
      </c>
      <c r="C206" s="11" t="s">
        <v>371</v>
      </c>
      <c r="D206" s="12" t="s">
        <v>59</v>
      </c>
      <c r="E206" s="13" t="s">
        <v>457</v>
      </c>
      <c r="F206" s="16">
        <v>900</v>
      </c>
      <c r="G206" s="16">
        <v>1450</v>
      </c>
      <c r="H206" s="16">
        <v>900</v>
      </c>
      <c r="I206" s="16">
        <v>1450</v>
      </c>
      <c r="J206" s="16">
        <f>4*3</f>
        <v>12</v>
      </c>
      <c r="K206" s="13">
        <f t="shared" si="19"/>
        <v>15.66</v>
      </c>
      <c r="L206" s="21" t="s">
        <v>100</v>
      </c>
      <c r="M206" s="2">
        <f>K206</f>
        <v>15.66</v>
      </c>
      <c r="N206">
        <f t="shared" si="17"/>
        <v>15.66</v>
      </c>
    </row>
    <row r="207" customHeight="1" spans="1:14">
      <c r="A207" s="16">
        <v>167</v>
      </c>
      <c r="B207" s="10" t="s">
        <v>359</v>
      </c>
      <c r="C207" s="11" t="s">
        <v>371</v>
      </c>
      <c r="D207" s="12" t="s">
        <v>368</v>
      </c>
      <c r="E207" s="13" t="s">
        <v>361</v>
      </c>
      <c r="F207" s="16">
        <v>900</v>
      </c>
      <c r="G207" s="16">
        <v>1450</v>
      </c>
      <c r="H207" s="16">
        <v>900</v>
      </c>
      <c r="I207" s="16">
        <v>1450</v>
      </c>
      <c r="J207" s="16">
        <f>7*4</f>
        <v>28</v>
      </c>
      <c r="K207" s="13">
        <f t="shared" si="19"/>
        <v>36.54</v>
      </c>
      <c r="L207" s="21" t="s">
        <v>100</v>
      </c>
      <c r="M207" s="12" t="s">
        <v>368</v>
      </c>
      <c r="N207">
        <f t="shared" si="17"/>
        <v>36.54</v>
      </c>
    </row>
    <row r="208" customHeight="1" spans="1:14">
      <c r="A208" s="16">
        <v>168</v>
      </c>
      <c r="B208" s="10" t="s">
        <v>359</v>
      </c>
      <c r="C208" s="11" t="s">
        <v>371</v>
      </c>
      <c r="D208" s="12" t="s">
        <v>52</v>
      </c>
      <c r="E208" s="13" t="s">
        <v>457</v>
      </c>
      <c r="F208" s="16">
        <v>900</v>
      </c>
      <c r="G208" s="16">
        <v>1450</v>
      </c>
      <c r="H208" s="16">
        <v>900</v>
      </c>
      <c r="I208" s="16">
        <v>1450</v>
      </c>
      <c r="J208" s="16">
        <f>4*4</f>
        <v>16</v>
      </c>
      <c r="K208" s="13">
        <f t="shared" si="19"/>
        <v>20.88</v>
      </c>
      <c r="L208" s="21" t="s">
        <v>100</v>
      </c>
      <c r="M208" s="2">
        <f>K208</f>
        <v>20.88</v>
      </c>
      <c r="N208">
        <f t="shared" si="17"/>
        <v>20.88</v>
      </c>
    </row>
    <row r="209" customHeight="1" spans="1:14">
      <c r="A209" s="16">
        <v>169</v>
      </c>
      <c r="B209" s="10" t="s">
        <v>359</v>
      </c>
      <c r="C209" s="11" t="s">
        <v>376</v>
      </c>
      <c r="D209" s="12" t="s">
        <v>52</v>
      </c>
      <c r="E209" s="13" t="s">
        <v>361</v>
      </c>
      <c r="F209" s="16">
        <v>1500</v>
      </c>
      <c r="G209" s="16">
        <v>1450</v>
      </c>
      <c r="H209" s="16">
        <v>1500</v>
      </c>
      <c r="I209" s="16">
        <v>1450</v>
      </c>
      <c r="J209" s="16">
        <f>7*3</f>
        <v>21</v>
      </c>
      <c r="K209" s="13">
        <f t="shared" si="19"/>
        <v>45.675</v>
      </c>
      <c r="L209" s="21" t="s">
        <v>100</v>
      </c>
      <c r="M209" s="12" t="s">
        <v>368</v>
      </c>
      <c r="N209">
        <f t="shared" si="17"/>
        <v>45.675</v>
      </c>
    </row>
    <row r="210" customHeight="1" spans="1:14">
      <c r="A210" s="16">
        <v>170</v>
      </c>
      <c r="B210" s="10" t="s">
        <v>359</v>
      </c>
      <c r="C210" s="11" t="s">
        <v>376</v>
      </c>
      <c r="D210" s="12" t="s">
        <v>52</v>
      </c>
      <c r="E210" s="13" t="s">
        <v>457</v>
      </c>
      <c r="F210" s="16">
        <v>1500</v>
      </c>
      <c r="G210" s="16">
        <v>1450</v>
      </c>
      <c r="H210" s="16">
        <v>1500</v>
      </c>
      <c r="I210" s="16">
        <v>1450</v>
      </c>
      <c r="J210" s="16">
        <f>4*3</f>
        <v>12</v>
      </c>
      <c r="K210" s="13">
        <f t="shared" si="19"/>
        <v>26.1</v>
      </c>
      <c r="L210" s="21" t="s">
        <v>100</v>
      </c>
      <c r="M210" s="2">
        <f>K210</f>
        <v>26.1</v>
      </c>
      <c r="N210">
        <f t="shared" si="17"/>
        <v>26.1</v>
      </c>
    </row>
    <row r="211" customHeight="1" spans="1:14">
      <c r="A211" s="16">
        <v>171</v>
      </c>
      <c r="B211" s="10" t="s">
        <v>359</v>
      </c>
      <c r="C211" s="11" t="s">
        <v>378</v>
      </c>
      <c r="D211" s="12" t="s">
        <v>368</v>
      </c>
      <c r="E211" s="13" t="s">
        <v>361</v>
      </c>
      <c r="F211" s="16">
        <v>1600</v>
      </c>
      <c r="G211" s="16">
        <v>2150</v>
      </c>
      <c r="H211" s="16">
        <v>1600</v>
      </c>
      <c r="I211" s="16">
        <v>2150</v>
      </c>
      <c r="J211" s="16">
        <f>7*3</f>
        <v>21</v>
      </c>
      <c r="K211" s="13">
        <f t="shared" si="19"/>
        <v>72.24</v>
      </c>
      <c r="L211" s="21" t="s">
        <v>100</v>
      </c>
      <c r="M211" s="12" t="s">
        <v>368</v>
      </c>
      <c r="N211">
        <f t="shared" si="17"/>
        <v>72.24</v>
      </c>
    </row>
    <row r="212" customHeight="1" spans="1:14">
      <c r="A212" s="16">
        <v>172</v>
      </c>
      <c r="B212" s="10" t="s">
        <v>359</v>
      </c>
      <c r="C212" s="11" t="s">
        <v>378</v>
      </c>
      <c r="D212" s="12" t="s">
        <v>52</v>
      </c>
      <c r="E212" s="13" t="s">
        <v>457</v>
      </c>
      <c r="F212" s="16">
        <v>1600</v>
      </c>
      <c r="G212" s="16">
        <v>2150</v>
      </c>
      <c r="H212" s="16">
        <v>1600</v>
      </c>
      <c r="I212" s="16">
        <v>2150</v>
      </c>
      <c r="J212" s="16">
        <f>4*3</f>
        <v>12</v>
      </c>
      <c r="K212" s="13">
        <f t="shared" si="19"/>
        <v>41.28</v>
      </c>
      <c r="L212" s="21" t="s">
        <v>100</v>
      </c>
      <c r="M212" s="2">
        <f>K212</f>
        <v>41.28</v>
      </c>
      <c r="N212">
        <f t="shared" si="17"/>
        <v>41.28</v>
      </c>
    </row>
    <row r="213" customHeight="1" spans="1:14">
      <c r="A213" s="16">
        <v>173</v>
      </c>
      <c r="B213" s="10" t="s">
        <v>359</v>
      </c>
      <c r="C213" s="11" t="s">
        <v>379</v>
      </c>
      <c r="D213" s="12" t="s">
        <v>362</v>
      </c>
      <c r="E213" s="13" t="s">
        <v>361</v>
      </c>
      <c r="F213" s="16">
        <v>2100</v>
      </c>
      <c r="G213" s="16">
        <v>2150</v>
      </c>
      <c r="H213" s="16">
        <v>2100</v>
      </c>
      <c r="I213" s="16">
        <v>2150</v>
      </c>
      <c r="J213" s="16">
        <f>7*4</f>
        <v>28</v>
      </c>
      <c r="K213" s="13">
        <f t="shared" si="19"/>
        <v>126.42</v>
      </c>
      <c r="L213" s="21" t="s">
        <v>100</v>
      </c>
      <c r="M213" s="12" t="s">
        <v>362</v>
      </c>
      <c r="N213">
        <f t="shared" si="17"/>
        <v>126.42</v>
      </c>
    </row>
    <row r="214" customHeight="1" spans="1:14">
      <c r="A214" s="16">
        <v>174</v>
      </c>
      <c r="B214" s="10" t="s">
        <v>359</v>
      </c>
      <c r="C214" s="11" t="s">
        <v>379</v>
      </c>
      <c r="D214" s="12" t="s">
        <v>53</v>
      </c>
      <c r="E214" s="13" t="s">
        <v>457</v>
      </c>
      <c r="F214" s="16">
        <v>2100</v>
      </c>
      <c r="G214" s="16">
        <v>2150</v>
      </c>
      <c r="H214" s="16">
        <v>2100</v>
      </c>
      <c r="I214" s="16">
        <v>2150</v>
      </c>
      <c r="J214" s="16">
        <f>4*4</f>
        <v>16</v>
      </c>
      <c r="K214" s="13">
        <f t="shared" si="19"/>
        <v>72.24</v>
      </c>
      <c r="L214" s="21" t="s">
        <v>100</v>
      </c>
      <c r="M214" s="2">
        <f>K214</f>
        <v>72.24</v>
      </c>
      <c r="N214">
        <f t="shared" si="17"/>
        <v>72.24</v>
      </c>
    </row>
    <row r="215" customHeight="1" spans="1:14">
      <c r="A215" s="16">
        <v>175</v>
      </c>
      <c r="B215" s="10" t="s">
        <v>145</v>
      </c>
      <c r="C215" s="11" t="s">
        <v>374</v>
      </c>
      <c r="D215" s="12" t="s">
        <v>56</v>
      </c>
      <c r="E215" s="16" t="s">
        <v>458</v>
      </c>
      <c r="F215" s="16">
        <v>1100</v>
      </c>
      <c r="G215" s="16">
        <v>1500</v>
      </c>
      <c r="H215" s="16">
        <v>1100</v>
      </c>
      <c r="I215" s="16">
        <v>1500</v>
      </c>
      <c r="J215" s="16">
        <v>22</v>
      </c>
      <c r="K215" s="13">
        <f t="shared" si="19"/>
        <v>36.3</v>
      </c>
      <c r="L215" s="21" t="s">
        <v>100</v>
      </c>
      <c r="M215" s="12" t="s">
        <v>384</v>
      </c>
      <c r="N215">
        <f t="shared" si="17"/>
        <v>36.3</v>
      </c>
    </row>
    <row r="216" customHeight="1" spans="1:14">
      <c r="A216" s="16">
        <v>176</v>
      </c>
      <c r="B216" s="10" t="s">
        <v>402</v>
      </c>
      <c r="C216" s="11" t="s">
        <v>423</v>
      </c>
      <c r="D216" s="12" t="s">
        <v>51</v>
      </c>
      <c r="E216" s="16">
        <v>2</v>
      </c>
      <c r="F216" s="16">
        <v>900</v>
      </c>
      <c r="G216" s="16">
        <v>1400</v>
      </c>
      <c r="H216" s="16">
        <v>900</v>
      </c>
      <c r="I216" s="16">
        <v>1400</v>
      </c>
      <c r="J216" s="16">
        <v>2</v>
      </c>
      <c r="K216" s="13">
        <f t="shared" si="19"/>
        <v>2.52</v>
      </c>
      <c r="L216" s="21" t="s">
        <v>100</v>
      </c>
      <c r="M216" s="12" t="s">
        <v>404</v>
      </c>
      <c r="N216">
        <f t="shared" si="17"/>
        <v>2.52</v>
      </c>
    </row>
    <row r="217" customHeight="1" spans="1:14">
      <c r="A217" s="16">
        <v>177</v>
      </c>
      <c r="B217" s="10" t="s">
        <v>111</v>
      </c>
      <c r="C217" s="17" t="s">
        <v>406</v>
      </c>
      <c r="D217" s="12" t="s">
        <v>50</v>
      </c>
      <c r="E217" s="16" t="s">
        <v>424</v>
      </c>
      <c r="F217" s="16">
        <v>500</v>
      </c>
      <c r="G217" s="16">
        <v>1000</v>
      </c>
      <c r="H217" s="16">
        <v>500</v>
      </c>
      <c r="I217" s="16">
        <v>1000</v>
      </c>
      <c r="J217" s="16">
        <v>33</v>
      </c>
      <c r="K217" s="13">
        <f t="shared" si="19"/>
        <v>16.5</v>
      </c>
      <c r="L217" s="21" t="s">
        <v>100</v>
      </c>
      <c r="M217" s="2">
        <f>K217</f>
        <v>16.5</v>
      </c>
      <c r="N217">
        <f t="shared" si="17"/>
        <v>16.5</v>
      </c>
    </row>
    <row r="218" customHeight="1" spans="1:14">
      <c r="A218" s="16">
        <v>178</v>
      </c>
      <c r="B218" s="11" t="s">
        <v>150</v>
      </c>
      <c r="C218" s="11" t="s">
        <v>389</v>
      </c>
      <c r="D218" s="12" t="s">
        <v>65</v>
      </c>
      <c r="E218" s="16" t="s">
        <v>461</v>
      </c>
      <c r="F218" s="16">
        <v>1200</v>
      </c>
      <c r="G218" s="16">
        <v>2350</v>
      </c>
      <c r="H218" s="16">
        <v>1200</v>
      </c>
      <c r="I218" s="16">
        <v>2350</v>
      </c>
      <c r="J218" s="16">
        <v>33</v>
      </c>
      <c r="K218" s="13">
        <f t="shared" si="19"/>
        <v>93.06</v>
      </c>
      <c r="L218" s="21" t="s">
        <v>100</v>
      </c>
      <c r="M218" s="12" t="s">
        <v>425</v>
      </c>
      <c r="N218">
        <f t="shared" si="17"/>
        <v>93.06</v>
      </c>
    </row>
    <row r="219" customHeight="1" spans="1:14">
      <c r="A219" s="16">
        <v>179</v>
      </c>
      <c r="B219" s="11" t="s">
        <v>157</v>
      </c>
      <c r="C219" s="11" t="s">
        <v>426</v>
      </c>
      <c r="D219" s="12" t="s">
        <v>71</v>
      </c>
      <c r="E219" s="16" t="s">
        <v>461</v>
      </c>
      <c r="F219" s="16">
        <v>3600</v>
      </c>
      <c r="G219" s="16">
        <v>2350</v>
      </c>
      <c r="H219" s="16">
        <v>3600</v>
      </c>
      <c r="I219" s="16">
        <v>2350</v>
      </c>
      <c r="J219" s="16">
        <v>11</v>
      </c>
      <c r="K219" s="13">
        <f t="shared" si="19"/>
        <v>93.06</v>
      </c>
      <c r="L219" s="21" t="s">
        <v>100</v>
      </c>
      <c r="M219" s="12" t="s">
        <v>392</v>
      </c>
      <c r="N219">
        <f t="shared" si="17"/>
        <v>93.06</v>
      </c>
    </row>
    <row r="220" customHeight="1" spans="1:14">
      <c r="A220" s="16">
        <v>180</v>
      </c>
      <c r="B220" s="11" t="s">
        <v>157</v>
      </c>
      <c r="C220" s="11" t="s">
        <v>427</v>
      </c>
      <c r="D220" s="12" t="s">
        <v>70</v>
      </c>
      <c r="E220" s="16" t="s">
        <v>461</v>
      </c>
      <c r="F220" s="16">
        <v>1500</v>
      </c>
      <c r="G220" s="16">
        <v>2350</v>
      </c>
      <c r="H220" s="16">
        <v>1500</v>
      </c>
      <c r="I220" s="16">
        <v>2350</v>
      </c>
      <c r="J220" s="16">
        <v>11</v>
      </c>
      <c r="K220" s="13">
        <f t="shared" si="19"/>
        <v>38.775</v>
      </c>
      <c r="L220" s="21" t="s">
        <v>100</v>
      </c>
      <c r="M220" s="12" t="s">
        <v>390</v>
      </c>
      <c r="N220">
        <f t="shared" si="17"/>
        <v>38.775</v>
      </c>
    </row>
    <row r="221" customHeight="1" spans="1:14">
      <c r="A221" s="16">
        <v>181</v>
      </c>
      <c r="B221" s="11" t="s">
        <v>157</v>
      </c>
      <c r="C221" s="11" t="s">
        <v>428</v>
      </c>
      <c r="D221" s="12" t="s">
        <v>70</v>
      </c>
      <c r="E221" s="16" t="s">
        <v>424</v>
      </c>
      <c r="F221" s="16">
        <v>1600</v>
      </c>
      <c r="G221" s="16">
        <v>2350</v>
      </c>
      <c r="H221" s="16">
        <v>1600</v>
      </c>
      <c r="I221" s="16">
        <v>2350</v>
      </c>
      <c r="J221" s="16">
        <v>11</v>
      </c>
      <c r="K221" s="13">
        <f t="shared" si="19"/>
        <v>41.36</v>
      </c>
      <c r="L221" s="21" t="s">
        <v>100</v>
      </c>
      <c r="M221" s="12" t="s">
        <v>390</v>
      </c>
      <c r="N221">
        <f t="shared" si="17"/>
        <v>41.36</v>
      </c>
    </row>
    <row r="222" customHeight="1" spans="1:14">
      <c r="A222" s="16">
        <v>182</v>
      </c>
      <c r="B222" s="11" t="s">
        <v>157</v>
      </c>
      <c r="C222" s="11" t="s">
        <v>429</v>
      </c>
      <c r="D222" s="12" t="s">
        <v>70</v>
      </c>
      <c r="E222" s="16" t="s">
        <v>424</v>
      </c>
      <c r="F222" s="16">
        <v>4800</v>
      </c>
      <c r="G222" s="16">
        <v>2350</v>
      </c>
      <c r="H222" s="16">
        <v>4800</v>
      </c>
      <c r="I222" s="16">
        <v>2350</v>
      </c>
      <c r="J222" s="16">
        <v>33</v>
      </c>
      <c r="K222" s="13">
        <f t="shared" si="19"/>
        <v>372.24</v>
      </c>
      <c r="L222" s="21" t="s">
        <v>100</v>
      </c>
      <c r="M222" s="12" t="s">
        <v>390</v>
      </c>
      <c r="N222">
        <f t="shared" si="17"/>
        <v>372.24</v>
      </c>
    </row>
    <row r="223" customHeight="1" spans="1:14">
      <c r="A223" s="16">
        <v>183</v>
      </c>
      <c r="B223" s="11" t="s">
        <v>150</v>
      </c>
      <c r="C223" s="11" t="s">
        <v>430</v>
      </c>
      <c r="D223" s="12" t="s">
        <v>65</v>
      </c>
      <c r="E223" s="16" t="s">
        <v>424</v>
      </c>
      <c r="F223" s="16">
        <v>700</v>
      </c>
      <c r="G223" s="16">
        <v>2350</v>
      </c>
      <c r="H223" s="16">
        <v>700</v>
      </c>
      <c r="I223" s="16">
        <v>2350</v>
      </c>
      <c r="J223" s="16">
        <v>40</v>
      </c>
      <c r="K223" s="13">
        <f t="shared" si="19"/>
        <v>65.8</v>
      </c>
      <c r="L223" s="21" t="s">
        <v>100</v>
      </c>
      <c r="M223" s="12" t="s">
        <v>425</v>
      </c>
      <c r="N223">
        <f t="shared" si="17"/>
        <v>65.8</v>
      </c>
    </row>
    <row r="224" customHeight="1" spans="1:14">
      <c r="A224" s="16">
        <v>184</v>
      </c>
      <c r="B224" s="11" t="s">
        <v>155</v>
      </c>
      <c r="C224" s="11" t="s">
        <v>431</v>
      </c>
      <c r="D224" s="12" t="s">
        <v>68</v>
      </c>
      <c r="E224" s="16" t="s">
        <v>433</v>
      </c>
      <c r="F224" s="16">
        <v>1200</v>
      </c>
      <c r="G224" s="16">
        <v>2400</v>
      </c>
      <c r="H224" s="16">
        <v>1200</v>
      </c>
      <c r="I224" s="16">
        <v>2400</v>
      </c>
      <c r="J224" s="16">
        <v>2</v>
      </c>
      <c r="K224" s="13">
        <f t="shared" si="19"/>
        <v>5.76</v>
      </c>
      <c r="L224" s="21" t="s">
        <v>100</v>
      </c>
      <c r="M224" s="2">
        <f>K224</f>
        <v>5.76</v>
      </c>
      <c r="N224">
        <f t="shared" si="17"/>
        <v>5.76</v>
      </c>
    </row>
    <row r="225" customHeight="1" spans="1:14">
      <c r="A225" s="16">
        <v>185</v>
      </c>
      <c r="B225" s="12" t="s">
        <v>463</v>
      </c>
      <c r="C225" s="11" t="s">
        <v>177</v>
      </c>
      <c r="D225" s="12" t="s">
        <v>464</v>
      </c>
      <c r="E225" s="9">
        <v>1</v>
      </c>
      <c r="F225" s="9">
        <f>6750+5500+31300</f>
        <v>43550</v>
      </c>
      <c r="G225" s="9">
        <v>2900</v>
      </c>
      <c r="H225" s="9">
        <f>6750+5500+31300</f>
        <v>43550</v>
      </c>
      <c r="I225" s="9">
        <v>2900</v>
      </c>
      <c r="J225" s="16">
        <v>1</v>
      </c>
      <c r="K225" s="13">
        <f t="shared" si="19"/>
        <v>126.295</v>
      </c>
      <c r="L225" s="21" t="s">
        <v>100</v>
      </c>
      <c r="M225" s="2">
        <f>K225</f>
        <v>126.295</v>
      </c>
      <c r="N225">
        <f t="shared" si="17"/>
        <v>126.295</v>
      </c>
    </row>
    <row r="226" customHeight="1" spans="1:14">
      <c r="A226" s="16">
        <v>186</v>
      </c>
      <c r="B226" s="12" t="s">
        <v>465</v>
      </c>
      <c r="C226" s="11" t="s">
        <v>177</v>
      </c>
      <c r="D226" s="12" t="s">
        <v>466</v>
      </c>
      <c r="E226" s="9">
        <v>1</v>
      </c>
      <c r="F226" s="9">
        <v>10450</v>
      </c>
      <c r="G226" s="9">
        <v>2900</v>
      </c>
      <c r="H226" s="9">
        <v>10450</v>
      </c>
      <c r="I226" s="9">
        <v>2900</v>
      </c>
      <c r="J226" s="16">
        <v>1</v>
      </c>
      <c r="K226" s="13">
        <f t="shared" si="19"/>
        <v>30.305</v>
      </c>
      <c r="L226" s="21" t="s">
        <v>100</v>
      </c>
      <c r="M226" s="2">
        <f>K226</f>
        <v>30.305</v>
      </c>
      <c r="N226">
        <f t="shared" si="17"/>
        <v>30.305</v>
      </c>
    </row>
    <row r="227" customHeight="1" spans="1:14">
      <c r="A227" s="16">
        <v>187</v>
      </c>
      <c r="B227" s="12" t="s">
        <v>465</v>
      </c>
      <c r="C227" s="11" t="s">
        <v>177</v>
      </c>
      <c r="D227" s="12" t="s">
        <v>466</v>
      </c>
      <c r="E227" s="9">
        <v>1</v>
      </c>
      <c r="F227" s="9">
        <v>9800</v>
      </c>
      <c r="G227" s="9">
        <v>2900</v>
      </c>
      <c r="H227" s="9">
        <v>9800</v>
      </c>
      <c r="I227" s="9">
        <v>2900</v>
      </c>
      <c r="J227" s="16">
        <v>1</v>
      </c>
      <c r="K227" s="13">
        <f t="shared" si="19"/>
        <v>28.42</v>
      </c>
      <c r="L227" s="21" t="s">
        <v>100</v>
      </c>
      <c r="M227" s="2">
        <f>K227</f>
        <v>28.42</v>
      </c>
      <c r="N227">
        <f t="shared" si="17"/>
        <v>28.42</v>
      </c>
    </row>
    <row r="228" customHeight="1" spans="1:14">
      <c r="A228" s="7" t="s">
        <v>101</v>
      </c>
      <c r="B228" s="8"/>
      <c r="C228" s="8"/>
      <c r="D228" s="8"/>
      <c r="E228" s="8"/>
      <c r="F228" s="8"/>
      <c r="G228" s="8"/>
      <c r="H228" s="8"/>
      <c r="I228" s="8"/>
      <c r="J228" s="8"/>
      <c r="K228" s="8"/>
      <c r="L228" s="8"/>
      <c r="M228" s="2">
        <f t="shared" ref="M228:M233" si="20">K228</f>
        <v>0</v>
      </c>
      <c r="N228">
        <f t="shared" si="17"/>
        <v>0</v>
      </c>
    </row>
    <row r="229" customHeight="1" spans="1:14">
      <c r="A229" s="16">
        <v>188</v>
      </c>
      <c r="B229" s="10" t="s">
        <v>375</v>
      </c>
      <c r="C229" s="11" t="s">
        <v>360</v>
      </c>
      <c r="D229" s="12" t="s">
        <v>377</v>
      </c>
      <c r="E229" s="13" t="s">
        <v>361</v>
      </c>
      <c r="F229" s="9">
        <v>500</v>
      </c>
      <c r="G229" s="16">
        <v>1450</v>
      </c>
      <c r="H229" s="9">
        <v>500</v>
      </c>
      <c r="I229" s="16">
        <v>1450</v>
      </c>
      <c r="J229" s="16">
        <f>7*3</f>
        <v>21</v>
      </c>
      <c r="K229" s="13">
        <f>J229*G229*F229/1000000</f>
        <v>15.225</v>
      </c>
      <c r="L229" s="21" t="s">
        <v>101</v>
      </c>
      <c r="M229" s="12" t="s">
        <v>377</v>
      </c>
      <c r="N229">
        <f t="shared" si="17"/>
        <v>15.225</v>
      </c>
    </row>
    <row r="230" customHeight="1" spans="1:14">
      <c r="A230" s="16">
        <v>189</v>
      </c>
      <c r="B230" s="10" t="s">
        <v>375</v>
      </c>
      <c r="C230" s="11" t="s">
        <v>360</v>
      </c>
      <c r="D230" s="12" t="s">
        <v>59</v>
      </c>
      <c r="E230" s="13" t="s">
        <v>457</v>
      </c>
      <c r="F230" s="9">
        <v>500</v>
      </c>
      <c r="G230" s="16">
        <v>1450</v>
      </c>
      <c r="H230" s="9">
        <v>500</v>
      </c>
      <c r="I230" s="16">
        <v>1450</v>
      </c>
      <c r="J230" s="16">
        <f>4*3</f>
        <v>12</v>
      </c>
      <c r="K230" s="13">
        <f t="shared" ref="K230:K257" si="21">J230*G230*F230/1000000</f>
        <v>8.7</v>
      </c>
      <c r="L230" s="21" t="s">
        <v>101</v>
      </c>
      <c r="M230" s="2">
        <f t="shared" si="20"/>
        <v>8.7</v>
      </c>
      <c r="N230">
        <f t="shared" si="17"/>
        <v>8.7</v>
      </c>
    </row>
    <row r="231" customHeight="1" spans="1:14">
      <c r="A231" s="16">
        <v>190</v>
      </c>
      <c r="B231" s="10" t="s">
        <v>375</v>
      </c>
      <c r="C231" s="11" t="s">
        <v>366</v>
      </c>
      <c r="D231" s="12" t="s">
        <v>377</v>
      </c>
      <c r="E231" s="13" t="s">
        <v>361</v>
      </c>
      <c r="F231" s="16">
        <v>600</v>
      </c>
      <c r="G231" s="16">
        <v>1450</v>
      </c>
      <c r="H231" s="16">
        <v>600</v>
      </c>
      <c r="I231" s="16">
        <v>1450</v>
      </c>
      <c r="J231" s="16">
        <v>14</v>
      </c>
      <c r="K231" s="13">
        <f t="shared" si="21"/>
        <v>12.18</v>
      </c>
      <c r="L231" s="21" t="s">
        <v>101</v>
      </c>
      <c r="M231" s="12" t="s">
        <v>377</v>
      </c>
      <c r="N231">
        <f t="shared" si="17"/>
        <v>12.18</v>
      </c>
    </row>
    <row r="232" customHeight="1" spans="1:14">
      <c r="A232" s="16">
        <v>191</v>
      </c>
      <c r="B232" s="10" t="s">
        <v>375</v>
      </c>
      <c r="C232" s="11" t="s">
        <v>366</v>
      </c>
      <c r="D232" s="12" t="s">
        <v>59</v>
      </c>
      <c r="E232" s="13" t="s">
        <v>457</v>
      </c>
      <c r="F232" s="16">
        <v>600</v>
      </c>
      <c r="G232" s="16">
        <v>1450</v>
      </c>
      <c r="H232" s="16">
        <v>600</v>
      </c>
      <c r="I232" s="16">
        <v>1450</v>
      </c>
      <c r="J232" s="16">
        <v>8</v>
      </c>
      <c r="K232" s="13">
        <f t="shared" si="21"/>
        <v>6.96</v>
      </c>
      <c r="L232" s="21" t="s">
        <v>101</v>
      </c>
      <c r="M232" s="2">
        <f t="shared" si="20"/>
        <v>6.96</v>
      </c>
      <c r="N232">
        <f t="shared" si="17"/>
        <v>6.96</v>
      </c>
    </row>
    <row r="233" customHeight="1" spans="1:14">
      <c r="A233" s="16">
        <v>192</v>
      </c>
      <c r="B233" s="10" t="s">
        <v>375</v>
      </c>
      <c r="C233" s="11" t="s">
        <v>371</v>
      </c>
      <c r="D233" s="12" t="s">
        <v>377</v>
      </c>
      <c r="E233" s="13" t="s">
        <v>361</v>
      </c>
      <c r="F233" s="16">
        <v>900</v>
      </c>
      <c r="G233" s="16">
        <v>1450</v>
      </c>
      <c r="H233" s="16">
        <v>900</v>
      </c>
      <c r="I233" s="16">
        <v>1450</v>
      </c>
      <c r="J233" s="16">
        <f>7*3</f>
        <v>21</v>
      </c>
      <c r="K233" s="13">
        <f t="shared" si="21"/>
        <v>27.405</v>
      </c>
      <c r="L233" s="21" t="s">
        <v>101</v>
      </c>
      <c r="M233" s="12" t="s">
        <v>377</v>
      </c>
      <c r="N233">
        <f t="shared" si="17"/>
        <v>27.405</v>
      </c>
    </row>
    <row r="234" customHeight="1" spans="1:14">
      <c r="A234" s="16">
        <v>193</v>
      </c>
      <c r="B234" s="10" t="s">
        <v>375</v>
      </c>
      <c r="C234" s="11" t="s">
        <v>371</v>
      </c>
      <c r="D234" s="12" t="s">
        <v>59</v>
      </c>
      <c r="E234" s="13" t="s">
        <v>457</v>
      </c>
      <c r="F234" s="16">
        <v>900</v>
      </c>
      <c r="G234" s="16">
        <v>1450</v>
      </c>
      <c r="H234" s="16">
        <v>900</v>
      </c>
      <c r="I234" s="16">
        <v>1450</v>
      </c>
      <c r="J234" s="16">
        <f>4*3</f>
        <v>12</v>
      </c>
      <c r="K234" s="13">
        <f t="shared" si="21"/>
        <v>15.66</v>
      </c>
      <c r="L234" s="21" t="s">
        <v>101</v>
      </c>
      <c r="M234" s="2">
        <f t="shared" ref="M234:M259" si="22">K234</f>
        <v>15.66</v>
      </c>
      <c r="N234">
        <f t="shared" si="17"/>
        <v>15.66</v>
      </c>
    </row>
    <row r="235" customHeight="1" spans="1:14">
      <c r="A235" s="16">
        <v>194</v>
      </c>
      <c r="B235" s="10" t="s">
        <v>359</v>
      </c>
      <c r="C235" s="11" t="s">
        <v>371</v>
      </c>
      <c r="D235" s="12" t="s">
        <v>368</v>
      </c>
      <c r="E235" s="13" t="s">
        <v>361</v>
      </c>
      <c r="F235" s="16">
        <v>900</v>
      </c>
      <c r="G235" s="16">
        <v>1450</v>
      </c>
      <c r="H235" s="16">
        <v>900</v>
      </c>
      <c r="I235" s="16">
        <v>1450</v>
      </c>
      <c r="J235" s="16">
        <f>7*4</f>
        <v>28</v>
      </c>
      <c r="K235" s="13">
        <f t="shared" si="21"/>
        <v>36.54</v>
      </c>
      <c r="L235" s="21" t="s">
        <v>101</v>
      </c>
      <c r="M235" s="12" t="s">
        <v>368</v>
      </c>
      <c r="N235">
        <f t="shared" si="17"/>
        <v>36.54</v>
      </c>
    </row>
    <row r="236" customHeight="1" spans="1:14">
      <c r="A236" s="16">
        <v>195</v>
      </c>
      <c r="B236" s="10" t="s">
        <v>359</v>
      </c>
      <c r="C236" s="11" t="s">
        <v>371</v>
      </c>
      <c r="D236" s="12" t="s">
        <v>52</v>
      </c>
      <c r="E236" s="13" t="s">
        <v>457</v>
      </c>
      <c r="F236" s="16">
        <v>900</v>
      </c>
      <c r="G236" s="16">
        <v>1450</v>
      </c>
      <c r="H236" s="16">
        <v>900</v>
      </c>
      <c r="I236" s="16">
        <v>1450</v>
      </c>
      <c r="J236" s="16">
        <f>4*4</f>
        <v>16</v>
      </c>
      <c r="K236" s="13">
        <f t="shared" si="21"/>
        <v>20.88</v>
      </c>
      <c r="L236" s="21" t="s">
        <v>101</v>
      </c>
      <c r="M236" s="2">
        <f t="shared" si="22"/>
        <v>20.88</v>
      </c>
      <c r="N236">
        <f t="shared" si="17"/>
        <v>20.88</v>
      </c>
    </row>
    <row r="237" customHeight="1" spans="1:14">
      <c r="A237" s="16">
        <v>196</v>
      </c>
      <c r="B237" s="10" t="s">
        <v>359</v>
      </c>
      <c r="C237" s="11" t="s">
        <v>376</v>
      </c>
      <c r="D237" s="12" t="s">
        <v>52</v>
      </c>
      <c r="E237" s="13" t="s">
        <v>361</v>
      </c>
      <c r="F237" s="16">
        <v>1500</v>
      </c>
      <c r="G237" s="16">
        <v>1450</v>
      </c>
      <c r="H237" s="16">
        <v>1500</v>
      </c>
      <c r="I237" s="16">
        <v>1450</v>
      </c>
      <c r="J237" s="16">
        <f>7*2</f>
        <v>14</v>
      </c>
      <c r="K237" s="13">
        <f t="shared" si="21"/>
        <v>30.45</v>
      </c>
      <c r="L237" s="21" t="s">
        <v>101</v>
      </c>
      <c r="M237" s="12" t="s">
        <v>368</v>
      </c>
      <c r="N237">
        <f t="shared" si="17"/>
        <v>30.45</v>
      </c>
    </row>
    <row r="238" customHeight="1" spans="1:14">
      <c r="A238" s="16">
        <v>197</v>
      </c>
      <c r="B238" s="10" t="s">
        <v>359</v>
      </c>
      <c r="C238" s="11" t="s">
        <v>376</v>
      </c>
      <c r="D238" s="12" t="s">
        <v>52</v>
      </c>
      <c r="E238" s="13" t="s">
        <v>457</v>
      </c>
      <c r="F238" s="16">
        <v>1500</v>
      </c>
      <c r="G238" s="16">
        <v>1450</v>
      </c>
      <c r="H238" s="16">
        <v>1500</v>
      </c>
      <c r="I238" s="16">
        <v>1450</v>
      </c>
      <c r="J238" s="16">
        <f>4*2</f>
        <v>8</v>
      </c>
      <c r="K238" s="13">
        <f t="shared" si="21"/>
        <v>17.4</v>
      </c>
      <c r="L238" s="21" t="s">
        <v>101</v>
      </c>
      <c r="M238" s="2">
        <f t="shared" si="22"/>
        <v>17.4</v>
      </c>
      <c r="N238">
        <f t="shared" si="17"/>
        <v>17.4</v>
      </c>
    </row>
    <row r="239" customHeight="1" spans="1:14">
      <c r="A239" s="16">
        <v>198</v>
      </c>
      <c r="B239" s="10" t="s">
        <v>359</v>
      </c>
      <c r="C239" s="11" t="s">
        <v>378</v>
      </c>
      <c r="D239" s="12" t="s">
        <v>368</v>
      </c>
      <c r="E239" s="13" t="s">
        <v>361</v>
      </c>
      <c r="F239" s="16">
        <v>1600</v>
      </c>
      <c r="G239" s="16">
        <v>2150</v>
      </c>
      <c r="H239" s="16">
        <v>1600</v>
      </c>
      <c r="I239" s="16">
        <v>2150</v>
      </c>
      <c r="J239" s="16">
        <v>14</v>
      </c>
      <c r="K239" s="13">
        <f t="shared" si="21"/>
        <v>48.16</v>
      </c>
      <c r="L239" s="21" t="s">
        <v>101</v>
      </c>
      <c r="M239" s="12" t="s">
        <v>368</v>
      </c>
      <c r="N239">
        <f t="shared" si="17"/>
        <v>48.16</v>
      </c>
    </row>
    <row r="240" customHeight="1" spans="1:14">
      <c r="A240" s="16">
        <v>199</v>
      </c>
      <c r="B240" s="10" t="s">
        <v>359</v>
      </c>
      <c r="C240" s="11" t="s">
        <v>378</v>
      </c>
      <c r="D240" s="12" t="s">
        <v>52</v>
      </c>
      <c r="E240" s="13" t="s">
        <v>457</v>
      </c>
      <c r="F240" s="16">
        <v>1600</v>
      </c>
      <c r="G240" s="16">
        <v>2150</v>
      </c>
      <c r="H240" s="16">
        <v>1600</v>
      </c>
      <c r="I240" s="16">
        <v>2150</v>
      </c>
      <c r="J240" s="16">
        <v>8</v>
      </c>
      <c r="K240" s="13">
        <f t="shared" si="21"/>
        <v>27.52</v>
      </c>
      <c r="L240" s="21" t="s">
        <v>101</v>
      </c>
      <c r="M240" s="2">
        <f t="shared" si="22"/>
        <v>27.52</v>
      </c>
      <c r="N240">
        <f t="shared" si="17"/>
        <v>27.52</v>
      </c>
    </row>
    <row r="241" customHeight="1" spans="1:14">
      <c r="A241" s="16">
        <v>200</v>
      </c>
      <c r="B241" s="10" t="s">
        <v>359</v>
      </c>
      <c r="C241" s="11" t="s">
        <v>379</v>
      </c>
      <c r="D241" s="12" t="s">
        <v>362</v>
      </c>
      <c r="E241" s="13" t="s">
        <v>361</v>
      </c>
      <c r="F241" s="16">
        <v>2100</v>
      </c>
      <c r="G241" s="16">
        <v>2150</v>
      </c>
      <c r="H241" s="16">
        <v>2100</v>
      </c>
      <c r="I241" s="16">
        <v>2150</v>
      </c>
      <c r="J241" s="16">
        <f>7*4</f>
        <v>28</v>
      </c>
      <c r="K241" s="13">
        <f t="shared" si="21"/>
        <v>126.42</v>
      </c>
      <c r="L241" s="21" t="s">
        <v>101</v>
      </c>
      <c r="M241" s="12" t="s">
        <v>362</v>
      </c>
      <c r="N241">
        <f t="shared" si="17"/>
        <v>126.42</v>
      </c>
    </row>
    <row r="242" customHeight="1" spans="1:14">
      <c r="A242" s="16">
        <v>201</v>
      </c>
      <c r="B242" s="10" t="s">
        <v>359</v>
      </c>
      <c r="C242" s="11" t="s">
        <v>379</v>
      </c>
      <c r="D242" s="12" t="s">
        <v>53</v>
      </c>
      <c r="E242" s="13" t="s">
        <v>457</v>
      </c>
      <c r="F242" s="16">
        <v>2100</v>
      </c>
      <c r="G242" s="16">
        <v>2150</v>
      </c>
      <c r="H242" s="16">
        <v>2100</v>
      </c>
      <c r="I242" s="16">
        <v>2150</v>
      </c>
      <c r="J242" s="16">
        <f>4*4</f>
        <v>16</v>
      </c>
      <c r="K242" s="13">
        <f t="shared" si="21"/>
        <v>72.24</v>
      </c>
      <c r="L242" s="21" t="s">
        <v>101</v>
      </c>
      <c r="M242" s="2">
        <f t="shared" si="22"/>
        <v>72.24</v>
      </c>
      <c r="N242">
        <f t="shared" si="17"/>
        <v>72.24</v>
      </c>
    </row>
    <row r="243" customHeight="1" spans="1:14">
      <c r="A243" s="16">
        <v>202</v>
      </c>
      <c r="B243" s="10" t="s">
        <v>145</v>
      </c>
      <c r="C243" s="11" t="s">
        <v>374</v>
      </c>
      <c r="D243" s="12" t="s">
        <v>56</v>
      </c>
      <c r="E243" s="16" t="s">
        <v>458</v>
      </c>
      <c r="F243" s="16">
        <v>1100</v>
      </c>
      <c r="G243" s="16">
        <v>1500</v>
      </c>
      <c r="H243" s="16">
        <v>1100</v>
      </c>
      <c r="I243" s="16">
        <v>1500</v>
      </c>
      <c r="J243" s="16">
        <v>22</v>
      </c>
      <c r="K243" s="13">
        <f t="shared" si="21"/>
        <v>36.3</v>
      </c>
      <c r="L243" s="21" t="s">
        <v>101</v>
      </c>
      <c r="M243" s="12" t="s">
        <v>384</v>
      </c>
      <c r="N243">
        <f t="shared" si="17"/>
        <v>36.3</v>
      </c>
    </row>
    <row r="244" customHeight="1" spans="1:14">
      <c r="A244" s="16">
        <v>203</v>
      </c>
      <c r="B244" s="10" t="s">
        <v>402</v>
      </c>
      <c r="C244" s="11" t="s">
        <v>423</v>
      </c>
      <c r="D244" s="12" t="s">
        <v>51</v>
      </c>
      <c r="E244" s="16">
        <v>2</v>
      </c>
      <c r="F244" s="16">
        <v>900</v>
      </c>
      <c r="G244" s="16">
        <v>1400</v>
      </c>
      <c r="H244" s="16">
        <v>900</v>
      </c>
      <c r="I244" s="16">
        <v>1400</v>
      </c>
      <c r="J244" s="16">
        <v>2</v>
      </c>
      <c r="K244" s="13">
        <f t="shared" si="21"/>
        <v>2.52</v>
      </c>
      <c r="L244" s="21" t="s">
        <v>101</v>
      </c>
      <c r="M244" s="12" t="s">
        <v>404</v>
      </c>
      <c r="N244">
        <f t="shared" si="17"/>
        <v>2.52</v>
      </c>
    </row>
    <row r="245" customHeight="1" spans="1:14">
      <c r="A245" s="16">
        <v>204</v>
      </c>
      <c r="B245" s="10" t="s">
        <v>111</v>
      </c>
      <c r="C245" s="17" t="s">
        <v>406</v>
      </c>
      <c r="D245" s="12" t="s">
        <v>50</v>
      </c>
      <c r="E245" s="16" t="s">
        <v>461</v>
      </c>
      <c r="F245" s="16">
        <v>500</v>
      </c>
      <c r="G245" s="16">
        <v>1000</v>
      </c>
      <c r="H245" s="16">
        <v>500</v>
      </c>
      <c r="I245" s="16">
        <v>1000</v>
      </c>
      <c r="J245" s="16">
        <v>44</v>
      </c>
      <c r="K245" s="13">
        <f t="shared" si="21"/>
        <v>22</v>
      </c>
      <c r="L245" s="21" t="s">
        <v>101</v>
      </c>
      <c r="M245" s="2">
        <f t="shared" si="22"/>
        <v>22</v>
      </c>
      <c r="N245">
        <f t="shared" si="17"/>
        <v>22</v>
      </c>
    </row>
    <row r="246" customHeight="1" spans="1:14">
      <c r="A246" s="16">
        <v>205</v>
      </c>
      <c r="B246" s="11" t="s">
        <v>150</v>
      </c>
      <c r="C246" s="11" t="s">
        <v>389</v>
      </c>
      <c r="D246" s="12" t="s">
        <v>65</v>
      </c>
      <c r="E246" s="16" t="s">
        <v>461</v>
      </c>
      <c r="F246" s="16">
        <v>1200</v>
      </c>
      <c r="G246" s="16">
        <v>2350</v>
      </c>
      <c r="H246" s="16">
        <v>1200</v>
      </c>
      <c r="I246" s="16">
        <v>2350</v>
      </c>
      <c r="J246" s="16">
        <v>22</v>
      </c>
      <c r="K246" s="13">
        <f t="shared" si="21"/>
        <v>62.04</v>
      </c>
      <c r="L246" s="21" t="s">
        <v>101</v>
      </c>
      <c r="M246" s="12" t="s">
        <v>425</v>
      </c>
      <c r="N246">
        <f t="shared" si="17"/>
        <v>62.04</v>
      </c>
    </row>
    <row r="247" customHeight="1" spans="1:14">
      <c r="A247" s="16">
        <v>206</v>
      </c>
      <c r="B247" s="11" t="s">
        <v>157</v>
      </c>
      <c r="C247" s="11" t="s">
        <v>426</v>
      </c>
      <c r="D247" s="12" t="s">
        <v>71</v>
      </c>
      <c r="E247" s="16" t="s">
        <v>461</v>
      </c>
      <c r="F247" s="16">
        <v>3600</v>
      </c>
      <c r="G247" s="16">
        <v>2350</v>
      </c>
      <c r="H247" s="16">
        <v>3600</v>
      </c>
      <c r="I247" s="16">
        <v>2350</v>
      </c>
      <c r="J247" s="16">
        <v>22</v>
      </c>
      <c r="K247" s="13">
        <f t="shared" si="21"/>
        <v>186.12</v>
      </c>
      <c r="L247" s="21" t="s">
        <v>101</v>
      </c>
      <c r="M247" s="12" t="s">
        <v>392</v>
      </c>
      <c r="N247">
        <f t="shared" si="17"/>
        <v>186.12</v>
      </c>
    </row>
    <row r="248" customHeight="1" spans="1:14">
      <c r="A248" s="16">
        <v>207</v>
      </c>
      <c r="B248" s="11" t="s">
        <v>157</v>
      </c>
      <c r="C248" s="11" t="s">
        <v>427</v>
      </c>
      <c r="D248" s="12" t="s">
        <v>70</v>
      </c>
      <c r="E248" s="16" t="s">
        <v>461</v>
      </c>
      <c r="F248" s="16">
        <v>1500</v>
      </c>
      <c r="G248" s="16">
        <v>2350</v>
      </c>
      <c r="H248" s="16">
        <v>1500</v>
      </c>
      <c r="I248" s="16">
        <v>2350</v>
      </c>
      <c r="J248" s="16">
        <v>22</v>
      </c>
      <c r="K248" s="13">
        <f t="shared" si="21"/>
        <v>77.55</v>
      </c>
      <c r="L248" s="21" t="s">
        <v>101</v>
      </c>
      <c r="M248" s="12" t="s">
        <v>390</v>
      </c>
      <c r="N248">
        <f t="shared" si="17"/>
        <v>77.55</v>
      </c>
    </row>
    <row r="249" customHeight="1" spans="1:14">
      <c r="A249" s="16">
        <v>208</v>
      </c>
      <c r="B249" s="11" t="s">
        <v>157</v>
      </c>
      <c r="C249" s="11" t="s">
        <v>428</v>
      </c>
      <c r="D249" s="12" t="s">
        <v>70</v>
      </c>
      <c r="E249" s="16" t="s">
        <v>424</v>
      </c>
      <c r="F249" s="16">
        <v>1600</v>
      </c>
      <c r="G249" s="16">
        <v>2350</v>
      </c>
      <c r="H249" s="16">
        <v>1600</v>
      </c>
      <c r="I249" s="16">
        <v>2350</v>
      </c>
      <c r="J249" s="16">
        <v>22</v>
      </c>
      <c r="K249" s="13">
        <f t="shared" si="21"/>
        <v>82.72</v>
      </c>
      <c r="L249" s="21" t="s">
        <v>101</v>
      </c>
      <c r="M249" s="12" t="s">
        <v>390</v>
      </c>
      <c r="N249">
        <f t="shared" si="17"/>
        <v>82.72</v>
      </c>
    </row>
    <row r="250" customHeight="1" spans="1:14">
      <c r="A250" s="16">
        <v>209</v>
      </c>
      <c r="B250" s="11" t="s">
        <v>157</v>
      </c>
      <c r="C250" s="11" t="s">
        <v>429</v>
      </c>
      <c r="D250" s="12" t="s">
        <v>70</v>
      </c>
      <c r="E250" s="16" t="s">
        <v>424</v>
      </c>
      <c r="F250" s="16">
        <v>4800</v>
      </c>
      <c r="G250" s="16">
        <v>2350</v>
      </c>
      <c r="H250" s="16">
        <v>4800</v>
      </c>
      <c r="I250" s="16">
        <v>2350</v>
      </c>
      <c r="J250" s="16">
        <v>22</v>
      </c>
      <c r="K250" s="13">
        <f t="shared" si="21"/>
        <v>248.16</v>
      </c>
      <c r="L250" s="21" t="s">
        <v>101</v>
      </c>
      <c r="M250" s="12" t="s">
        <v>390</v>
      </c>
      <c r="N250">
        <f t="shared" si="17"/>
        <v>248.16</v>
      </c>
    </row>
    <row r="251" customHeight="1" spans="1:14">
      <c r="A251" s="16">
        <v>210</v>
      </c>
      <c r="B251" s="11" t="s">
        <v>150</v>
      </c>
      <c r="C251" s="11" t="s">
        <v>430</v>
      </c>
      <c r="D251" s="12" t="s">
        <v>65</v>
      </c>
      <c r="E251" s="16" t="s">
        <v>424</v>
      </c>
      <c r="F251" s="16">
        <v>700</v>
      </c>
      <c r="G251" s="16">
        <v>2350</v>
      </c>
      <c r="H251" s="16">
        <v>700</v>
      </c>
      <c r="I251" s="16">
        <v>2350</v>
      </c>
      <c r="J251" s="16">
        <v>40</v>
      </c>
      <c r="K251" s="13">
        <f t="shared" si="21"/>
        <v>65.8</v>
      </c>
      <c r="L251" s="21" t="s">
        <v>101</v>
      </c>
      <c r="M251" s="12" t="s">
        <v>425</v>
      </c>
      <c r="N251">
        <f t="shared" si="17"/>
        <v>65.8</v>
      </c>
    </row>
    <row r="252" customHeight="1" spans="1:14">
      <c r="A252" s="16">
        <v>211</v>
      </c>
      <c r="B252" s="11" t="s">
        <v>155</v>
      </c>
      <c r="C252" s="11" t="s">
        <v>431</v>
      </c>
      <c r="D252" s="12" t="s">
        <v>68</v>
      </c>
      <c r="E252" s="16" t="s">
        <v>433</v>
      </c>
      <c r="F252" s="16">
        <v>1200</v>
      </c>
      <c r="G252" s="16">
        <v>2400</v>
      </c>
      <c r="H252" s="16">
        <v>1200</v>
      </c>
      <c r="I252" s="16">
        <v>2400</v>
      </c>
      <c r="J252" s="16">
        <v>2</v>
      </c>
      <c r="K252" s="13">
        <f t="shared" si="21"/>
        <v>5.76</v>
      </c>
      <c r="L252" s="21" t="s">
        <v>101</v>
      </c>
      <c r="M252" s="2">
        <f t="shared" si="22"/>
        <v>5.76</v>
      </c>
      <c r="N252">
        <f t="shared" si="17"/>
        <v>5.76</v>
      </c>
    </row>
    <row r="253" customHeight="1" spans="1:14">
      <c r="A253" s="16">
        <v>212</v>
      </c>
      <c r="B253" s="12" t="s">
        <v>255</v>
      </c>
      <c r="C253" s="11" t="s">
        <v>177</v>
      </c>
      <c r="D253" s="12" t="s">
        <v>456</v>
      </c>
      <c r="E253" s="9">
        <v>1</v>
      </c>
      <c r="F253" s="9">
        <v>10500</v>
      </c>
      <c r="G253" s="9">
        <v>2900</v>
      </c>
      <c r="H253" s="9">
        <v>10500</v>
      </c>
      <c r="I253" s="9">
        <v>2900</v>
      </c>
      <c r="J253" s="16">
        <v>1</v>
      </c>
      <c r="K253" s="13">
        <f t="shared" si="21"/>
        <v>30.45</v>
      </c>
      <c r="L253" s="21" t="s">
        <v>101</v>
      </c>
      <c r="M253" s="2">
        <f t="shared" si="22"/>
        <v>30.45</v>
      </c>
      <c r="N253">
        <f t="shared" si="17"/>
        <v>30.45</v>
      </c>
    </row>
    <row r="254" customHeight="1" spans="1:14">
      <c r="A254" s="16">
        <v>213</v>
      </c>
      <c r="B254" s="12" t="s">
        <v>255</v>
      </c>
      <c r="C254" s="11" t="s">
        <v>177</v>
      </c>
      <c r="D254" s="12" t="s">
        <v>456</v>
      </c>
      <c r="E254" s="9">
        <v>1</v>
      </c>
      <c r="F254" s="9">
        <v>8650</v>
      </c>
      <c r="G254" s="9">
        <v>2900</v>
      </c>
      <c r="H254" s="9">
        <v>8650</v>
      </c>
      <c r="I254" s="9">
        <v>2900</v>
      </c>
      <c r="J254" s="16">
        <v>1</v>
      </c>
      <c r="K254" s="13">
        <f t="shared" si="21"/>
        <v>25.085</v>
      </c>
      <c r="L254" s="21" t="s">
        <v>101</v>
      </c>
      <c r="M254" s="2">
        <f t="shared" si="22"/>
        <v>25.085</v>
      </c>
      <c r="N254">
        <f t="shared" si="17"/>
        <v>25.085</v>
      </c>
    </row>
    <row r="255" customHeight="1" spans="1:14">
      <c r="A255" s="16">
        <v>214</v>
      </c>
      <c r="B255" s="12" t="s">
        <v>176</v>
      </c>
      <c r="C255" s="11" t="s">
        <v>177</v>
      </c>
      <c r="D255" s="12" t="s">
        <v>462</v>
      </c>
      <c r="E255" s="9">
        <v>1</v>
      </c>
      <c r="F255" s="9">
        <v>30600</v>
      </c>
      <c r="G255" s="9">
        <v>2900</v>
      </c>
      <c r="H255" s="9">
        <v>30600</v>
      </c>
      <c r="I255" s="9">
        <v>2900</v>
      </c>
      <c r="J255" s="16">
        <v>1</v>
      </c>
      <c r="K255" s="13">
        <f t="shared" si="21"/>
        <v>88.74</v>
      </c>
      <c r="L255" s="21" t="s">
        <v>101</v>
      </c>
      <c r="M255" s="2">
        <f t="shared" si="22"/>
        <v>88.74</v>
      </c>
      <c r="N255">
        <f t="shared" si="17"/>
        <v>88.74</v>
      </c>
    </row>
    <row r="256" customHeight="1" spans="1:14">
      <c r="A256" s="16">
        <v>215</v>
      </c>
      <c r="B256" s="12" t="s">
        <v>255</v>
      </c>
      <c r="C256" s="11" t="s">
        <v>177</v>
      </c>
      <c r="D256" s="12" t="s">
        <v>456</v>
      </c>
      <c r="E256" s="9">
        <v>1</v>
      </c>
      <c r="F256" s="9">
        <v>4800</v>
      </c>
      <c r="G256" s="9">
        <v>2900</v>
      </c>
      <c r="H256" s="9">
        <v>4800</v>
      </c>
      <c r="I256" s="9">
        <v>2900</v>
      </c>
      <c r="J256" s="16">
        <v>1</v>
      </c>
      <c r="K256" s="13">
        <f t="shared" si="21"/>
        <v>13.92</v>
      </c>
      <c r="L256" s="21" t="s">
        <v>101</v>
      </c>
      <c r="M256" s="2">
        <f t="shared" si="22"/>
        <v>13.92</v>
      </c>
      <c r="N256">
        <f t="shared" si="17"/>
        <v>13.92</v>
      </c>
    </row>
    <row r="257" customHeight="1" spans="1:14">
      <c r="A257" s="16">
        <v>216</v>
      </c>
      <c r="B257" s="25" t="s">
        <v>255</v>
      </c>
      <c r="C257" s="26" t="s">
        <v>177</v>
      </c>
      <c r="D257" s="25" t="s">
        <v>456</v>
      </c>
      <c r="E257" s="27">
        <v>1</v>
      </c>
      <c r="F257" s="27">
        <v>6450</v>
      </c>
      <c r="G257" s="27">
        <v>2900</v>
      </c>
      <c r="H257" s="27">
        <v>6450</v>
      </c>
      <c r="I257" s="27">
        <v>2900</v>
      </c>
      <c r="J257" s="34">
        <v>1</v>
      </c>
      <c r="K257" s="35">
        <f t="shared" si="21"/>
        <v>18.705</v>
      </c>
      <c r="L257" s="21" t="s">
        <v>101</v>
      </c>
      <c r="M257" s="2">
        <f t="shared" si="22"/>
        <v>18.705</v>
      </c>
      <c r="N257">
        <f t="shared" si="17"/>
        <v>18.705</v>
      </c>
    </row>
    <row r="258" customHeight="1" spans="1:14">
      <c r="A258" s="28" t="s">
        <v>102</v>
      </c>
      <c r="B258" s="29"/>
      <c r="C258" s="29"/>
      <c r="D258" s="29"/>
      <c r="E258" s="29"/>
      <c r="F258" s="29"/>
      <c r="G258" s="29"/>
      <c r="H258" s="29"/>
      <c r="I258" s="29"/>
      <c r="J258" s="29"/>
      <c r="K258" s="29"/>
      <c r="L258" s="29"/>
      <c r="M258" s="2">
        <f t="shared" si="22"/>
        <v>0</v>
      </c>
      <c r="N258">
        <f t="shared" si="17"/>
        <v>0</v>
      </c>
    </row>
    <row r="259" customHeight="1" spans="1:14">
      <c r="A259" s="30">
        <v>217</v>
      </c>
      <c r="B259" s="31" t="s">
        <v>359</v>
      </c>
      <c r="C259" s="32" t="s">
        <v>376</v>
      </c>
      <c r="D259" s="12" t="s">
        <v>52</v>
      </c>
      <c r="E259" s="33" t="s">
        <v>467</v>
      </c>
      <c r="F259" s="30">
        <v>1500</v>
      </c>
      <c r="G259" s="30">
        <v>1500</v>
      </c>
      <c r="H259" s="30">
        <v>1500</v>
      </c>
      <c r="I259" s="30">
        <v>1500</v>
      </c>
      <c r="J259" s="30">
        <v>6</v>
      </c>
      <c r="K259" s="36">
        <f>J259*G259*F259/1000000</f>
        <v>13.5</v>
      </c>
      <c r="L259" s="37" t="s">
        <v>102</v>
      </c>
      <c r="M259" s="12" t="s">
        <v>368</v>
      </c>
      <c r="N259">
        <f t="shared" si="17"/>
        <v>13.5</v>
      </c>
    </row>
    <row r="260" customHeight="1" spans="1:14">
      <c r="A260" s="16"/>
      <c r="B260" s="17"/>
      <c r="C260" s="17"/>
      <c r="D260" s="17"/>
      <c r="E260" s="16"/>
      <c r="F260" s="16"/>
      <c r="G260" s="16"/>
      <c r="H260" s="16"/>
      <c r="I260" s="16"/>
      <c r="J260" s="16"/>
      <c r="K260" s="16"/>
      <c r="L260" s="21"/>
      <c r="N260">
        <f t="shared" si="17"/>
        <v>0</v>
      </c>
    </row>
    <row r="261" customHeight="1" spans="13:14">
      <c r="M261" s="2">
        <f>SUM(M4:M260)</f>
        <v>1108.28</v>
      </c>
      <c r="N261" s="2">
        <f>SUM(N4:N260)</f>
        <v>19761.8</v>
      </c>
    </row>
    <row r="271" customHeight="1" spans="2:2">
      <c r="B271" t="s">
        <v>468</v>
      </c>
    </row>
  </sheetData>
  <autoFilter ref="A1:N261">
    <extLst/>
  </autoFilter>
  <mergeCells count="10">
    <mergeCell ref="A1:L1"/>
    <mergeCell ref="A3:L3"/>
    <mergeCell ref="A34:L34"/>
    <mergeCell ref="A52:L52"/>
    <mergeCell ref="A86:L86"/>
    <mergeCell ref="A117:L117"/>
    <mergeCell ref="A170:L170"/>
    <mergeCell ref="A200:L200"/>
    <mergeCell ref="A228:L228"/>
    <mergeCell ref="A258:L2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HMJ</cp:lastModifiedBy>
  <dcterms:created xsi:type="dcterms:W3CDTF">2022-06-01T07:32:00Z</dcterms:created>
  <dcterms:modified xsi:type="dcterms:W3CDTF">2024-07-29T07:13:56Z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2052-12.1.0.16929</vt:lpwstr>
  </property>
</Properties>
</file>