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8" windowHeight="11975"/>
  </bookViews>
  <sheets>
    <sheet name="01、价格清单" sheetId="1" r:id="rId1"/>
    <sheet name="02、栏杆综合单价分析表 " sheetId="8" r:id="rId2"/>
    <sheet name="03、铝合金百综合单价分析表" sheetId="10" r:id="rId3"/>
    <sheet name="04、栏杆工程量计算书" sheetId="5" r:id="rId4"/>
    <sheet name="05、百叶工程量计算书" sheetId="9" r:id="rId5"/>
    <sheet name="Sheet1" sheetId="11" r:id="rId6"/>
  </sheets>
  <externalReferences>
    <externalReference r:id="rId7"/>
  </externalReferences>
  <definedNames>
    <definedName name="_xlnm._FilterDatabase" localSheetId="3" hidden="1">'04、栏杆工程量计算书'!$A$2:$I$206</definedName>
    <definedName name="_xlnm._FilterDatabase" localSheetId="4" hidden="1">'05、百叶工程量计算书'!$A$1:$L$80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<sst xmlns="http://schemas.openxmlformats.org/spreadsheetml/2006/main" count="1381" uniqueCount="199">
  <si>
    <t>序号</t>
  </si>
  <si>
    <t>名称</t>
  </si>
  <si>
    <t>单位</t>
  </si>
  <si>
    <t>工程量</t>
  </si>
  <si>
    <t>不含税综合单价</t>
  </si>
  <si>
    <t>增值税税率</t>
  </si>
  <si>
    <t>含税造价</t>
  </si>
  <si>
    <t>备注</t>
  </si>
  <si>
    <t>阳台栏杆900mm高，总长度＞4m</t>
  </si>
  <si>
    <t>m</t>
  </si>
  <si>
    <t>面管、立柱、扶手40*40*1.2镀锌方钢、横管32*32*1.0镀锌方钢管、竖杆19*19*0.8镀锌方钢管，含埋件、盖板等配件（成活价格，详见图纸设计），按要求做好成品防护措施，安装时带保护膜，交房前拆除清理。</t>
  </si>
  <si>
    <t>阳台栏杆900mm高，总长度≤4m</t>
  </si>
  <si>
    <t>面管、立柱、扶手40*40*1.2镀锌方钢、横管32*32*1.0镀锌方钢管、竖杆19*19*0.8镀锌方钢管，含埋件、盖板等配件（成活价格，详见图纸设计），按要求做好成品防护措施。</t>
  </si>
  <si>
    <t>空调栏杆600mm高</t>
  </si>
  <si>
    <t>面管、横管、立柱25*25*1.0镀锌方钢管、竖杆16*16*0.8镀锌方钢管，含埋件、盖板等配件（成活价格，详见图纸设计），按要求做好成品防护措施，安装时带保护膜，交房前拆除清理。</t>
  </si>
  <si>
    <t>飘窗栏杆650mm高</t>
  </si>
  <si>
    <t>连廊栏杆1100mm</t>
  </si>
  <si>
    <t>面管、立柱、扶手40*40*1.5镀锌方钢、横管32*32*1.2镀锌方钢管、竖杆25*25*1.0镀锌方钢管，含埋件、盖板等配件（成活价格，详见图纸设计），按要求做好成品防护措施，安装时带保护膜，交房前拆除清理。</t>
  </si>
  <si>
    <t>楼梯栏杆900mm</t>
  </si>
  <si>
    <t>成品塑木扶手，立柱40*40*1.5镀锌方钢管、横杆32*32*1.0镀锌方钢管、竖杆19*19*0.8镀锌方钢管，含埋件、盖板等配件（成活价格，详见图纸设计），按要求做好成品防护措施，安装时带保护膜，交房前拆除清理。</t>
  </si>
  <si>
    <t>楼梯靠墙扶手900mm</t>
  </si>
  <si>
    <t>成品塑木扶手，25*1.0镀锌圆钢支架，含埋件、盖板等配件（成活价格，详见图纸设计），按要求做好成品防护措施，安装时带保护膜，交房前拆除清理。</t>
  </si>
  <si>
    <t>50系列普铝合金固定百叶窗</t>
  </si>
  <si>
    <t>m2</t>
  </si>
  <si>
    <t>铝管38*25*1.0铝合金固定框、铝管38*25*1.0开启扇框、30*15*1.0H型铝型材链接、70*0.8厚铝合金百叶，含成品不锈钢插销、合页、埋件等配件（成活价格，详见图纸设计）</t>
  </si>
  <si>
    <t>50系列普铝合金风井百叶窗</t>
  </si>
  <si>
    <t>50系列普铝合金开启百叶</t>
  </si>
  <si>
    <t>合价（元）</t>
  </si>
  <si>
    <t>最终含税13%暂定总价</t>
  </si>
  <si>
    <t>/</t>
  </si>
  <si>
    <t>阳台栏杆900mm高（总长度＞4m）栏杆综合单价分析表（样表）</t>
  </si>
  <si>
    <t>栏杆类型</t>
  </si>
  <si>
    <t>税前综合单价组成</t>
  </si>
  <si>
    <t>组成名称</t>
  </si>
  <si>
    <t>每米消耗量</t>
  </si>
  <si>
    <t>不含税单价</t>
  </si>
  <si>
    <t>每米合价</t>
  </si>
  <si>
    <t>阳台栏杆1100mm高（总长度＞4m）</t>
  </si>
  <si>
    <t>劳务费（一）</t>
  </si>
  <si>
    <t>加工制作费</t>
  </si>
  <si>
    <t>劳务费（二）</t>
  </si>
  <si>
    <t>现场安装费</t>
  </si>
  <si>
    <t>运输、保护费（三）</t>
  </si>
  <si>
    <t>运输、成品保护费</t>
  </si>
  <si>
    <t>主材费（四）</t>
  </si>
  <si>
    <t>□40*40*1.2镀锌方钢管</t>
  </si>
  <si>
    <t>kg</t>
  </si>
  <si>
    <t>型号根据设计完善</t>
  </si>
  <si>
    <t>□32*32*1.0镀锌方钢管</t>
  </si>
  <si>
    <t>□19*19*0.8镀锌方钢管</t>
  </si>
  <si>
    <t>静电喷涂（颜色以选样为准）</t>
  </si>
  <si>
    <t>小计</t>
  </si>
  <si>
    <t>辅材费（五）</t>
  </si>
  <si>
    <t>膨胀螺栓</t>
  </si>
  <si>
    <t>套</t>
  </si>
  <si>
    <t>3厚热镀锌钢板膨胀螺栓固定</t>
  </si>
  <si>
    <t>个</t>
  </si>
  <si>
    <t>连接件</t>
  </si>
  <si>
    <t>装饰盖</t>
  </si>
  <si>
    <t>其他辅材</t>
  </si>
  <si>
    <t>包含成品保护（塑料膜）等</t>
  </si>
  <si>
    <t>综合费（六）</t>
  </si>
  <si>
    <t>六=（一+二+三+四+五）*w%</t>
  </si>
  <si>
    <t>税前综合单价</t>
  </si>
  <si>
    <t>七=一+二+三+四+五+六</t>
  </si>
  <si>
    <t>其中</t>
  </si>
  <si>
    <t>材料单价=四+五</t>
  </si>
  <si>
    <t>安装单价=一+二+三+六</t>
  </si>
  <si>
    <t>备注：施工单位可依据实际发生，在此表格基础上增减项，但格式须与此表格保持一致。</t>
  </si>
  <si>
    <t>阳台栏杆900mm高（总长度≤4m）栏杆综合单价分析表（样表）</t>
  </si>
  <si>
    <t>阳台栏杆1100mm高（总长度≤4m）</t>
  </si>
  <si>
    <t>飘窗栏杆650mm高栏杆综合单价分析表（样表）</t>
  </si>
  <si>
    <t>阳台预留洞栏杆1100mm高</t>
  </si>
  <si>
    <t>□25*25*1.0镀锌方钢管</t>
  </si>
  <si>
    <t>□16*16*0.8镀锌方钢管</t>
  </si>
  <si>
    <t>空调栏杆600mm高栏杆综合单价分析表（样表）</t>
  </si>
  <si>
    <t>连廊1100mm栏杆综合单价分析表（样表）</t>
  </si>
  <si>
    <t>楼梯栏杆</t>
  </si>
  <si>
    <t>□40*40*1.5镀锌方钢管</t>
  </si>
  <si>
    <t>□30*30*1.2镀锌方钢管</t>
  </si>
  <si>
    <t>成品法兰盘装饰盖板</t>
  </si>
  <si>
    <t>楼梯900mm栏杆综合单价分析表（样表）</t>
  </si>
  <si>
    <t>成品塑木扶手</t>
  </si>
  <si>
    <t>靠墙扶手综合单价分析表（样表）</t>
  </si>
  <si>
    <t>25*1.0镀锌圆钢</t>
  </si>
  <si>
    <t>50系列普铝合金固定百叶窗全费用单价分析表（样表，每个型号均须报价）</t>
  </si>
  <si>
    <t>百叶窗编号</t>
  </si>
  <si>
    <t>洞口尺寸（宽度*高度）</t>
  </si>
  <si>
    <t>百叶窗净尺寸mm</t>
  </si>
  <si>
    <t>单樘(净尺寸)面积（m2）</t>
  </si>
  <si>
    <t>包含项目</t>
  </si>
  <si>
    <t>材料名称</t>
  </si>
  <si>
    <t>每平方米消耗量</t>
  </si>
  <si>
    <t>单价（元）</t>
  </si>
  <si>
    <t>合计（元）</t>
  </si>
  <si>
    <t>元</t>
  </si>
  <si>
    <t>外框面积</t>
  </si>
  <si>
    <t>型材</t>
  </si>
  <si>
    <t>38*25*1.0铝管（粉末喷涂）</t>
  </si>
  <si>
    <t>30*15*1.0H型铝型材（粉末喷涂）</t>
  </si>
  <si>
    <t>70*0.8mm防雨百叶片（粉末喷涂）</t>
  </si>
  <si>
    <t>五金</t>
  </si>
  <si>
    <t>不锈钢合页插销</t>
  </si>
  <si>
    <t>辅助材料</t>
  </si>
  <si>
    <t>密封胶</t>
  </si>
  <si>
    <t>支</t>
  </si>
  <si>
    <t>发泡剂</t>
  </si>
  <si>
    <t>安装辅材</t>
  </si>
  <si>
    <r>
      <rPr>
        <sz val="10"/>
        <color rgb="FF000000"/>
        <rFont val="Calibri"/>
        <charset val="134"/>
      </rPr>
      <t>m</t>
    </r>
    <r>
      <rPr>
        <vertAlign val="superscript"/>
        <sz val="10"/>
        <color rgb="FF000000"/>
        <rFont val="Calibri"/>
        <charset val="134"/>
      </rPr>
      <t>2</t>
    </r>
  </si>
  <si>
    <t>包装、保护</t>
  </si>
  <si>
    <t>运输费</t>
  </si>
  <si>
    <t>直接费小计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</si>
  <si>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+(5)</t>
    </r>
  </si>
  <si>
    <t>综合费</t>
  </si>
  <si>
    <t>（6）*</t>
  </si>
  <si>
    <t>包含措施费、管理费、利润、规费等其他全部费用</t>
  </si>
  <si>
    <t>不含增值税综合单价</t>
  </si>
  <si>
    <t>（6）+（7）</t>
  </si>
  <si>
    <t>50系列普铝合风井百叶窗全费用单价分析表（样表，每个型号均须报价）</t>
  </si>
  <si>
    <t>50系列普铝合金开启百叶全费用单价分析表（样表，每个型号均须报价）</t>
  </si>
  <si>
    <t>栏杆明细计算书</t>
  </si>
  <si>
    <t>楼栋号</t>
  </si>
  <si>
    <t>型号</t>
  </si>
  <si>
    <t>长度（m）</t>
  </si>
  <si>
    <t>个数</t>
  </si>
  <si>
    <t>层数</t>
  </si>
  <si>
    <t>总长度（m）</t>
  </si>
  <si>
    <t>1#楼</t>
  </si>
  <si>
    <t>阳台栏杆900mm高，总长度5.1m</t>
  </si>
  <si>
    <t>面管、立柱、扶手40*40*1.5镀锌方钢、横管32*32*1.2镀锌方钢管、竖杆25*25*1.0镀锌方钢管，含埋件、盖板等配件（成活价格，详见图纸设计）</t>
  </si>
  <si>
    <t>阳台栏杆900mm高，总长度8.5m</t>
  </si>
  <si>
    <t>横杆25*25*1.0镀锌方钢管、竖杆20*20*0.8镀锌方钢管，含埋件、盖板等配件（成活价格，详见图纸设计）</t>
  </si>
  <si>
    <t>面管、立柱40*40*1.5镀锌方钢，竖杆、横管25*25*1.0镀锌方钢管，含埋件、盖板等配件（成活价格，详见图纸设计）</t>
  </si>
  <si>
    <t>面管、立柱40*40*1.5镀锌方钢，竖杆、横管25*25*1.2镀锌方钢管，含埋件、盖板等配件（成活价格，详见图纸设计）</t>
  </si>
  <si>
    <t>2#楼</t>
  </si>
  <si>
    <t>阳台栏杆900mm高，总长度4.7m</t>
  </si>
  <si>
    <t>阳台栏杆900mm高，总长度2.2m</t>
  </si>
  <si>
    <t>3楼</t>
  </si>
  <si>
    <t>阳台栏杆900mm高，总长度4.8m</t>
  </si>
  <si>
    <t>阳台栏杆900mm高，总长度4.4m</t>
  </si>
  <si>
    <t>阳台栏杆900mm高，总长度4.6m</t>
  </si>
  <si>
    <t>阳台栏杆900mm高，总长度9.1m</t>
  </si>
  <si>
    <t>卧室阳台栏杆900mm高，总长度2.3m</t>
  </si>
  <si>
    <t>卧室阳台栏杆900mm高，总长度1.8m</t>
  </si>
  <si>
    <t>内院阳台栏杆900mm高，总长度1.8m</t>
  </si>
  <si>
    <t>5#楼</t>
  </si>
  <si>
    <t>阳台栏杆900mm高，总长度6.5m</t>
  </si>
  <si>
    <t>阳台栏杆900mm高，总长度5.4m</t>
  </si>
  <si>
    <t>开敞阳台栏杆900mm高，总长度2.2m</t>
  </si>
  <si>
    <t>开敞阳台栏杆900mm高，总长度1.55m</t>
  </si>
  <si>
    <t>开敞阳台栏杆900mm高，总长度1.5m</t>
  </si>
  <si>
    <t>6#楼</t>
  </si>
  <si>
    <t>开敞阳台栏杆900mm高，总长度3.5m</t>
  </si>
  <si>
    <t>卧室开敞阳台栏杆900mm高，总长度2.3m</t>
  </si>
  <si>
    <t>卧室开敞阳台栏杆900mm高，总长度1.8m</t>
  </si>
  <si>
    <t>7#楼</t>
  </si>
  <si>
    <t>设备平台栏杆600mm高</t>
  </si>
  <si>
    <t>卧室开敞阳台栏杆900mm高，总长度1.5m</t>
  </si>
  <si>
    <t>开敞阳台栏杆900mm高，总长度1.6m</t>
  </si>
  <si>
    <t>8#楼</t>
  </si>
  <si>
    <t>9#楼</t>
  </si>
  <si>
    <t>1#楼梯</t>
  </si>
  <si>
    <t>次要出入口</t>
  </si>
  <si>
    <t>楼梯靠墙扶手</t>
  </si>
  <si>
    <t>1#、2#楼梯</t>
  </si>
  <si>
    <t>3#楼</t>
  </si>
  <si>
    <t>3#楼梯</t>
  </si>
  <si>
    <t>4#楼梯</t>
  </si>
  <si>
    <t>5#楼梯</t>
  </si>
  <si>
    <t>6#楼梯</t>
  </si>
  <si>
    <t>百叶明细计算书</t>
  </si>
  <si>
    <t>楼号</t>
  </si>
  <si>
    <t>高度（m）</t>
  </si>
  <si>
    <t>宽度（m）</t>
  </si>
  <si>
    <t>总面积（㎡）</t>
  </si>
  <si>
    <t>BYC-1</t>
  </si>
  <si>
    <t>开启百叶</t>
  </si>
  <si>
    <t>BYC-2</t>
  </si>
  <si>
    <t>BYC-3</t>
  </si>
  <si>
    <t>BYC-4</t>
  </si>
  <si>
    <t>风井百叶窗</t>
  </si>
  <si>
    <t>BYC-5</t>
  </si>
  <si>
    <t>BYC-6</t>
  </si>
  <si>
    <t>BYC-7</t>
  </si>
  <si>
    <t>BYC-2a</t>
  </si>
  <si>
    <t>BYC-2b</t>
  </si>
  <si>
    <t>BYC-2c</t>
  </si>
  <si>
    <t>BYC-6b</t>
  </si>
  <si>
    <t>BYC-8</t>
  </si>
  <si>
    <t>BYC-9</t>
  </si>
  <si>
    <t>BYC-10</t>
  </si>
  <si>
    <t>BYC-11</t>
  </si>
  <si>
    <t>BYC-12</t>
  </si>
  <si>
    <t>BYC-13</t>
  </si>
  <si>
    <t>BYC-14</t>
  </si>
  <si>
    <t>材料</t>
  </si>
  <si>
    <t>单价</t>
  </si>
  <si>
    <t>重量</t>
  </si>
  <si>
    <t>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</si>
</sst>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rgb="FF000000"/>
      <name val="Calibri"/>
      <charset val="134"/>
    </font>
    <font>
      <sz val="10.5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6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9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0" fontId="4" fillId="0" borderId="1" xfId="49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49" applyFont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1" fillId="0" borderId="2" xfId="49" applyFont="1" applyBorder="1" applyAlignment="1">
      <alignment horizontal="center" vertical="center" wrapText="1"/>
    </xf>
    <xf numFmtId="0" fontId="11" fillId="0" borderId="3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vertical="center" wrapText="1"/>
    </xf>
    <xf numFmtId="0" fontId="11" fillId="0" borderId="1" xfId="49" applyFont="1" applyBorder="1" applyAlignment="1">
      <alignment vertical="center" wrapText="1"/>
    </xf>
    <xf numFmtId="0" fontId="11" fillId="0" borderId="1" xfId="49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2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right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right" vertical="center" wrapText="1"/>
    </xf>
    <xf numFmtId="9" fontId="4" fillId="0" borderId="1" xfId="49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20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9" fontId="0" fillId="0" borderId="1" xfId="3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177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huminjie1314520\FileStorage\File\2024-02\&#27931;&#23425;&#23665;&#27700;&#25991;&#33489;&#39033;&#30446;1#&#12289;2#&#12289;9#&#12289;10#&#27004;&#26639;&#26438;&#30334;&#21494;&#25307;&#26631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单"/>
      <sheetName val="栏杆综合单价分析表 "/>
      <sheetName val="百叶综合单价分析表"/>
      <sheetName val="栏杆明细计算书"/>
      <sheetName val="百叶明细计算书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topLeftCell="A8" workbookViewId="0">
      <selection activeCell="J13" sqref="J13"/>
    </sheetView>
  </sheetViews>
  <sheetFormatPr defaultColWidth="9" defaultRowHeight="14.4"/>
  <cols>
    <col min="1" max="1" width="7" style="21" customWidth="1"/>
    <col min="2" max="2" width="19" style="21" customWidth="1"/>
    <col min="3" max="3" width="8.5" style="21" customWidth="1"/>
    <col min="4" max="4" width="9.5" style="21" customWidth="1"/>
    <col min="5" max="5" width="19" style="79" customWidth="1"/>
    <col min="6" max="6" width="16.5" style="21" customWidth="1"/>
    <col min="7" max="7" width="13.8796296296296" style="11" customWidth="1"/>
    <col min="8" max="8" width="44.5" style="21" customWidth="1"/>
    <col min="9" max="9" width="9.66666666666667" style="21"/>
    <col min="10" max="11" width="12.8796296296296" style="11" customWidth="1"/>
    <col min="12" max="12" width="9" style="23"/>
    <col min="13" max="13" width="12.8888888888889" style="21"/>
    <col min="14" max="14" width="9" style="21"/>
    <col min="15" max="15" width="12.8888888888889" style="21"/>
    <col min="16" max="16" width="11.7777777777778" style="21"/>
    <col min="17" max="16384" width="9" style="21"/>
  </cols>
  <sheetData>
    <row r="1" ht="43" customHeight="1" spans="1:8">
      <c r="A1" s="80"/>
      <c r="B1" s="80"/>
      <c r="C1" s="80"/>
      <c r="D1" s="80"/>
      <c r="E1" s="81"/>
      <c r="F1" s="80"/>
      <c r="G1" s="80"/>
      <c r="H1" s="80"/>
    </row>
    <row r="2" ht="47" customHeight="1" spans="1:11">
      <c r="A2" s="82" t="s">
        <v>0</v>
      </c>
      <c r="B2" s="82" t="s">
        <v>1</v>
      </c>
      <c r="C2" s="82" t="s">
        <v>2</v>
      </c>
      <c r="D2" s="82" t="s">
        <v>3</v>
      </c>
      <c r="E2" s="83" t="s">
        <v>4</v>
      </c>
      <c r="F2" s="84" t="s">
        <v>5</v>
      </c>
      <c r="G2" s="84" t="s">
        <v>6</v>
      </c>
      <c r="H2" s="82" t="s">
        <v>7</v>
      </c>
      <c r="J2" s="98"/>
      <c r="K2" s="99"/>
    </row>
    <row r="3" ht="92" customHeight="1" spans="1:8">
      <c r="A3" s="15">
        <v>1</v>
      </c>
      <c r="B3" s="26" t="s">
        <v>8</v>
      </c>
      <c r="C3" s="15" t="s">
        <v>9</v>
      </c>
      <c r="D3" s="15">
        <f>'04、栏杆工程量计算书'!H3+'04、栏杆工程量计算书'!H4+'04、栏杆工程量计算书'!H13+'04、栏杆工程量计算书'!H15+'04、栏杆工程量计算书'!H24+'04、栏杆工程量计算书'!H25+'04、栏杆工程量计算书'!H26+'04、栏杆工程量计算书'!H27+'04、栏杆工程量计算书'!H28+'04、栏杆工程量计算书'!H29+'04、栏杆工程量计算书'!H30+'04、栏杆工程量计算书'!H50+'04、栏杆工程量计算书'!H51+'04、栏杆工程量计算书'!H61+'04、栏杆工程量计算书'!H62+'04、栏杆工程量计算书'!H63+'04、栏杆工程量计算书'!H64+'04、栏杆工程量计算书'!H65+'04、栏杆工程量计算书'!H66+'04、栏杆工程量计算书'!H85+'04、栏杆工程量计算书'!H86+'04、栏杆工程量计算书'!H98+'04、栏杆工程量计算书'!H99+'04、栏杆工程量计算书'!H111+'04、栏杆工程量计算书'!H112</f>
        <v>3536.2</v>
      </c>
      <c r="E3" s="16">
        <f>'02、栏杆综合单价分析表 '!H19</f>
        <v>138.53760632</v>
      </c>
      <c r="F3" s="85">
        <v>0.13</v>
      </c>
      <c r="G3" s="16">
        <f t="shared" ref="G3:G12" si="0">D3*E3*(1+F3)</f>
        <v>553583.252319726</v>
      </c>
      <c r="H3" s="86" t="s">
        <v>10</v>
      </c>
    </row>
    <row r="4" ht="81" customHeight="1" spans="1:8">
      <c r="A4" s="15">
        <v>2</v>
      </c>
      <c r="B4" s="26" t="s">
        <v>11</v>
      </c>
      <c r="C4" s="15" t="s">
        <v>9</v>
      </c>
      <c r="D4" s="15">
        <f>'04、栏杆工程量计算书'!H14+'04、栏杆工程量计算书'!H16+'04、栏杆工程量计算书'!H31+'04、栏杆工程量计算书'!H32+'04、栏杆工程量计算书'!H33+'04、栏杆工程量计算书'!H40+'04、栏杆工程量计算书'!H54+'04、栏杆工程量计算书'!H55+'04、栏杆工程量计算书'!H56+'04、栏杆工程量计算书'!H57+'04、栏杆工程量计算书'!H67+'04、栏杆工程量计算书'!H68+'04、栏杆工程量计算书'!H69+'04、栏杆工程量计算书'!H70+'04、栏杆工程量计算书'!H92+'04、栏杆工程量计算书'!H93+'04、栏杆工程量计算书'!H94+'04、栏杆工程量计算书'!H95+'04、栏杆工程量计算书'!H96+'04、栏杆工程量计算书'!H97+'04、栏杆工程量计算书'!H105+'04、栏杆工程量计算书'!H106+'04、栏杆工程量计算书'!H107+'04、栏杆工程量计算书'!H108+'04、栏杆工程量计算书'!H109+'04、栏杆工程量计算书'!H110+'04、栏杆工程量计算书'!H118+'04、栏杆工程量计算书'!H119+'04、栏杆工程量计算书'!H120+'04、栏杆工程量计算书'!H121+'04、栏杆工程量计算书'!H122+'04、栏杆工程量计算书'!H123</f>
        <v>1226.7</v>
      </c>
      <c r="E4" s="16">
        <f>'02、栏杆综合单价分析表 '!H41</f>
        <v>123.46336632</v>
      </c>
      <c r="F4" s="85">
        <v>0.13</v>
      </c>
      <c r="G4" s="16">
        <f t="shared" si="0"/>
        <v>171141.337955161</v>
      </c>
      <c r="H4" s="86" t="s">
        <v>12</v>
      </c>
    </row>
    <row r="5" ht="92" customHeight="1" spans="1:8">
      <c r="A5" s="15">
        <v>3</v>
      </c>
      <c r="B5" s="15" t="s">
        <v>13</v>
      </c>
      <c r="C5" s="15" t="s">
        <v>9</v>
      </c>
      <c r="D5" s="15">
        <f>'04、栏杆工程量计算书'!H7+'04、栏杆工程量计算书'!H8+'04、栏杆工程量计算书'!H9+'04、栏杆工程量计算书'!H10+'04、栏杆工程量计算书'!H21+'04、栏杆工程量计算书'!H22+'04、栏杆工程量计算书'!H37+'04、栏杆工程量计算书'!H38+'04、栏杆工程量计算书'!H39+'04、栏杆工程量计算书'!H41+'04、栏杆工程量计算书'!H42+'04、栏杆工程量计算书'!H43+'04、栏杆工程量计算书'!H44+'04、栏杆工程量计算书'!H45+'04、栏杆工程量计算书'!H46+'04、栏杆工程量计算书'!H58+'04、栏杆工程量计算书'!H59+'04、栏杆工程量计算书'!H60+'04、栏杆工程量计算书'!H74+'04、栏杆工程量计算书'!H75+'04、栏杆工程量计算书'!H76+'04、栏杆工程量计算书'!H77+'04、栏杆工程量计算书'!H78+'04、栏杆工程量计算书'!H79+'04、栏杆工程量计算书'!H80+'04、栏杆工程量计算书'!H89+'04、栏杆工程量计算书'!H90+'04、栏杆工程量计算书'!H91+'04、栏杆工程量计算书'!H102+'04、栏杆工程量计算书'!H103+'04、栏杆工程量计算书'!H104+'04、栏杆工程量计算书'!H115+'04、栏杆工程量计算书'!H116+'04、栏杆工程量计算书'!H117</f>
        <v>1542.08</v>
      </c>
      <c r="E5" s="16">
        <f>'02、栏杆综合单价分析表 '!H83</f>
        <v>92.40021288</v>
      </c>
      <c r="F5" s="85">
        <v>0.13</v>
      </c>
      <c r="G5" s="16">
        <f t="shared" si="0"/>
        <v>161012.027914129</v>
      </c>
      <c r="H5" s="86" t="s">
        <v>14</v>
      </c>
    </row>
    <row r="6" ht="87" customHeight="1" spans="1:8">
      <c r="A6" s="15">
        <v>4</v>
      </c>
      <c r="B6" s="15" t="s">
        <v>15</v>
      </c>
      <c r="C6" s="15" t="s">
        <v>9</v>
      </c>
      <c r="D6" s="16">
        <f>'04、栏杆工程量计算书'!H5+'04、栏杆工程量计算书'!H6+'04、栏杆工程量计算书'!H17+'04、栏杆工程量计算书'!H18+'04、栏杆工程量计算书'!H19+'04、栏杆工程量计算书'!H20+'04、栏杆工程量计算书'!H34+'04、栏杆工程量计算书'!H35+'04、栏杆工程量计算书'!H36+'04、栏杆工程量计算书'!H52+'04、栏杆工程量计算书'!H53+'04、栏杆工程量计算书'!H71+'04、栏杆工程量计算书'!H72+'04、栏杆工程量计算书'!H73+'04、栏杆工程量计算书'!H87+'04、栏杆工程量计算书'!H88+'04、栏杆工程量计算书'!H100+'04、栏杆工程量计算书'!H101+'04、栏杆工程量计算书'!H113+'04、栏杆工程量计算书'!H114</f>
        <v>1742.4</v>
      </c>
      <c r="E6" s="16">
        <f>'02、栏杆综合单价分析表 '!H62</f>
        <v>89.9205648</v>
      </c>
      <c r="F6" s="85">
        <v>0.13</v>
      </c>
      <c r="G6" s="16">
        <f t="shared" si="0"/>
        <v>177045.679081498</v>
      </c>
      <c r="H6" s="86" t="s">
        <v>14</v>
      </c>
    </row>
    <row r="7" ht="75" customHeight="1" spans="1:8">
      <c r="A7" s="15">
        <v>5</v>
      </c>
      <c r="B7" s="15" t="s">
        <v>16</v>
      </c>
      <c r="C7" s="15" t="s">
        <v>9</v>
      </c>
      <c r="D7" s="16">
        <f>'04、栏杆工程量计算书'!H11+'04、栏杆工程量计算书'!H12+'04、栏杆工程量计算书'!H23+'04、栏杆工程量计算书'!H47+'04、栏杆工程量计算书'!H48+'04、栏杆工程量计算书'!H49+'04、栏杆工程量计算书'!H81+'04、栏杆工程量计算书'!H82+'04、栏杆工程量计算书'!H83+'04、栏杆工程量计算书'!H84</f>
        <v>1621.5</v>
      </c>
      <c r="E7" s="16">
        <f>'02、栏杆综合单价分析表 '!H105</f>
        <v>140.96317176</v>
      </c>
      <c r="F7" s="85">
        <v>0.13</v>
      </c>
      <c r="G7" s="16">
        <f t="shared" si="0"/>
        <v>258286.114799989</v>
      </c>
      <c r="H7" s="86" t="s">
        <v>17</v>
      </c>
    </row>
    <row r="8" customFormat="1" ht="75" customHeight="1" spans="1:12">
      <c r="A8" s="15">
        <v>6</v>
      </c>
      <c r="B8" s="15" t="s">
        <v>18</v>
      </c>
      <c r="C8" s="15" t="s">
        <v>9</v>
      </c>
      <c r="D8" s="16">
        <f>'04、栏杆工程量计算书'!J205-D9</f>
        <v>911.9772</v>
      </c>
      <c r="E8" s="16">
        <f>'02、栏杆综合单价分析表 '!H128</f>
        <v>168.83430864</v>
      </c>
      <c r="F8" s="85">
        <v>0.13</v>
      </c>
      <c r="G8" s="16">
        <f t="shared" si="0"/>
        <v>173989.535264911</v>
      </c>
      <c r="H8" s="86" t="s">
        <v>19</v>
      </c>
      <c r="J8" s="11"/>
      <c r="K8" s="11"/>
      <c r="L8" s="23"/>
    </row>
    <row r="9" customFormat="1" ht="75" customHeight="1" spans="1:12">
      <c r="A9" s="15">
        <v>7</v>
      </c>
      <c r="B9" s="15" t="s">
        <v>20</v>
      </c>
      <c r="C9" s="15" t="s">
        <v>9</v>
      </c>
      <c r="D9" s="16">
        <f>'04、栏杆工程量计算书'!H127+'04、栏杆工程量计算书'!H130+'04、栏杆工程量计算书'!H138+'04、栏杆工程量计算书'!H139+'04、栏杆工程量计算书'!H140+'04、栏杆工程量计算书'!H141+'04、栏杆工程量计算书'!H142+'04、栏杆工程量计算书'!H152+'04、栏杆工程量计算书'!H153+'04、栏杆工程量计算书'!H154+'04、栏杆工程量计算书'!H155+'04、栏杆工程量计算书'!H166+'04、栏杆工程量计算书'!H167+'04、栏杆工程量计算书'!H168+'04、栏杆工程量计算书'!H169+'04、栏杆工程量计算书'!H170+'04、栏杆工程量计算书'!H180+'04、栏杆工程量计算书'!H181+'04、栏杆工程量计算书'!H182+'04、栏杆工程量计算书'!H183+'04、栏杆工程量计算书'!H193+'04、栏杆工程量计算书'!H194+'04、栏杆工程量计算书'!H195+'04、栏杆工程量计算书'!H196</f>
        <v>742.038</v>
      </c>
      <c r="E9" s="16">
        <f>'02、栏杆综合单价分析表 '!H150</f>
        <v>100.93794336</v>
      </c>
      <c r="F9" s="85">
        <v>0.13</v>
      </c>
      <c r="G9" s="16">
        <f t="shared" si="0"/>
        <v>84636.7622649135</v>
      </c>
      <c r="H9" s="86" t="s">
        <v>21</v>
      </c>
      <c r="J9" s="11"/>
      <c r="K9" s="11"/>
      <c r="L9" s="23"/>
    </row>
    <row r="10" customFormat="1" ht="75" customHeight="1" spans="1:12">
      <c r="A10" s="15">
        <v>8</v>
      </c>
      <c r="B10" s="26" t="s">
        <v>22</v>
      </c>
      <c r="C10" s="15" t="s">
        <v>23</v>
      </c>
      <c r="D10" s="16">
        <f>'05、百叶工程量计算书'!H20+'05、百叶工程量计算书'!H21+'05、百叶工程量计算书'!H22+'05、百叶工程量计算书'!H25+'05、百叶工程量计算书'!H30+'05、百叶工程量计算书'!H31+'05、百叶工程量计算书'!H32+'05、百叶工程量计算书'!H33+'05、百叶工程量计算书'!H34+'05、百叶工程量计算书'!H35+'05、百叶工程量计算书'!H40+'05、百叶工程量计算书'!H41+'05、百叶工程量计算书'!H45+'05、百叶工程量计算书'!H46+'05、百叶工程量计算书'!H47+'05、百叶工程量计算书'!H53+'05、百叶工程量计算书'!H54+'05、百叶工程量计算书'!H55+'05、百叶工程量计算书'!H56+'05、百叶工程量计算书'!H57+'05、百叶工程量计算书'!H58+'05、百叶工程量计算书'!H59+'05、百叶工程量计算书'!H60+'05、百叶工程量计算书'!H61+'05、百叶工程量计算书'!H62+'05、百叶工程量计算书'!H63+'05、百叶工程量计算书'!H64+'05、百叶工程量计算书'!H65+'05、百叶工程量计算书'!H70+'05、百叶工程量计算书'!H71+'05、百叶工程量计算书'!H78+'05、百叶工程量计算书'!H79</f>
        <v>143.9935</v>
      </c>
      <c r="E10" s="16">
        <f>'03、铝合金百综合单价分析表'!G20</f>
        <v>205.47016</v>
      </c>
      <c r="F10" s="85">
        <v>0.13</v>
      </c>
      <c r="G10" s="16">
        <f t="shared" si="0"/>
        <v>33432.5952568748</v>
      </c>
      <c r="H10" s="86" t="s">
        <v>24</v>
      </c>
      <c r="J10" s="11"/>
      <c r="K10" s="11"/>
      <c r="L10" s="23"/>
    </row>
    <row r="11" customFormat="1" ht="75" customHeight="1" spans="1:16">
      <c r="A11" s="15">
        <v>9</v>
      </c>
      <c r="B11" s="26" t="s">
        <v>25</v>
      </c>
      <c r="C11" s="15" t="s">
        <v>23</v>
      </c>
      <c r="D11" s="16">
        <f>'05、百叶工程量计算书'!H7+'05、百叶工程量计算书'!H8+'05、百叶工程量计算书'!H9+'05、百叶工程量计算书'!H11+'05、百叶工程量计算书'!H12+'05、百叶工程量计算书'!H13+'05、百叶工程量计算书'!H14+'05、百叶工程量计算书'!H23+'05、百叶工程量计算书'!H24+'05、百叶工程量计算书'!H26</f>
        <v>121.2908</v>
      </c>
      <c r="E11" s="16">
        <f>'03、铝合金百综合单价分析表'!G41</f>
        <v>232.95628</v>
      </c>
      <c r="F11" s="85">
        <v>0.13</v>
      </c>
      <c r="G11" s="16">
        <f t="shared" si="0"/>
        <v>31928.6625298331</v>
      </c>
      <c r="H11" s="86" t="s">
        <v>24</v>
      </c>
      <c r="J11" s="11"/>
      <c r="K11" s="11">
        <f>G13*0.5*0.8</f>
        <v>979441.953462272</v>
      </c>
      <c r="L11" s="23"/>
      <c r="M11">
        <f>G13*0.5*0.8</f>
        <v>979441.953462272</v>
      </c>
      <c r="O11">
        <f>G13*0.08</f>
        <v>195888.390692454</v>
      </c>
      <c r="P11">
        <f>G13*0.12</f>
        <v>293832.586038682</v>
      </c>
    </row>
    <row r="12" customFormat="1" ht="75" customHeight="1" spans="1:12">
      <c r="A12" s="15">
        <v>10</v>
      </c>
      <c r="B12" s="26" t="s">
        <v>26</v>
      </c>
      <c r="C12" s="15" t="s">
        <v>23</v>
      </c>
      <c r="D12" s="16">
        <f>'05、百叶工程量计算书'!H3+'05、百叶工程量计算书'!H4+'05、百叶工程量计算书'!H5+'05、百叶工程量计算书'!H6+'05、百叶工程量计算书'!H10+'05、百叶工程量计算书'!H15+'05、百叶工程量计算书'!H16+'05、百叶工程量计算书'!H17+'05、百叶工程量计算书'!H18+'05、百叶工程量计算书'!H19+'05、百叶工程量计算书'!H27+'05、百叶工程量计算书'!H28+'05、百叶工程量计算书'!H29+'05、百叶工程量计算书'!H36+'05、百叶工程量计算书'!H37+'05、百叶工程量计算书'!H38+'05、百叶工程量计算书'!H39+'05、百叶工程量计算书'!H42+'05、百叶工程量计算书'!H43+'05、百叶工程量计算书'!H44+'05、百叶工程量计算书'!H48+'05、百叶工程量计算书'!H49+'05、百叶工程量计算书'!H50+'05、百叶工程量计算书'!H51+'05、百叶工程量计算书'!H52+'05、百叶工程量计算书'!H66+'05、百叶工程量计算书'!H67+'05、百叶工程量计算书'!H68+'05、百叶工程量计算书'!H69+'05、百叶工程量计算书'!H72+'05、百叶工程量计算书'!H73+'05、百叶工程量计算书'!H74+'05、百叶工程量计算书'!H75+'05、百叶工程量计算书'!H76+'05、百叶工程量计算书'!H77</f>
        <v>3015.0859</v>
      </c>
      <c r="E12" s="16">
        <f>'03、铝合金百综合单价分析表'!G62</f>
        <v>235.84908</v>
      </c>
      <c r="F12" s="85">
        <v>0.13</v>
      </c>
      <c r="G12" s="16">
        <f t="shared" si="0"/>
        <v>803548.916268648</v>
      </c>
      <c r="H12" s="86" t="s">
        <v>24</v>
      </c>
      <c r="J12" s="11"/>
      <c r="K12" s="11"/>
      <c r="L12" s="23"/>
    </row>
    <row r="13" s="78" customFormat="1" ht="44" customHeight="1" spans="1:12">
      <c r="A13" s="87" t="s">
        <v>27</v>
      </c>
      <c r="B13" s="88"/>
      <c r="C13" s="88"/>
      <c r="D13" s="88"/>
      <c r="E13" s="88"/>
      <c r="F13" s="89"/>
      <c r="G13" s="90">
        <f>SUM(G3:G12)</f>
        <v>2448604.88365568</v>
      </c>
      <c r="H13" s="91"/>
      <c r="J13" s="100">
        <f>G14/1.13</f>
        <v>2166906.97668645</v>
      </c>
      <c r="K13" s="100">
        <f>G13-J13</f>
        <v>281697.906969238</v>
      </c>
      <c r="L13" s="101"/>
    </row>
    <row r="14" s="78" customFormat="1" ht="44" customHeight="1" spans="1:12">
      <c r="A14" s="92" t="s">
        <v>28</v>
      </c>
      <c r="B14" s="93"/>
      <c r="C14" s="93"/>
      <c r="D14" s="94"/>
      <c r="E14" s="95" t="s">
        <v>29</v>
      </c>
      <c r="F14" s="96"/>
      <c r="G14" s="90">
        <f>G13</f>
        <v>2448604.88365568</v>
      </c>
      <c r="H14" s="91"/>
      <c r="J14" s="102"/>
      <c r="K14" s="102">
        <f>1880000</f>
        <v>1880000</v>
      </c>
      <c r="L14" s="101"/>
    </row>
    <row r="15" ht="15" customHeight="1" spans="1:8">
      <c r="A15" s="86"/>
      <c r="B15" s="86"/>
      <c r="C15" s="86"/>
      <c r="D15" s="86"/>
      <c r="E15" s="97"/>
      <c r="F15" s="86"/>
      <c r="G15" s="26"/>
      <c r="H15" s="86"/>
    </row>
    <row r="16" ht="42" customHeight="1" spans="1:11">
      <c r="A16" s="86"/>
      <c r="B16" s="86"/>
      <c r="C16" s="86"/>
      <c r="D16" s="86"/>
      <c r="E16" s="97"/>
      <c r="F16" s="86"/>
      <c r="G16" s="26"/>
      <c r="H16" s="86"/>
      <c r="K16" s="11">
        <f>K14*1.3</f>
        <v>2444000</v>
      </c>
    </row>
    <row r="17" ht="21" customHeight="1" spans="1:8">
      <c r="A17" s="86"/>
      <c r="B17" s="86"/>
      <c r="C17" s="86"/>
      <c r="D17" s="86"/>
      <c r="E17" s="97"/>
      <c r="F17" s="86"/>
      <c r="G17" s="26"/>
      <c r="H17" s="86"/>
    </row>
    <row r="18" ht="37" customHeight="1" spans="1:8">
      <c r="A18" s="86"/>
      <c r="B18" s="86"/>
      <c r="C18" s="86"/>
      <c r="D18" s="86"/>
      <c r="E18" s="97"/>
      <c r="F18" s="86"/>
      <c r="G18" s="26"/>
      <c r="H18" s="86"/>
    </row>
  </sheetData>
  <mergeCells count="5">
    <mergeCell ref="A1:H1"/>
    <mergeCell ref="A13:F13"/>
    <mergeCell ref="A14:D14"/>
    <mergeCell ref="E14:F14"/>
    <mergeCell ref="A15:H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3"/>
  <sheetViews>
    <sheetView topLeftCell="A17" workbookViewId="0">
      <selection activeCell="G150" sqref="G150"/>
    </sheetView>
  </sheetViews>
  <sheetFormatPr defaultColWidth="9" defaultRowHeight="14.4"/>
  <cols>
    <col min="1" max="2" width="9" style="61"/>
    <col min="3" max="3" width="13.75" style="61" customWidth="1"/>
    <col min="4" max="4" width="21.5" style="61" customWidth="1"/>
    <col min="5" max="8" width="9" style="61"/>
    <col min="9" max="9" width="12.8796296296296" style="61" customWidth="1"/>
  </cols>
  <sheetData>
    <row r="1" ht="30" customHeight="1" spans="1:9">
      <c r="A1" s="62" t="s">
        <v>30</v>
      </c>
      <c r="B1" s="62"/>
      <c r="C1" s="62"/>
      <c r="D1" s="62"/>
      <c r="E1" s="62"/>
      <c r="F1" s="62"/>
      <c r="G1" s="62"/>
      <c r="H1" s="62"/>
      <c r="I1" s="62"/>
    </row>
    <row r="2" ht="30" customHeight="1" spans="1:9">
      <c r="A2" s="63" t="s">
        <v>0</v>
      </c>
      <c r="B2" s="63" t="s">
        <v>31</v>
      </c>
      <c r="C2" s="63" t="s">
        <v>32</v>
      </c>
      <c r="D2" s="63"/>
      <c r="E2" s="63"/>
      <c r="F2" s="63"/>
      <c r="G2" s="63"/>
      <c r="H2" s="63"/>
      <c r="I2" s="63"/>
    </row>
    <row r="3" ht="30" customHeight="1" spans="1:9">
      <c r="A3" s="63"/>
      <c r="B3" s="63"/>
      <c r="C3" s="63" t="s">
        <v>33</v>
      </c>
      <c r="D3" s="63"/>
      <c r="E3" s="63" t="s">
        <v>2</v>
      </c>
      <c r="F3" s="63" t="s">
        <v>34</v>
      </c>
      <c r="G3" s="63" t="s">
        <v>35</v>
      </c>
      <c r="H3" s="63" t="s">
        <v>36</v>
      </c>
      <c r="I3" s="63" t="s">
        <v>7</v>
      </c>
    </row>
    <row r="4" spans="1:9">
      <c r="A4" s="64">
        <v>1</v>
      </c>
      <c r="B4" s="10" t="s">
        <v>37</v>
      </c>
      <c r="C4" s="10" t="s">
        <v>38</v>
      </c>
      <c r="D4" s="4" t="s">
        <v>39</v>
      </c>
      <c r="E4" s="10" t="s">
        <v>9</v>
      </c>
      <c r="F4" s="10">
        <v>1</v>
      </c>
      <c r="G4" s="3">
        <v>21</v>
      </c>
      <c r="H4" s="3">
        <f>G4*F4</f>
        <v>21</v>
      </c>
      <c r="I4" s="10"/>
    </row>
    <row r="5" spans="1:9">
      <c r="A5" s="64"/>
      <c r="B5" s="10"/>
      <c r="C5" s="10" t="s">
        <v>40</v>
      </c>
      <c r="D5" s="4" t="s">
        <v>41</v>
      </c>
      <c r="E5" s="10" t="s">
        <v>9</v>
      </c>
      <c r="F5" s="10">
        <v>1</v>
      </c>
      <c r="G5" s="3">
        <v>35</v>
      </c>
      <c r="H5" s="3">
        <f>G5*F5</f>
        <v>35</v>
      </c>
      <c r="I5" s="10"/>
    </row>
    <row r="6" ht="21.6" spans="1:9">
      <c r="A6" s="64"/>
      <c r="B6" s="10"/>
      <c r="C6" s="10" t="s">
        <v>42</v>
      </c>
      <c r="D6" s="4" t="s">
        <v>43</v>
      </c>
      <c r="E6" s="10" t="s">
        <v>9</v>
      </c>
      <c r="F6" s="10">
        <v>1</v>
      </c>
      <c r="G6" s="3">
        <f>3*1.2</f>
        <v>3.6</v>
      </c>
      <c r="H6" s="3">
        <f t="shared" ref="H4:H6" si="0">G6*F6</f>
        <v>3.6</v>
      </c>
      <c r="I6" s="10"/>
    </row>
    <row r="7" s="21" customFormat="1" ht="21.6" spans="1:10">
      <c r="A7" s="64"/>
      <c r="B7" s="10"/>
      <c r="C7" s="10" t="s">
        <v>44</v>
      </c>
      <c r="D7" s="4" t="s">
        <v>45</v>
      </c>
      <c r="E7" s="10" t="s">
        <v>46</v>
      </c>
      <c r="F7" s="3">
        <f>Sheet1!F1*VLOOKUP(D7,Sheet1!A:D,4,0)</f>
        <v>3.1164</v>
      </c>
      <c r="G7" s="3">
        <f>4.5*1.2</f>
        <v>5.4</v>
      </c>
      <c r="H7" s="3">
        <f t="shared" ref="H7:H10" si="1">G7*F7</f>
        <v>16.82856</v>
      </c>
      <c r="I7" s="3" t="s">
        <v>47</v>
      </c>
      <c r="J7"/>
    </row>
    <row r="8" s="21" customFormat="1" ht="21.6" spans="1:10">
      <c r="A8" s="64"/>
      <c r="B8" s="10"/>
      <c r="C8" s="10"/>
      <c r="D8" s="4" t="s">
        <v>48</v>
      </c>
      <c r="E8" s="10" t="s">
        <v>46</v>
      </c>
      <c r="F8" s="3">
        <f>Sheet1!F2*VLOOKUP(D8,Sheet1!A:D,4,0)</f>
        <v>1.978</v>
      </c>
      <c r="G8" s="3">
        <f>4.5*1.2</f>
        <v>5.4</v>
      </c>
      <c r="H8" s="3">
        <f t="shared" si="1"/>
        <v>10.6812</v>
      </c>
      <c r="I8" s="3" t="s">
        <v>47</v>
      </c>
      <c r="J8"/>
    </row>
    <row r="9" ht="21.6" spans="1:9">
      <c r="A9" s="64"/>
      <c r="B9" s="10"/>
      <c r="C9" s="10"/>
      <c r="D9" s="4" t="s">
        <v>49</v>
      </c>
      <c r="E9" s="10" t="s">
        <v>46</v>
      </c>
      <c r="F9" s="3">
        <f>Sheet1!F3*VLOOKUP(D9,Sheet1!A:D,4,0)</f>
        <v>2.1949</v>
      </c>
      <c r="G9" s="3">
        <f>4.5*1.2</f>
        <v>5.4</v>
      </c>
      <c r="H9" s="3">
        <f t="shared" si="1"/>
        <v>11.85246</v>
      </c>
      <c r="I9" s="3" t="s">
        <v>47</v>
      </c>
    </row>
    <row r="10" ht="21.6" spans="1:9">
      <c r="A10" s="64"/>
      <c r="B10" s="10"/>
      <c r="C10" s="10"/>
      <c r="D10" s="4" t="s">
        <v>50</v>
      </c>
      <c r="E10" s="10" t="s">
        <v>46</v>
      </c>
      <c r="F10" s="3">
        <v>0.1</v>
      </c>
      <c r="G10" s="3">
        <f>VLOOKUP(D10,Sheet1!A:B,2,0)*1.2</f>
        <v>54</v>
      </c>
      <c r="H10" s="3">
        <f t="shared" si="1"/>
        <v>5.4</v>
      </c>
      <c r="I10" s="3"/>
    </row>
    <row r="11" spans="1:9">
      <c r="A11" s="64"/>
      <c r="B11" s="10"/>
      <c r="C11" s="10"/>
      <c r="D11" s="4" t="s">
        <v>51</v>
      </c>
      <c r="E11" s="10"/>
      <c r="F11" s="10"/>
      <c r="G11" s="3"/>
      <c r="H11" s="3">
        <f>SUM(H7:H10)</f>
        <v>44.76222</v>
      </c>
      <c r="I11" s="10"/>
    </row>
    <row r="12" ht="21.6" spans="1:9">
      <c r="A12" s="64"/>
      <c r="B12" s="10"/>
      <c r="C12" s="10" t="s">
        <v>52</v>
      </c>
      <c r="D12" s="4" t="s">
        <v>53</v>
      </c>
      <c r="E12" s="10" t="s">
        <v>54</v>
      </c>
      <c r="F12" s="10">
        <v>3</v>
      </c>
      <c r="G12" s="3">
        <f>VLOOKUP(D12,Sheet1!A:B,2,0)*1.2</f>
        <v>0.96</v>
      </c>
      <c r="H12" s="3">
        <f t="shared" ref="H12:H16" si="2">G12*F12</f>
        <v>2.88</v>
      </c>
      <c r="I12" s="3" t="s">
        <v>47</v>
      </c>
    </row>
    <row r="13" ht="21.6" spans="1:9">
      <c r="A13" s="64"/>
      <c r="B13" s="10"/>
      <c r="C13" s="10"/>
      <c r="D13" s="4" t="s">
        <v>55</v>
      </c>
      <c r="E13" s="10" t="s">
        <v>56</v>
      </c>
      <c r="F13" s="10">
        <v>1.5</v>
      </c>
      <c r="G13" s="3">
        <f>VLOOKUP(D13,Sheet1!A:B,2,0)*1.2</f>
        <v>3.6</v>
      </c>
      <c r="H13" s="3">
        <f t="shared" si="2"/>
        <v>5.4</v>
      </c>
      <c r="I13" s="3" t="s">
        <v>47</v>
      </c>
    </row>
    <row r="14" spans="1:9">
      <c r="A14" s="64"/>
      <c r="B14" s="10"/>
      <c r="C14" s="10"/>
      <c r="D14" s="4" t="s">
        <v>57</v>
      </c>
      <c r="E14" s="10" t="s">
        <v>54</v>
      </c>
      <c r="F14" s="10">
        <v>0.5</v>
      </c>
      <c r="G14" s="3">
        <f>VLOOKUP(D14,Sheet1!A:B,2,0)*1.2</f>
        <v>1.8</v>
      </c>
      <c r="H14" s="3">
        <f t="shared" si="2"/>
        <v>0.9</v>
      </c>
      <c r="I14" s="10"/>
    </row>
    <row r="15" spans="1:9">
      <c r="A15" s="64"/>
      <c r="B15" s="10"/>
      <c r="C15" s="10"/>
      <c r="D15" s="4" t="s">
        <v>58</v>
      </c>
      <c r="E15" s="10" t="s">
        <v>54</v>
      </c>
      <c r="F15" s="10">
        <v>1.5</v>
      </c>
      <c r="G15" s="3">
        <f>VLOOKUP(D15,Sheet1!A:B,2,0)*1.2</f>
        <v>1.8</v>
      </c>
      <c r="H15" s="3">
        <f t="shared" si="2"/>
        <v>2.7</v>
      </c>
      <c r="I15" s="10"/>
    </row>
    <row r="16" ht="21.6" spans="1:9">
      <c r="A16" s="64"/>
      <c r="B16" s="10"/>
      <c r="C16" s="10"/>
      <c r="D16" s="4" t="s">
        <v>59</v>
      </c>
      <c r="E16" s="10" t="s">
        <v>9</v>
      </c>
      <c r="F16" s="10">
        <v>1</v>
      </c>
      <c r="G16" s="3">
        <f>VLOOKUP(D16,Sheet1!A:B,2,0)*1.2</f>
        <v>3.6</v>
      </c>
      <c r="H16" s="3">
        <f t="shared" si="2"/>
        <v>3.6</v>
      </c>
      <c r="I16" s="10" t="s">
        <v>60</v>
      </c>
    </row>
    <row r="17" spans="1:9">
      <c r="A17" s="64"/>
      <c r="B17" s="10"/>
      <c r="C17" s="10"/>
      <c r="D17" s="4" t="s">
        <v>51</v>
      </c>
      <c r="E17" s="4"/>
      <c r="F17" s="10"/>
      <c r="G17" s="3"/>
      <c r="H17" s="3">
        <f>SUM(H12:H16)</f>
        <v>15.48</v>
      </c>
      <c r="I17" s="10"/>
    </row>
    <row r="18" spans="1:9">
      <c r="A18" s="64"/>
      <c r="B18" s="10"/>
      <c r="C18" s="10" t="s">
        <v>61</v>
      </c>
      <c r="D18" s="4" t="s">
        <v>62</v>
      </c>
      <c r="E18" s="10" t="s">
        <v>9</v>
      </c>
      <c r="F18" s="65">
        <v>1</v>
      </c>
      <c r="G18" s="3">
        <f>0.13*1.2</f>
        <v>0.156</v>
      </c>
      <c r="H18" s="66">
        <f>(H4+H5+H6+H11+H17)*G18</f>
        <v>18.69538632</v>
      </c>
      <c r="I18" s="10"/>
    </row>
    <row r="19" spans="1:9">
      <c r="A19" s="64"/>
      <c r="B19" s="10"/>
      <c r="C19" s="67" t="s">
        <v>63</v>
      </c>
      <c r="D19" s="68" t="s">
        <v>64</v>
      </c>
      <c r="E19" s="67"/>
      <c r="F19" s="69"/>
      <c r="G19" s="66"/>
      <c r="H19" s="66">
        <f>H4+H5+H6+H11+H17+H18</f>
        <v>138.53760632</v>
      </c>
      <c r="I19" s="69"/>
    </row>
    <row r="20" spans="1:9">
      <c r="A20" s="64"/>
      <c r="B20" s="10"/>
      <c r="C20" s="70" t="s">
        <v>65</v>
      </c>
      <c r="D20" s="71" t="s">
        <v>66</v>
      </c>
      <c r="E20" s="70" t="s">
        <v>9</v>
      </c>
      <c r="F20" s="70"/>
      <c r="G20" s="72"/>
      <c r="H20" s="72">
        <f>H11+H17</f>
        <v>60.24222</v>
      </c>
      <c r="I20" s="70"/>
    </row>
    <row r="21" spans="1:9">
      <c r="A21" s="64"/>
      <c r="B21" s="10"/>
      <c r="C21" s="70"/>
      <c r="D21" s="71" t="s">
        <v>67</v>
      </c>
      <c r="E21" s="70" t="s">
        <v>9</v>
      </c>
      <c r="F21" s="70"/>
      <c r="G21" s="70"/>
      <c r="H21" s="72">
        <f>H4+H5+H6+H18</f>
        <v>78.29538632</v>
      </c>
      <c r="I21" s="70"/>
    </row>
    <row r="22" spans="1:9">
      <c r="A22" s="73" t="s">
        <v>68</v>
      </c>
      <c r="B22" s="73"/>
      <c r="C22" s="73"/>
      <c r="D22" s="73"/>
      <c r="E22" s="73"/>
      <c r="F22" s="73"/>
      <c r="G22" s="73"/>
      <c r="H22" s="73"/>
      <c r="I22" s="73"/>
    </row>
    <row r="23" ht="17.4" spans="1:9">
      <c r="A23" s="62" t="s">
        <v>69</v>
      </c>
      <c r="B23" s="62"/>
      <c r="C23" s="62"/>
      <c r="D23" s="62"/>
      <c r="E23" s="62"/>
      <c r="F23" s="62"/>
      <c r="G23" s="62"/>
      <c r="H23" s="62"/>
      <c r="I23" s="62"/>
    </row>
    <row r="24" spans="1:9">
      <c r="A24" s="63" t="s">
        <v>0</v>
      </c>
      <c r="B24" s="63" t="s">
        <v>31</v>
      </c>
      <c r="C24" s="63" t="s">
        <v>32</v>
      </c>
      <c r="D24" s="63"/>
      <c r="E24" s="63"/>
      <c r="F24" s="63"/>
      <c r="G24" s="63"/>
      <c r="H24" s="63"/>
      <c r="I24" s="63"/>
    </row>
    <row r="25" ht="21.6" spans="1:9">
      <c r="A25" s="63"/>
      <c r="B25" s="63"/>
      <c r="C25" s="63" t="s">
        <v>33</v>
      </c>
      <c r="D25" s="63"/>
      <c r="E25" s="63" t="s">
        <v>2</v>
      </c>
      <c r="F25" s="63" t="s">
        <v>34</v>
      </c>
      <c r="G25" s="63" t="s">
        <v>35</v>
      </c>
      <c r="H25" s="63" t="s">
        <v>36</v>
      </c>
      <c r="I25" s="63" t="s">
        <v>7</v>
      </c>
    </row>
    <row r="26" spans="1:9">
      <c r="A26" s="64">
        <v>2</v>
      </c>
      <c r="B26" s="10" t="s">
        <v>70</v>
      </c>
      <c r="C26" s="10" t="s">
        <v>38</v>
      </c>
      <c r="D26" s="4" t="s">
        <v>39</v>
      </c>
      <c r="E26" s="10" t="s">
        <v>9</v>
      </c>
      <c r="F26" s="10">
        <v>1</v>
      </c>
      <c r="G26" s="3">
        <f>10*1.2</f>
        <v>12</v>
      </c>
      <c r="H26" s="3">
        <f t="shared" ref="H26:H28" si="3">G26*F26</f>
        <v>12</v>
      </c>
      <c r="I26" s="10"/>
    </row>
    <row r="27" spans="1:9">
      <c r="A27" s="64"/>
      <c r="B27" s="10"/>
      <c r="C27" s="10" t="s">
        <v>40</v>
      </c>
      <c r="D27" s="4" t="s">
        <v>41</v>
      </c>
      <c r="E27" s="10" t="s">
        <v>9</v>
      </c>
      <c r="F27" s="10">
        <v>1</v>
      </c>
      <c r="G27" s="3">
        <f>22*1.2</f>
        <v>26.4</v>
      </c>
      <c r="H27" s="3">
        <f t="shared" si="3"/>
        <v>26.4</v>
      </c>
      <c r="I27" s="10"/>
    </row>
    <row r="28" ht="21.6" spans="1:9">
      <c r="A28" s="64"/>
      <c r="B28" s="10"/>
      <c r="C28" s="10" t="s">
        <v>42</v>
      </c>
      <c r="D28" s="4" t="s">
        <v>43</v>
      </c>
      <c r="E28" s="10" t="s">
        <v>9</v>
      </c>
      <c r="F28" s="10">
        <v>1</v>
      </c>
      <c r="G28" s="3">
        <f>3*1.2</f>
        <v>3.6</v>
      </c>
      <c r="H28" s="3">
        <f t="shared" si="3"/>
        <v>3.6</v>
      </c>
      <c r="I28" s="10"/>
    </row>
    <row r="29" ht="21.6" spans="1:9">
      <c r="A29" s="64"/>
      <c r="B29" s="10"/>
      <c r="C29" s="10" t="s">
        <v>44</v>
      </c>
      <c r="D29" s="4" t="s">
        <v>45</v>
      </c>
      <c r="E29" s="10" t="s">
        <v>46</v>
      </c>
      <c r="F29" s="3">
        <f>Sheet1!G1*VLOOKUP(D29,Sheet1!A:D,4,0)</f>
        <v>3.1164</v>
      </c>
      <c r="G29" s="3">
        <f>4.5*1.2</f>
        <v>5.4</v>
      </c>
      <c r="H29" s="3">
        <f t="shared" ref="H29:H32" si="4">G29*F29</f>
        <v>16.82856</v>
      </c>
      <c r="I29" s="3" t="s">
        <v>47</v>
      </c>
    </row>
    <row r="30" ht="21.6" spans="1:9">
      <c r="A30" s="64"/>
      <c r="B30" s="10"/>
      <c r="C30" s="10"/>
      <c r="D30" s="4" t="s">
        <v>48</v>
      </c>
      <c r="E30" s="10" t="s">
        <v>46</v>
      </c>
      <c r="F30" s="3">
        <f>Sheet1!G2*VLOOKUP(D30,Sheet1!A:D,4,0)</f>
        <v>1.978</v>
      </c>
      <c r="G30" s="3">
        <f>4.5*1.2</f>
        <v>5.4</v>
      </c>
      <c r="H30" s="3">
        <f t="shared" si="4"/>
        <v>10.6812</v>
      </c>
      <c r="I30" s="3" t="s">
        <v>47</v>
      </c>
    </row>
    <row r="31" ht="21.6" spans="1:9">
      <c r="A31" s="64"/>
      <c r="B31" s="10"/>
      <c r="C31" s="10"/>
      <c r="D31" s="4" t="s">
        <v>49</v>
      </c>
      <c r="E31" s="10" t="s">
        <v>46</v>
      </c>
      <c r="F31" s="3">
        <f>Sheet1!G3*VLOOKUP(D31,Sheet1!A:D,4,0)</f>
        <v>2.1949</v>
      </c>
      <c r="G31" s="3">
        <f>4.5*1.2</f>
        <v>5.4</v>
      </c>
      <c r="H31" s="3">
        <f t="shared" si="4"/>
        <v>11.85246</v>
      </c>
      <c r="I31" s="3" t="s">
        <v>47</v>
      </c>
    </row>
    <row r="32" ht="21.6" spans="1:9">
      <c r="A32" s="64"/>
      <c r="B32" s="10"/>
      <c r="C32" s="10"/>
      <c r="D32" s="4" t="s">
        <v>50</v>
      </c>
      <c r="E32" s="10" t="s">
        <v>46</v>
      </c>
      <c r="F32" s="3">
        <v>0.1</v>
      </c>
      <c r="G32" s="3">
        <f>VLOOKUP(D32,Sheet1!A:B,2,0)*1.2</f>
        <v>54</v>
      </c>
      <c r="H32" s="3">
        <f t="shared" si="4"/>
        <v>5.4</v>
      </c>
      <c r="I32" s="3"/>
    </row>
    <row r="33" spans="1:9">
      <c r="A33" s="64"/>
      <c r="B33" s="10"/>
      <c r="C33" s="10"/>
      <c r="D33" s="4" t="s">
        <v>51</v>
      </c>
      <c r="E33" s="10"/>
      <c r="F33" s="10"/>
      <c r="G33" s="3"/>
      <c r="H33" s="3">
        <f>SUM(H29:H32)</f>
        <v>44.76222</v>
      </c>
      <c r="I33" s="10"/>
    </row>
    <row r="34" ht="21.6" spans="1:9">
      <c r="A34" s="64"/>
      <c r="B34" s="10"/>
      <c r="C34" s="10" t="s">
        <v>52</v>
      </c>
      <c r="D34" s="4" t="s">
        <v>53</v>
      </c>
      <c r="E34" s="10" t="s">
        <v>54</v>
      </c>
      <c r="F34" s="10">
        <v>4</v>
      </c>
      <c r="G34" s="3">
        <f>VLOOKUP(D34,Sheet1!A:B,2,0)*1.2</f>
        <v>0.96</v>
      </c>
      <c r="H34" s="3">
        <f t="shared" ref="H34:H38" si="5">G34*F34</f>
        <v>3.84</v>
      </c>
      <c r="I34" s="3" t="s">
        <v>47</v>
      </c>
    </row>
    <row r="35" ht="21.6" spans="1:9">
      <c r="A35" s="64"/>
      <c r="B35" s="10"/>
      <c r="C35" s="10"/>
      <c r="D35" s="4" t="s">
        <v>55</v>
      </c>
      <c r="E35" s="10" t="s">
        <v>56</v>
      </c>
      <c r="F35" s="10">
        <v>2</v>
      </c>
      <c r="G35" s="3">
        <f>VLOOKUP(D35,Sheet1!A:B,2,0)*1.2</f>
        <v>3.6</v>
      </c>
      <c r="H35" s="3">
        <f t="shared" si="5"/>
        <v>7.2</v>
      </c>
      <c r="I35" s="3" t="s">
        <v>47</v>
      </c>
    </row>
    <row r="36" spans="1:9">
      <c r="A36" s="64"/>
      <c r="B36" s="10"/>
      <c r="C36" s="10"/>
      <c r="D36" s="4" t="s">
        <v>57</v>
      </c>
      <c r="E36" s="10" t="s">
        <v>54</v>
      </c>
      <c r="F36" s="10">
        <v>1</v>
      </c>
      <c r="G36" s="3">
        <f>VLOOKUP(D36,Sheet1!A:B,2,0)*1.2</f>
        <v>1.8</v>
      </c>
      <c r="H36" s="3">
        <f t="shared" si="5"/>
        <v>1.8</v>
      </c>
      <c r="I36" s="10"/>
    </row>
    <row r="37" spans="1:9">
      <c r="A37" s="64"/>
      <c r="B37" s="10"/>
      <c r="C37" s="10"/>
      <c r="D37" s="4" t="s">
        <v>58</v>
      </c>
      <c r="E37" s="10" t="s">
        <v>54</v>
      </c>
      <c r="F37" s="10">
        <v>2</v>
      </c>
      <c r="G37" s="3">
        <f>VLOOKUP(D37,Sheet1!A:B,2,0)*1.2</f>
        <v>1.8</v>
      </c>
      <c r="H37" s="3">
        <f t="shared" si="5"/>
        <v>3.6</v>
      </c>
      <c r="I37" s="10"/>
    </row>
    <row r="38" ht="21.6" spans="1:9">
      <c r="A38" s="64"/>
      <c r="B38" s="10"/>
      <c r="C38" s="10"/>
      <c r="D38" s="4" t="s">
        <v>59</v>
      </c>
      <c r="E38" s="10" t="s">
        <v>9</v>
      </c>
      <c r="F38" s="10">
        <v>1</v>
      </c>
      <c r="G38" s="3">
        <f>VLOOKUP(D38,Sheet1!A:B,2,0)*1.2</f>
        <v>3.6</v>
      </c>
      <c r="H38" s="3">
        <f t="shared" si="5"/>
        <v>3.6</v>
      </c>
      <c r="I38" s="10" t="s">
        <v>60</v>
      </c>
    </row>
    <row r="39" spans="1:9">
      <c r="A39" s="64"/>
      <c r="B39" s="10"/>
      <c r="C39" s="10"/>
      <c r="D39" s="4" t="s">
        <v>51</v>
      </c>
      <c r="E39" s="4"/>
      <c r="F39" s="10"/>
      <c r="G39" s="3"/>
      <c r="H39" s="3">
        <f>SUM(H34:H38)</f>
        <v>20.04</v>
      </c>
      <c r="I39" s="10"/>
    </row>
    <row r="40" spans="1:9">
      <c r="A40" s="64"/>
      <c r="B40" s="10"/>
      <c r="C40" s="10" t="s">
        <v>61</v>
      </c>
      <c r="D40" s="4" t="s">
        <v>62</v>
      </c>
      <c r="E40" s="10" t="s">
        <v>9</v>
      </c>
      <c r="F40" s="65">
        <v>1</v>
      </c>
      <c r="G40" s="3">
        <f>0.13*1.2</f>
        <v>0.156</v>
      </c>
      <c r="H40" s="66">
        <f>(H26+H27+H28+H33+H39)*G40</f>
        <v>16.66114632</v>
      </c>
      <c r="I40" s="10"/>
    </row>
    <row r="41" spans="1:9">
      <c r="A41" s="64"/>
      <c r="B41" s="10"/>
      <c r="C41" s="67" t="s">
        <v>63</v>
      </c>
      <c r="D41" s="68" t="s">
        <v>64</v>
      </c>
      <c r="E41" s="67"/>
      <c r="F41" s="69"/>
      <c r="G41" s="66"/>
      <c r="H41" s="66">
        <f>H26+H27+H28+H33+H39+H40</f>
        <v>123.46336632</v>
      </c>
      <c r="I41" s="69"/>
    </row>
    <row r="42" spans="1:9">
      <c r="A42" s="64"/>
      <c r="B42" s="10"/>
      <c r="C42" s="70" t="s">
        <v>65</v>
      </c>
      <c r="D42" s="71" t="s">
        <v>66</v>
      </c>
      <c r="E42" s="70" t="s">
        <v>9</v>
      </c>
      <c r="F42" s="70"/>
      <c r="G42" s="72"/>
      <c r="H42" s="72">
        <f>H33+H39</f>
        <v>64.80222</v>
      </c>
      <c r="I42" s="70"/>
    </row>
    <row r="43" spans="1:9">
      <c r="A43" s="64"/>
      <c r="B43" s="10"/>
      <c r="C43" s="70"/>
      <c r="D43" s="71" t="s">
        <v>67</v>
      </c>
      <c r="E43" s="70" t="s">
        <v>9</v>
      </c>
      <c r="F43" s="70"/>
      <c r="G43" s="70"/>
      <c r="H43" s="72">
        <f>H26+H27+H28+H40</f>
        <v>58.66114632</v>
      </c>
      <c r="I43" s="70"/>
    </row>
    <row r="44" spans="1:9">
      <c r="A44" s="73" t="s">
        <v>68</v>
      </c>
      <c r="B44" s="73"/>
      <c r="C44" s="73"/>
      <c r="D44" s="73"/>
      <c r="E44" s="73"/>
      <c r="F44" s="73"/>
      <c r="G44" s="73"/>
      <c r="H44" s="73"/>
      <c r="I44" s="73"/>
    </row>
    <row r="45" ht="17.4" spans="1:9">
      <c r="A45" s="62" t="s">
        <v>71</v>
      </c>
      <c r="B45" s="62"/>
      <c r="C45" s="62"/>
      <c r="D45" s="62"/>
      <c r="E45" s="62"/>
      <c r="F45" s="62"/>
      <c r="G45" s="62"/>
      <c r="H45" s="62"/>
      <c r="I45" s="62"/>
    </row>
    <row r="46" spans="1:9">
      <c r="A46" s="63" t="s">
        <v>0</v>
      </c>
      <c r="B46" s="63" t="s">
        <v>31</v>
      </c>
      <c r="C46" s="63" t="s">
        <v>32</v>
      </c>
      <c r="D46" s="63"/>
      <c r="E46" s="63"/>
      <c r="F46" s="63"/>
      <c r="G46" s="63"/>
      <c r="H46" s="63"/>
      <c r="I46" s="63"/>
    </row>
    <row r="47" ht="21.6" spans="1:9">
      <c r="A47" s="63"/>
      <c r="B47" s="63"/>
      <c r="C47" s="63" t="s">
        <v>33</v>
      </c>
      <c r="D47" s="63"/>
      <c r="E47" s="63" t="s">
        <v>2</v>
      </c>
      <c r="F47" s="63" t="s">
        <v>34</v>
      </c>
      <c r="G47" s="63" t="s">
        <v>35</v>
      </c>
      <c r="H47" s="63" t="s">
        <v>36</v>
      </c>
      <c r="I47" s="63" t="s">
        <v>7</v>
      </c>
    </row>
    <row r="48" spans="1:9">
      <c r="A48" s="64">
        <v>3</v>
      </c>
      <c r="B48" s="10" t="s">
        <v>72</v>
      </c>
      <c r="C48" s="10" t="s">
        <v>38</v>
      </c>
      <c r="D48" s="4" t="s">
        <v>39</v>
      </c>
      <c r="E48" s="10" t="s">
        <v>9</v>
      </c>
      <c r="F48" s="10">
        <v>1</v>
      </c>
      <c r="G48" s="3">
        <f>8*1.2</f>
        <v>9.6</v>
      </c>
      <c r="H48" s="3">
        <f t="shared" ref="H48:H50" si="6">G48*F48</f>
        <v>9.6</v>
      </c>
      <c r="I48" s="10"/>
    </row>
    <row r="49" spans="1:9">
      <c r="A49" s="64"/>
      <c r="B49" s="10"/>
      <c r="C49" s="10" t="s">
        <v>40</v>
      </c>
      <c r="D49" s="4" t="s">
        <v>41</v>
      </c>
      <c r="E49" s="10" t="s">
        <v>9</v>
      </c>
      <c r="F49" s="10">
        <v>1</v>
      </c>
      <c r="G49" s="3">
        <f>18*1.2</f>
        <v>21.6</v>
      </c>
      <c r="H49" s="3">
        <f t="shared" si="6"/>
        <v>21.6</v>
      </c>
      <c r="I49" s="10"/>
    </row>
    <row r="50" ht="21.6" spans="1:9">
      <c r="A50" s="64"/>
      <c r="B50" s="10"/>
      <c r="C50" s="10" t="s">
        <v>42</v>
      </c>
      <c r="D50" s="4" t="s">
        <v>43</v>
      </c>
      <c r="E50" s="10" t="s">
        <v>9</v>
      </c>
      <c r="F50" s="10">
        <v>1</v>
      </c>
      <c r="G50" s="3">
        <f>2.5*1.2</f>
        <v>3</v>
      </c>
      <c r="H50" s="3">
        <f t="shared" si="6"/>
        <v>3</v>
      </c>
      <c r="I50" s="10"/>
    </row>
    <row r="51" ht="21.6" spans="1:9">
      <c r="A51" s="64"/>
      <c r="B51" s="10"/>
      <c r="C51" s="10" t="s">
        <v>44</v>
      </c>
      <c r="D51" s="4" t="s">
        <v>73</v>
      </c>
      <c r="E51" s="10" t="s">
        <v>46</v>
      </c>
      <c r="F51" s="3">
        <f>Sheet1!H1*VLOOKUP(D51,Sheet1!A:D,4,0)</f>
        <v>1.538</v>
      </c>
      <c r="G51" s="3">
        <f>4.5*1.2</f>
        <v>5.4</v>
      </c>
      <c r="H51" s="3">
        <f t="shared" ref="H51:H53" si="7">G51*F51</f>
        <v>8.3052</v>
      </c>
      <c r="I51" s="3" t="s">
        <v>47</v>
      </c>
    </row>
    <row r="52" ht="21.6" spans="1:9">
      <c r="A52" s="64"/>
      <c r="B52" s="10"/>
      <c r="C52" s="10"/>
      <c r="D52" s="4" t="s">
        <v>74</v>
      </c>
      <c r="E52" s="10" t="s">
        <v>46</v>
      </c>
      <c r="F52" s="3">
        <f>Sheet1!H2*VLOOKUP(D52,Sheet1!A:D,4,0)</f>
        <v>1.564</v>
      </c>
      <c r="G52" s="3">
        <f>4.5*1.2</f>
        <v>5.4</v>
      </c>
      <c r="H52" s="3">
        <f t="shared" si="7"/>
        <v>8.4456</v>
      </c>
      <c r="I52" s="3" t="s">
        <v>47</v>
      </c>
    </row>
    <row r="53" ht="21.6" spans="1:9">
      <c r="A53" s="64"/>
      <c r="B53" s="10"/>
      <c r="C53" s="10"/>
      <c r="D53" s="4" t="s">
        <v>50</v>
      </c>
      <c r="E53" s="10" t="s">
        <v>46</v>
      </c>
      <c r="F53" s="3">
        <v>0.1</v>
      </c>
      <c r="G53" s="3">
        <f>VLOOKUP(D53,Sheet1!A:B,2,0)*1.2</f>
        <v>54</v>
      </c>
      <c r="H53" s="3">
        <f t="shared" si="7"/>
        <v>5.4</v>
      </c>
      <c r="I53" s="3"/>
    </row>
    <row r="54" spans="1:9">
      <c r="A54" s="64"/>
      <c r="B54" s="10"/>
      <c r="C54" s="10"/>
      <c r="D54" s="4" t="s">
        <v>51</v>
      </c>
      <c r="E54" s="10"/>
      <c r="F54" s="10"/>
      <c r="G54" s="3"/>
      <c r="H54" s="3">
        <f>SUM(H51:H53)</f>
        <v>22.1508</v>
      </c>
      <c r="I54" s="10"/>
    </row>
    <row r="55" ht="21.6" spans="1:9">
      <c r="A55" s="64"/>
      <c r="B55" s="10"/>
      <c r="C55" s="10" t="s">
        <v>52</v>
      </c>
      <c r="D55" s="4" t="s">
        <v>53</v>
      </c>
      <c r="E55" s="10" t="s">
        <v>54</v>
      </c>
      <c r="F55" s="10">
        <v>4</v>
      </c>
      <c r="G55" s="3">
        <f>VLOOKUP(D55,Sheet1!A:B,2,0)*1.2</f>
        <v>0.96</v>
      </c>
      <c r="H55" s="3">
        <f t="shared" ref="H55:H59" si="8">G55*F55</f>
        <v>3.84</v>
      </c>
      <c r="I55" s="3" t="s">
        <v>47</v>
      </c>
    </row>
    <row r="56" ht="21.6" spans="1:9">
      <c r="A56" s="64"/>
      <c r="B56" s="10"/>
      <c r="C56" s="10"/>
      <c r="D56" s="4" t="s">
        <v>55</v>
      </c>
      <c r="E56" s="10" t="s">
        <v>56</v>
      </c>
      <c r="F56" s="10">
        <v>2</v>
      </c>
      <c r="G56" s="3">
        <f>VLOOKUP(D56,Sheet1!A:B,2,0)*1.2</f>
        <v>3.6</v>
      </c>
      <c r="H56" s="3">
        <f t="shared" si="8"/>
        <v>7.2</v>
      </c>
      <c r="I56" s="3" t="s">
        <v>47</v>
      </c>
    </row>
    <row r="57" spans="1:9">
      <c r="A57" s="64"/>
      <c r="B57" s="10"/>
      <c r="C57" s="10"/>
      <c r="D57" s="4" t="s">
        <v>57</v>
      </c>
      <c r="E57" s="10" t="s">
        <v>54</v>
      </c>
      <c r="F57" s="10">
        <v>2</v>
      </c>
      <c r="G57" s="3">
        <f>VLOOKUP(D57,Sheet1!A:B,2,0)*1.2</f>
        <v>1.8</v>
      </c>
      <c r="H57" s="3">
        <f t="shared" si="8"/>
        <v>3.6</v>
      </c>
      <c r="I57" s="10"/>
    </row>
    <row r="58" spans="1:9">
      <c r="A58" s="64"/>
      <c r="B58" s="10"/>
      <c r="C58" s="10"/>
      <c r="D58" s="4" t="s">
        <v>58</v>
      </c>
      <c r="E58" s="10" t="s">
        <v>54</v>
      </c>
      <c r="F58" s="10">
        <v>2</v>
      </c>
      <c r="G58" s="3">
        <f>VLOOKUP(D58,Sheet1!A:B,2,0)*1.2</f>
        <v>1.8</v>
      </c>
      <c r="H58" s="3">
        <f t="shared" si="8"/>
        <v>3.6</v>
      </c>
      <c r="I58" s="10"/>
    </row>
    <row r="59" ht="21.6" spans="1:9">
      <c r="A59" s="64"/>
      <c r="B59" s="10"/>
      <c r="C59" s="10"/>
      <c r="D59" s="4" t="s">
        <v>59</v>
      </c>
      <c r="E59" s="10" t="s">
        <v>9</v>
      </c>
      <c r="F59" s="10">
        <v>1</v>
      </c>
      <c r="G59" s="3">
        <f>VLOOKUP(D59,Sheet1!A:B,2,0)*1.2</f>
        <v>3.6</v>
      </c>
      <c r="H59" s="3">
        <f t="shared" si="8"/>
        <v>3.6</v>
      </c>
      <c r="I59" s="10" t="s">
        <v>60</v>
      </c>
    </row>
    <row r="60" spans="1:9">
      <c r="A60" s="64"/>
      <c r="B60" s="10"/>
      <c r="C60" s="10"/>
      <c r="D60" s="4" t="s">
        <v>51</v>
      </c>
      <c r="E60" s="4"/>
      <c r="F60" s="10"/>
      <c r="G60" s="3"/>
      <c r="H60" s="3">
        <f>SUM(H55:H59)</f>
        <v>21.84</v>
      </c>
      <c r="I60" s="10"/>
    </row>
    <row r="61" spans="1:9">
      <c r="A61" s="64"/>
      <c r="B61" s="10"/>
      <c r="C61" s="10" t="s">
        <v>61</v>
      </c>
      <c r="D61" s="4" t="s">
        <v>62</v>
      </c>
      <c r="E61" s="10" t="s">
        <v>9</v>
      </c>
      <c r="F61" s="65">
        <v>1</v>
      </c>
      <c r="G61" s="3">
        <f>0.13*1.2</f>
        <v>0.156</v>
      </c>
      <c r="H61" s="66">
        <f>(+H48+H49+H54+H60)*G61</f>
        <v>11.7297648</v>
      </c>
      <c r="I61" s="10"/>
    </row>
    <row r="62" spans="1:9">
      <c r="A62" s="64"/>
      <c r="B62" s="10"/>
      <c r="C62" s="67" t="s">
        <v>63</v>
      </c>
      <c r="D62" s="68" t="s">
        <v>64</v>
      </c>
      <c r="E62" s="67"/>
      <c r="F62" s="69"/>
      <c r="G62" s="66"/>
      <c r="H62" s="66">
        <f>H48+H49+H50+H54+H60+H61</f>
        <v>89.9205648</v>
      </c>
      <c r="I62" s="69"/>
    </row>
    <row r="63" spans="1:9">
      <c r="A63" s="64"/>
      <c r="B63" s="10"/>
      <c r="C63" s="70" t="s">
        <v>65</v>
      </c>
      <c r="D63" s="71" t="s">
        <v>66</v>
      </c>
      <c r="E63" s="70" t="s">
        <v>9</v>
      </c>
      <c r="F63" s="70"/>
      <c r="G63" s="72"/>
      <c r="H63" s="72">
        <f>H54+H60</f>
        <v>43.9908</v>
      </c>
      <c r="I63" s="70"/>
    </row>
    <row r="64" spans="1:9">
      <c r="A64" s="64"/>
      <c r="B64" s="10"/>
      <c r="C64" s="70"/>
      <c r="D64" s="71" t="s">
        <v>67</v>
      </c>
      <c r="E64" s="70" t="s">
        <v>9</v>
      </c>
      <c r="F64" s="70"/>
      <c r="G64" s="70"/>
      <c r="H64" s="72">
        <f>H48+H49+H50+H61</f>
        <v>45.9297648</v>
      </c>
      <c r="I64" s="70"/>
    </row>
    <row r="65" spans="1:9">
      <c r="A65" s="73" t="s">
        <v>68</v>
      </c>
      <c r="B65" s="73"/>
      <c r="C65" s="73"/>
      <c r="D65" s="73"/>
      <c r="E65" s="73"/>
      <c r="F65" s="73"/>
      <c r="G65" s="73"/>
      <c r="H65" s="73"/>
      <c r="I65" s="73"/>
    </row>
    <row r="66" ht="17.4" spans="1:9">
      <c r="A66" s="62" t="s">
        <v>75</v>
      </c>
      <c r="B66" s="62"/>
      <c r="C66" s="62"/>
      <c r="D66" s="62"/>
      <c r="E66" s="62"/>
      <c r="F66" s="62"/>
      <c r="G66" s="62"/>
      <c r="H66" s="62"/>
      <c r="I66" s="62"/>
    </row>
    <row r="67" spans="1:9">
      <c r="A67" s="63" t="s">
        <v>0</v>
      </c>
      <c r="B67" s="63" t="s">
        <v>31</v>
      </c>
      <c r="C67" s="63" t="s">
        <v>32</v>
      </c>
      <c r="D67" s="63"/>
      <c r="E67" s="63"/>
      <c r="F67" s="63"/>
      <c r="G67" s="63"/>
      <c r="H67" s="63"/>
      <c r="I67" s="63"/>
    </row>
    <row r="68" ht="21.6" spans="1:9">
      <c r="A68" s="63"/>
      <c r="B68" s="63"/>
      <c r="C68" s="63" t="s">
        <v>33</v>
      </c>
      <c r="D68" s="63"/>
      <c r="E68" s="63" t="s">
        <v>2</v>
      </c>
      <c r="F68" s="63" t="s">
        <v>34</v>
      </c>
      <c r="G68" s="63" t="s">
        <v>35</v>
      </c>
      <c r="H68" s="63" t="s">
        <v>36</v>
      </c>
      <c r="I68" s="63" t="s">
        <v>7</v>
      </c>
    </row>
    <row r="69" spans="1:9">
      <c r="A69" s="64">
        <v>4</v>
      </c>
      <c r="B69" s="10" t="s">
        <v>13</v>
      </c>
      <c r="C69" s="10" t="s">
        <v>38</v>
      </c>
      <c r="D69" s="4" t="s">
        <v>39</v>
      </c>
      <c r="E69" s="10" t="s">
        <v>9</v>
      </c>
      <c r="F69" s="10">
        <v>1</v>
      </c>
      <c r="G69" s="3">
        <f>10*1.2</f>
        <v>12</v>
      </c>
      <c r="H69" s="3">
        <f t="shared" ref="H69:H71" si="9">G69*F69</f>
        <v>12</v>
      </c>
      <c r="I69" s="10"/>
    </row>
    <row r="70" spans="1:9">
      <c r="A70" s="64"/>
      <c r="B70" s="10"/>
      <c r="C70" s="10" t="s">
        <v>40</v>
      </c>
      <c r="D70" s="4" t="s">
        <v>41</v>
      </c>
      <c r="E70" s="10" t="s">
        <v>9</v>
      </c>
      <c r="F70" s="10">
        <v>1</v>
      </c>
      <c r="G70" s="3">
        <f>20*1.2</f>
        <v>24</v>
      </c>
      <c r="H70" s="3">
        <f t="shared" si="9"/>
        <v>24</v>
      </c>
      <c r="I70" s="10"/>
    </row>
    <row r="71" ht="21.6" spans="1:9">
      <c r="A71" s="64"/>
      <c r="B71" s="10"/>
      <c r="C71" s="10" t="s">
        <v>42</v>
      </c>
      <c r="D71" s="4" t="s">
        <v>43</v>
      </c>
      <c r="E71" s="10" t="s">
        <v>9</v>
      </c>
      <c r="F71" s="10">
        <v>1</v>
      </c>
      <c r="G71" s="3">
        <f>2.5*1.2</f>
        <v>3</v>
      </c>
      <c r="H71" s="3">
        <f t="shared" si="9"/>
        <v>3</v>
      </c>
      <c r="I71" s="10"/>
    </row>
    <row r="72" ht="21.6" spans="1:9">
      <c r="A72" s="64"/>
      <c r="B72" s="10"/>
      <c r="C72" s="10" t="s">
        <v>44</v>
      </c>
      <c r="D72" s="4" t="s">
        <v>73</v>
      </c>
      <c r="E72" s="10" t="s">
        <v>46</v>
      </c>
      <c r="F72" s="3">
        <f>Sheet1!I1*VLOOKUP(D72,Sheet1!A:D,4,0)</f>
        <v>1.4611</v>
      </c>
      <c r="G72" s="3">
        <f>4.5*1.2</f>
        <v>5.4</v>
      </c>
      <c r="H72" s="3">
        <f t="shared" ref="H72:H74" si="10">G72*F72</f>
        <v>7.88994</v>
      </c>
      <c r="I72" s="3" t="s">
        <v>47</v>
      </c>
    </row>
    <row r="73" ht="21.6" spans="1:9">
      <c r="A73" s="64"/>
      <c r="B73" s="10"/>
      <c r="C73" s="10"/>
      <c r="D73" s="4" t="s">
        <v>74</v>
      </c>
      <c r="E73" s="10" t="s">
        <v>46</v>
      </c>
      <c r="F73" s="3">
        <f>Sheet1!I2*VLOOKUP(D73,Sheet1!A:D,4,0)</f>
        <v>1.4076</v>
      </c>
      <c r="G73" s="3">
        <f>4.5*1.2</f>
        <v>5.4</v>
      </c>
      <c r="H73" s="3">
        <f t="shared" si="10"/>
        <v>7.60104</v>
      </c>
      <c r="I73" s="3" t="s">
        <v>47</v>
      </c>
    </row>
    <row r="74" ht="21.6" spans="1:9">
      <c r="A74" s="64"/>
      <c r="B74" s="10"/>
      <c r="C74" s="10"/>
      <c r="D74" s="4" t="s">
        <v>50</v>
      </c>
      <c r="E74" s="10" t="s">
        <v>46</v>
      </c>
      <c r="F74" s="3">
        <v>0.1</v>
      </c>
      <c r="G74" s="3">
        <f>VLOOKUP(D74,Sheet1!A:B,2,0)*1.2</f>
        <v>54</v>
      </c>
      <c r="H74" s="3">
        <f t="shared" si="10"/>
        <v>5.4</v>
      </c>
      <c r="I74" s="3"/>
    </row>
    <row r="75" spans="1:9">
      <c r="A75" s="64"/>
      <c r="B75" s="10"/>
      <c r="C75" s="10"/>
      <c r="D75" s="4" t="s">
        <v>51</v>
      </c>
      <c r="E75" s="10"/>
      <c r="F75" s="10"/>
      <c r="G75" s="3"/>
      <c r="H75" s="3">
        <f>SUM(H72:H74)</f>
        <v>20.89098</v>
      </c>
      <c r="I75" s="10"/>
    </row>
    <row r="76" ht="21.6" spans="1:9">
      <c r="A76" s="64"/>
      <c r="B76" s="10"/>
      <c r="C76" s="10" t="s">
        <v>52</v>
      </c>
      <c r="D76" s="4" t="s">
        <v>53</v>
      </c>
      <c r="E76" s="10" t="s">
        <v>54</v>
      </c>
      <c r="F76" s="10">
        <v>4</v>
      </c>
      <c r="G76" s="3">
        <f>VLOOKUP(D76,Sheet1!A:B,2,0)*1.2</f>
        <v>0.96</v>
      </c>
      <c r="H76" s="3">
        <f t="shared" ref="H76:H80" si="11">G76*F76</f>
        <v>3.84</v>
      </c>
      <c r="I76" s="3" t="s">
        <v>47</v>
      </c>
    </row>
    <row r="77" ht="21.6" spans="1:9">
      <c r="A77" s="64"/>
      <c r="B77" s="10"/>
      <c r="C77" s="10"/>
      <c r="D77" s="4" t="s">
        <v>55</v>
      </c>
      <c r="E77" s="10" t="s">
        <v>56</v>
      </c>
      <c r="F77" s="10">
        <v>2</v>
      </c>
      <c r="G77" s="3">
        <f>VLOOKUP(D77,Sheet1!A:B,2,0)*1.2</f>
        <v>3.6</v>
      </c>
      <c r="H77" s="3">
        <f t="shared" si="11"/>
        <v>7.2</v>
      </c>
      <c r="I77" s="3" t="s">
        <v>47</v>
      </c>
    </row>
    <row r="78" spans="1:9">
      <c r="A78" s="64"/>
      <c r="B78" s="10"/>
      <c r="C78" s="10"/>
      <c r="D78" s="4" t="s">
        <v>57</v>
      </c>
      <c r="E78" s="10" t="s">
        <v>54</v>
      </c>
      <c r="F78" s="10">
        <v>1</v>
      </c>
      <c r="G78" s="3">
        <f>VLOOKUP(D78,Sheet1!A:B,2,0)*1.2</f>
        <v>1.8</v>
      </c>
      <c r="H78" s="3">
        <f t="shared" si="11"/>
        <v>1.8</v>
      </c>
      <c r="I78" s="10"/>
    </row>
    <row r="79" spans="1:9">
      <c r="A79" s="64"/>
      <c r="B79" s="10"/>
      <c r="C79" s="10"/>
      <c r="D79" s="4" t="s">
        <v>58</v>
      </c>
      <c r="E79" s="10" t="s">
        <v>54</v>
      </c>
      <c r="F79" s="10">
        <v>2</v>
      </c>
      <c r="G79" s="3">
        <f>VLOOKUP(D79,Sheet1!A:B,2,0)*1.2</f>
        <v>1.8</v>
      </c>
      <c r="H79" s="3">
        <f t="shared" si="11"/>
        <v>3.6</v>
      </c>
      <c r="I79" s="10"/>
    </row>
    <row r="80" ht="21.6" spans="1:9">
      <c r="A80" s="64"/>
      <c r="B80" s="10"/>
      <c r="C80" s="10"/>
      <c r="D80" s="4" t="s">
        <v>59</v>
      </c>
      <c r="E80" s="10" t="s">
        <v>9</v>
      </c>
      <c r="F80" s="10">
        <v>1</v>
      </c>
      <c r="G80" s="3">
        <f>VLOOKUP(D80,Sheet1!A:B,2,0)*1.2</f>
        <v>3.6</v>
      </c>
      <c r="H80" s="3">
        <f t="shared" si="11"/>
        <v>3.6</v>
      </c>
      <c r="I80" s="10" t="s">
        <v>60</v>
      </c>
    </row>
    <row r="81" spans="1:9">
      <c r="A81" s="64"/>
      <c r="B81" s="10"/>
      <c r="C81" s="10"/>
      <c r="D81" s="4" t="s">
        <v>51</v>
      </c>
      <c r="E81" s="4"/>
      <c r="F81" s="10"/>
      <c r="G81" s="3"/>
      <c r="H81" s="3">
        <f>SUM(H76:H80)</f>
        <v>20.04</v>
      </c>
      <c r="I81" s="10"/>
    </row>
    <row r="82" spans="1:9">
      <c r="A82" s="64"/>
      <c r="B82" s="10"/>
      <c r="C82" s="10" t="s">
        <v>61</v>
      </c>
      <c r="D82" s="4" t="s">
        <v>62</v>
      </c>
      <c r="E82" s="10" t="s">
        <v>9</v>
      </c>
      <c r="F82" s="65">
        <v>1</v>
      </c>
      <c r="G82" s="3">
        <f>0.13*1.2</f>
        <v>0.156</v>
      </c>
      <c r="H82" s="66">
        <f>(+H71+H69+H70+H75+H81)*G82</f>
        <v>12.46923288</v>
      </c>
      <c r="I82" s="10"/>
    </row>
    <row r="83" spans="1:9">
      <c r="A83" s="64"/>
      <c r="B83" s="10"/>
      <c r="C83" s="67" t="s">
        <v>63</v>
      </c>
      <c r="D83" s="68" t="s">
        <v>64</v>
      </c>
      <c r="E83" s="67"/>
      <c r="F83" s="69"/>
      <c r="G83" s="66"/>
      <c r="H83" s="66">
        <f>H69+H70+H71+H75+H81+H82</f>
        <v>92.40021288</v>
      </c>
      <c r="I83" s="69"/>
    </row>
    <row r="84" spans="1:9">
      <c r="A84" s="64"/>
      <c r="B84" s="10"/>
      <c r="C84" s="70" t="s">
        <v>65</v>
      </c>
      <c r="D84" s="71" t="s">
        <v>66</v>
      </c>
      <c r="E84" s="70" t="s">
        <v>9</v>
      </c>
      <c r="F84" s="70"/>
      <c r="G84" s="72"/>
      <c r="H84" s="72">
        <f>H75+H81</f>
        <v>40.93098</v>
      </c>
      <c r="I84" s="70"/>
    </row>
    <row r="85" spans="1:9">
      <c r="A85" s="64"/>
      <c r="B85" s="10"/>
      <c r="C85" s="70"/>
      <c r="D85" s="71" t="s">
        <v>67</v>
      </c>
      <c r="E85" s="70" t="s">
        <v>9</v>
      </c>
      <c r="F85" s="70"/>
      <c r="G85" s="70"/>
      <c r="H85" s="72">
        <f>H69+H70+H71+H82</f>
        <v>51.46923288</v>
      </c>
      <c r="I85" s="70"/>
    </row>
    <row r="86" spans="1:9">
      <c r="A86" s="73" t="s">
        <v>68</v>
      </c>
      <c r="B86" s="73"/>
      <c r="C86" s="73"/>
      <c r="D86" s="73"/>
      <c r="E86" s="73"/>
      <c r="F86" s="73"/>
      <c r="G86" s="73"/>
      <c r="H86" s="73"/>
      <c r="I86" s="73"/>
    </row>
    <row r="87" ht="17.4" spans="1:9">
      <c r="A87" s="62" t="s">
        <v>76</v>
      </c>
      <c r="B87" s="62"/>
      <c r="C87" s="62"/>
      <c r="D87" s="62"/>
      <c r="E87" s="62"/>
      <c r="F87" s="62"/>
      <c r="G87" s="62"/>
      <c r="H87" s="62"/>
      <c r="I87" s="62"/>
    </row>
    <row r="88" spans="1:9">
      <c r="A88" s="63" t="s">
        <v>0</v>
      </c>
      <c r="B88" s="63" t="s">
        <v>31</v>
      </c>
      <c r="C88" s="63" t="s">
        <v>32</v>
      </c>
      <c r="D88" s="63"/>
      <c r="E88" s="63"/>
      <c r="F88" s="63"/>
      <c r="G88" s="63"/>
      <c r="H88" s="63"/>
      <c r="I88" s="63"/>
    </row>
    <row r="89" ht="21.6" spans="1:9">
      <c r="A89" s="63"/>
      <c r="B89" s="63"/>
      <c r="C89" s="63" t="s">
        <v>33</v>
      </c>
      <c r="D89" s="63"/>
      <c r="E89" s="63" t="s">
        <v>2</v>
      </c>
      <c r="F89" s="63" t="s">
        <v>34</v>
      </c>
      <c r="G89" s="63" t="s">
        <v>35</v>
      </c>
      <c r="H89" s="63" t="s">
        <v>36</v>
      </c>
      <c r="I89" s="63" t="s">
        <v>7</v>
      </c>
    </row>
    <row r="90" spans="1:9">
      <c r="A90" s="64">
        <v>5</v>
      </c>
      <c r="B90" s="10" t="s">
        <v>77</v>
      </c>
      <c r="C90" s="10" t="s">
        <v>38</v>
      </c>
      <c r="D90" s="4" t="s">
        <v>39</v>
      </c>
      <c r="E90" s="10" t="s">
        <v>9</v>
      </c>
      <c r="F90" s="10">
        <v>1</v>
      </c>
      <c r="G90" s="3">
        <f>12*1.2</f>
        <v>14.4</v>
      </c>
      <c r="H90" s="3">
        <f t="shared" ref="H90:H92" si="12">G90*F90</f>
        <v>14.4</v>
      </c>
      <c r="I90" s="10"/>
    </row>
    <row r="91" spans="1:9">
      <c r="A91" s="64"/>
      <c r="B91" s="10"/>
      <c r="C91" s="10" t="s">
        <v>40</v>
      </c>
      <c r="D91" s="4" t="s">
        <v>41</v>
      </c>
      <c r="E91" s="10" t="s">
        <v>9</v>
      </c>
      <c r="F91" s="10">
        <v>1</v>
      </c>
      <c r="G91" s="3">
        <f>20*1.2</f>
        <v>24</v>
      </c>
      <c r="H91" s="3">
        <f t="shared" si="12"/>
        <v>24</v>
      </c>
      <c r="I91" s="10"/>
    </row>
    <row r="92" ht="21.6" spans="1:9">
      <c r="A92" s="64"/>
      <c r="B92" s="10"/>
      <c r="C92" s="10" t="s">
        <v>42</v>
      </c>
      <c r="D92" s="4" t="s">
        <v>43</v>
      </c>
      <c r="E92" s="10" t="s">
        <v>9</v>
      </c>
      <c r="F92" s="10">
        <v>1</v>
      </c>
      <c r="G92" s="3">
        <f>4*1.2</f>
        <v>4.8</v>
      </c>
      <c r="H92" s="3">
        <f t="shared" si="12"/>
        <v>4.8</v>
      </c>
      <c r="I92" s="10"/>
    </row>
    <row r="93" spans="1:9">
      <c r="A93" s="64"/>
      <c r="B93" s="10"/>
      <c r="C93" s="74" t="s">
        <v>44</v>
      </c>
      <c r="D93" s="4" t="s">
        <v>78</v>
      </c>
      <c r="E93" s="10" t="s">
        <v>46</v>
      </c>
      <c r="F93" s="3">
        <f>Sheet1!J1*VLOOKUP(D93,Sheet1!A:D,4,0)</f>
        <v>3.8829</v>
      </c>
      <c r="G93" s="3">
        <f>4.5*1.2</f>
        <v>5.4</v>
      </c>
      <c r="H93" s="3">
        <f t="shared" ref="H93:H96" si="13">G93*F93</f>
        <v>20.96766</v>
      </c>
      <c r="I93" s="10"/>
    </row>
    <row r="94" ht="21.6" spans="1:9">
      <c r="A94" s="64"/>
      <c r="B94" s="10"/>
      <c r="C94" s="74"/>
      <c r="D94" s="4" t="s">
        <v>79</v>
      </c>
      <c r="E94" s="10" t="s">
        <v>46</v>
      </c>
      <c r="F94" s="3">
        <f>Sheet1!J2*VLOOKUP(D94,Sheet1!A:D,4,0)</f>
        <v>2.218</v>
      </c>
      <c r="G94" s="3">
        <f>4.5*1.2</f>
        <v>5.4</v>
      </c>
      <c r="H94" s="3">
        <f t="shared" si="13"/>
        <v>11.9772</v>
      </c>
      <c r="I94" s="3" t="s">
        <v>47</v>
      </c>
    </row>
    <row r="95" ht="21.6" spans="1:9">
      <c r="A95" s="64"/>
      <c r="B95" s="10"/>
      <c r="C95" s="74"/>
      <c r="D95" s="4" t="s">
        <v>73</v>
      </c>
      <c r="E95" s="10" t="s">
        <v>46</v>
      </c>
      <c r="F95" s="3">
        <f>Sheet1!J3*VLOOKUP(D95,Sheet1!A:D,4,0)</f>
        <v>4.614</v>
      </c>
      <c r="G95" s="3">
        <f>4.5*1.2</f>
        <v>5.4</v>
      </c>
      <c r="H95" s="3">
        <f t="shared" si="13"/>
        <v>24.9156</v>
      </c>
      <c r="I95" s="3" t="s">
        <v>47</v>
      </c>
    </row>
    <row r="96" ht="21.6" spans="1:9">
      <c r="A96" s="64"/>
      <c r="B96" s="10"/>
      <c r="C96" s="74"/>
      <c r="D96" s="4" t="s">
        <v>50</v>
      </c>
      <c r="E96" s="10" t="s">
        <v>46</v>
      </c>
      <c r="F96" s="3">
        <v>0.1</v>
      </c>
      <c r="G96" s="3">
        <f>VLOOKUP(D96,Sheet1!A:B,2,0)*1.2</f>
        <v>54</v>
      </c>
      <c r="H96" s="3">
        <f t="shared" si="13"/>
        <v>5.4</v>
      </c>
      <c r="I96" s="3"/>
    </row>
    <row r="97" spans="1:9">
      <c r="A97" s="64"/>
      <c r="B97" s="10"/>
      <c r="C97" s="75"/>
      <c r="D97" s="4" t="s">
        <v>51</v>
      </c>
      <c r="E97" s="10"/>
      <c r="F97" s="10"/>
      <c r="G97" s="3"/>
      <c r="H97" s="3">
        <f>SUM(H93:H96)</f>
        <v>63.26046</v>
      </c>
      <c r="I97" s="10"/>
    </row>
    <row r="98" ht="21.6" spans="1:9">
      <c r="A98" s="64"/>
      <c r="B98" s="10"/>
      <c r="C98" s="10" t="s">
        <v>52</v>
      </c>
      <c r="D98" s="4" t="s">
        <v>53</v>
      </c>
      <c r="E98" s="10" t="s">
        <v>54</v>
      </c>
      <c r="F98" s="10">
        <v>3</v>
      </c>
      <c r="G98" s="3">
        <f>VLOOKUP(D98,Sheet1!A:B,2,0)*1.2</f>
        <v>0.96</v>
      </c>
      <c r="H98" s="3">
        <f t="shared" ref="H98:H102" si="14">G98*F98</f>
        <v>2.88</v>
      </c>
      <c r="I98" s="3" t="s">
        <v>47</v>
      </c>
    </row>
    <row r="99" ht="21.6" spans="1:9">
      <c r="A99" s="64"/>
      <c r="B99" s="10"/>
      <c r="C99" s="10"/>
      <c r="D99" s="4" t="s">
        <v>55</v>
      </c>
      <c r="E99" s="10" t="s">
        <v>56</v>
      </c>
      <c r="F99" s="10">
        <v>1.5</v>
      </c>
      <c r="G99" s="3">
        <f>VLOOKUP(D99,Sheet1!A:B,2,0)*1.2</f>
        <v>3.6</v>
      </c>
      <c r="H99" s="3">
        <f t="shared" si="14"/>
        <v>5.4</v>
      </c>
      <c r="I99" s="3" t="s">
        <v>47</v>
      </c>
    </row>
    <row r="100" spans="1:9">
      <c r="A100" s="64"/>
      <c r="B100" s="10"/>
      <c r="C100" s="10"/>
      <c r="D100" s="4" t="s">
        <v>57</v>
      </c>
      <c r="E100" s="10" t="s">
        <v>54</v>
      </c>
      <c r="F100" s="10">
        <v>0.5</v>
      </c>
      <c r="G100" s="3">
        <f>VLOOKUP(D100,Sheet1!A:B,2,0)*1.2</f>
        <v>1.8</v>
      </c>
      <c r="H100" s="3">
        <f t="shared" si="14"/>
        <v>0.9</v>
      </c>
      <c r="I100" s="10"/>
    </row>
    <row r="101" spans="1:9">
      <c r="A101" s="64"/>
      <c r="B101" s="10"/>
      <c r="C101" s="10"/>
      <c r="D101" s="76" t="s">
        <v>80</v>
      </c>
      <c r="E101" s="10" t="s">
        <v>54</v>
      </c>
      <c r="F101" s="10">
        <v>1.5</v>
      </c>
      <c r="G101" s="3">
        <f>VLOOKUP(D101,Sheet1!A:B,2,0)*1.2</f>
        <v>1.8</v>
      </c>
      <c r="H101" s="3">
        <f t="shared" si="14"/>
        <v>2.7</v>
      </c>
      <c r="I101" s="10"/>
    </row>
    <row r="102" ht="21.6" spans="1:9">
      <c r="A102" s="64"/>
      <c r="B102" s="10"/>
      <c r="C102" s="10"/>
      <c r="D102" s="4" t="s">
        <v>59</v>
      </c>
      <c r="E102" s="10" t="s">
        <v>9</v>
      </c>
      <c r="F102" s="10">
        <v>1</v>
      </c>
      <c r="G102" s="3">
        <f>VLOOKUP(D102,Sheet1!A:B,2,0)*1.2</f>
        <v>3.6</v>
      </c>
      <c r="H102" s="3">
        <f t="shared" si="14"/>
        <v>3.6</v>
      </c>
      <c r="I102" s="10" t="s">
        <v>60</v>
      </c>
    </row>
    <row r="103" spans="1:9">
      <c r="A103" s="64"/>
      <c r="B103" s="10"/>
      <c r="C103" s="10"/>
      <c r="D103" s="4" t="s">
        <v>51</v>
      </c>
      <c r="E103" s="4"/>
      <c r="F103" s="10"/>
      <c r="G103" s="3"/>
      <c r="H103" s="3">
        <f>SUM(H98:H102)</f>
        <v>15.48</v>
      </c>
      <c r="I103" s="10"/>
    </row>
    <row r="104" spans="1:9">
      <c r="A104" s="64"/>
      <c r="B104" s="10"/>
      <c r="C104" s="10" t="s">
        <v>61</v>
      </c>
      <c r="D104" s="4" t="s">
        <v>62</v>
      </c>
      <c r="E104" s="10" t="s">
        <v>9</v>
      </c>
      <c r="F104" s="65">
        <v>1</v>
      </c>
      <c r="G104" s="3">
        <f>0.13*1.2</f>
        <v>0.156</v>
      </c>
      <c r="H104" s="66">
        <f>(H90+H91+H92+H97+H103)*G104</f>
        <v>19.02271176</v>
      </c>
      <c r="I104" s="10"/>
    </row>
    <row r="105" spans="1:9">
      <c r="A105" s="64"/>
      <c r="B105" s="10"/>
      <c r="C105" s="67" t="s">
        <v>63</v>
      </c>
      <c r="D105" s="68" t="s">
        <v>64</v>
      </c>
      <c r="E105" s="67"/>
      <c r="F105" s="69"/>
      <c r="G105" s="66"/>
      <c r="H105" s="66">
        <f>H91+H92+H90+H97+H103+H104</f>
        <v>140.96317176</v>
      </c>
      <c r="I105" s="69"/>
    </row>
    <row r="106" spans="1:9">
      <c r="A106" s="64"/>
      <c r="B106" s="10"/>
      <c r="C106" s="70" t="s">
        <v>65</v>
      </c>
      <c r="D106" s="71" t="s">
        <v>66</v>
      </c>
      <c r="E106" s="70" t="s">
        <v>9</v>
      </c>
      <c r="F106" s="70"/>
      <c r="G106" s="72"/>
      <c r="H106" s="72">
        <f>H97+H103</f>
        <v>78.74046</v>
      </c>
      <c r="I106" s="70"/>
    </row>
    <row r="107" spans="1:9">
      <c r="A107" s="64"/>
      <c r="B107" s="10"/>
      <c r="C107" s="70"/>
      <c r="D107" s="71" t="s">
        <v>67</v>
      </c>
      <c r="E107" s="70" t="s">
        <v>9</v>
      </c>
      <c r="F107" s="70"/>
      <c r="G107" s="70"/>
      <c r="H107" s="72">
        <f>H91+H92+H90+H104</f>
        <v>62.22271176</v>
      </c>
      <c r="I107" s="70"/>
    </row>
    <row r="108" spans="1:9">
      <c r="A108" s="73" t="s">
        <v>68</v>
      </c>
      <c r="B108" s="73"/>
      <c r="C108" s="73"/>
      <c r="D108" s="73"/>
      <c r="E108" s="73"/>
      <c r="F108" s="73"/>
      <c r="G108" s="73"/>
      <c r="H108" s="73"/>
      <c r="I108" s="73"/>
    </row>
    <row r="109" ht="17.4" spans="1:9">
      <c r="A109" s="62" t="s">
        <v>81</v>
      </c>
      <c r="B109" s="62"/>
      <c r="C109" s="62"/>
      <c r="D109" s="62"/>
      <c r="E109" s="62"/>
      <c r="F109" s="62"/>
      <c r="G109" s="62"/>
      <c r="H109" s="62"/>
      <c r="I109" s="62"/>
    </row>
    <row r="110" spans="1:9">
      <c r="A110" s="63" t="s">
        <v>0</v>
      </c>
      <c r="B110" s="63" t="s">
        <v>31</v>
      </c>
      <c r="C110" s="63" t="s">
        <v>32</v>
      </c>
      <c r="D110" s="63"/>
      <c r="E110" s="63"/>
      <c r="F110" s="63"/>
      <c r="G110" s="63"/>
      <c r="H110" s="63"/>
      <c r="I110" s="63"/>
    </row>
    <row r="111" ht="21.6" spans="1:9">
      <c r="A111" s="63"/>
      <c r="B111" s="63"/>
      <c r="C111" s="63" t="s">
        <v>33</v>
      </c>
      <c r="D111" s="63"/>
      <c r="E111" s="63" t="s">
        <v>2</v>
      </c>
      <c r="F111" s="63" t="s">
        <v>34</v>
      </c>
      <c r="G111" s="63" t="s">
        <v>35</v>
      </c>
      <c r="H111" s="63" t="s">
        <v>36</v>
      </c>
      <c r="I111" s="63" t="s">
        <v>7</v>
      </c>
    </row>
    <row r="112" spans="1:9">
      <c r="A112" s="64">
        <v>6</v>
      </c>
      <c r="B112" s="10" t="s">
        <v>77</v>
      </c>
      <c r="C112" s="10" t="s">
        <v>38</v>
      </c>
      <c r="D112" s="4" t="s">
        <v>39</v>
      </c>
      <c r="E112" s="10" t="s">
        <v>9</v>
      </c>
      <c r="F112" s="10">
        <v>1</v>
      </c>
      <c r="G112" s="3">
        <f>18*1.2</f>
        <v>21.6</v>
      </c>
      <c r="H112" s="3">
        <f t="shared" ref="H112:H114" si="15">G112*F112</f>
        <v>21.6</v>
      </c>
      <c r="I112" s="10"/>
    </row>
    <row r="113" spans="1:9">
      <c r="A113" s="64"/>
      <c r="B113" s="10"/>
      <c r="C113" s="10" t="s">
        <v>40</v>
      </c>
      <c r="D113" s="4" t="s">
        <v>41</v>
      </c>
      <c r="E113" s="10" t="s">
        <v>9</v>
      </c>
      <c r="F113" s="10">
        <v>1</v>
      </c>
      <c r="G113" s="3">
        <f>25*1.2</f>
        <v>30</v>
      </c>
      <c r="H113" s="3">
        <f t="shared" si="15"/>
        <v>30</v>
      </c>
      <c r="I113" s="10"/>
    </row>
    <row r="114" ht="21.6" spans="1:9">
      <c r="A114" s="64"/>
      <c r="B114" s="10"/>
      <c r="C114" s="10" t="s">
        <v>42</v>
      </c>
      <c r="D114" s="4" t="s">
        <v>43</v>
      </c>
      <c r="E114" s="10" t="s">
        <v>9</v>
      </c>
      <c r="F114" s="10">
        <v>1</v>
      </c>
      <c r="G114" s="3">
        <f>4*1.2</f>
        <v>4.8</v>
      </c>
      <c r="H114" s="3">
        <f t="shared" si="15"/>
        <v>4.8</v>
      </c>
      <c r="I114" s="10"/>
    </row>
    <row r="115" spans="1:9">
      <c r="A115" s="64"/>
      <c r="B115" s="10"/>
      <c r="C115" s="77" t="s">
        <v>44</v>
      </c>
      <c r="D115" s="4" t="s">
        <v>82</v>
      </c>
      <c r="E115" s="10" t="s">
        <v>9</v>
      </c>
      <c r="F115" s="10">
        <v>1</v>
      </c>
      <c r="G115" s="3">
        <f>VLOOKUP(D115,Sheet1!A:B,2,0)*1.2</f>
        <v>36</v>
      </c>
      <c r="H115" s="3">
        <f t="shared" ref="H115:H119" si="16">G115*F115</f>
        <v>36</v>
      </c>
      <c r="I115" s="10"/>
    </row>
    <row r="116" spans="1:9">
      <c r="A116" s="64"/>
      <c r="B116" s="10"/>
      <c r="C116" s="74"/>
      <c r="D116" s="4" t="s">
        <v>78</v>
      </c>
      <c r="E116" s="10" t="s">
        <v>46</v>
      </c>
      <c r="F116" s="3">
        <f>Sheet1!K2*VLOOKUP(D116,Sheet1!A:D,4,0)</f>
        <v>1.849</v>
      </c>
      <c r="G116" s="3">
        <f>4.5*1.2</f>
        <v>5.4</v>
      </c>
      <c r="H116" s="3">
        <f t="shared" si="16"/>
        <v>9.9846</v>
      </c>
      <c r="I116" s="10"/>
    </row>
    <row r="117" ht="21.6" spans="1:9">
      <c r="A117" s="64"/>
      <c r="B117" s="10"/>
      <c r="C117" s="74"/>
      <c r="D117" s="4" t="s">
        <v>48</v>
      </c>
      <c r="E117" s="10" t="s">
        <v>46</v>
      </c>
      <c r="F117" s="3">
        <f>Sheet1!K3*VLOOKUP(D117,Sheet1!A:D,4,0)</f>
        <v>1.978</v>
      </c>
      <c r="G117" s="3">
        <f>4.5*1.2</f>
        <v>5.4</v>
      </c>
      <c r="H117" s="3">
        <f t="shared" si="16"/>
        <v>10.6812</v>
      </c>
      <c r="I117" s="3" t="s">
        <v>47</v>
      </c>
    </row>
    <row r="118" ht="21.6" spans="1:9">
      <c r="A118" s="64"/>
      <c r="B118" s="10"/>
      <c r="C118" s="74"/>
      <c r="D118" s="4" t="s">
        <v>49</v>
      </c>
      <c r="E118" s="10" t="s">
        <v>46</v>
      </c>
      <c r="F118" s="3">
        <f>Sheet1!K4*VLOOKUP(D118,Sheet1!A:D,4,0)</f>
        <v>2.2416</v>
      </c>
      <c r="G118" s="3">
        <f>4.5*1.2</f>
        <v>5.4</v>
      </c>
      <c r="H118" s="3">
        <f t="shared" si="16"/>
        <v>12.10464</v>
      </c>
      <c r="I118" s="3" t="s">
        <v>47</v>
      </c>
    </row>
    <row r="119" ht="21.6" spans="1:9">
      <c r="A119" s="64"/>
      <c r="B119" s="10"/>
      <c r="C119" s="74"/>
      <c r="D119" s="4" t="s">
        <v>50</v>
      </c>
      <c r="E119" s="10" t="s">
        <v>46</v>
      </c>
      <c r="F119" s="3">
        <v>0.1</v>
      </c>
      <c r="G119" s="3">
        <f>VLOOKUP(D119,Sheet1!A:B,2,0)*1.2</f>
        <v>54</v>
      </c>
      <c r="H119" s="3">
        <f t="shared" si="16"/>
        <v>5.4</v>
      </c>
      <c r="I119" s="3"/>
    </row>
    <row r="120" spans="1:9">
      <c r="A120" s="64"/>
      <c r="B120" s="10"/>
      <c r="C120" s="75"/>
      <c r="D120" s="4" t="s">
        <v>51</v>
      </c>
      <c r="E120" s="10"/>
      <c r="F120" s="10"/>
      <c r="G120" s="3"/>
      <c r="H120" s="3">
        <f>SUM(H115:H119)</f>
        <v>74.17044</v>
      </c>
      <c r="I120" s="10"/>
    </row>
    <row r="121" ht="21.6" spans="1:9">
      <c r="A121" s="64"/>
      <c r="B121" s="10"/>
      <c r="C121" s="10" t="s">
        <v>52</v>
      </c>
      <c r="D121" s="4" t="s">
        <v>53</v>
      </c>
      <c r="E121" s="10" t="s">
        <v>54</v>
      </c>
      <c r="F121" s="10">
        <v>3</v>
      </c>
      <c r="G121" s="3">
        <f>VLOOKUP(D121,Sheet1!A:B,2,0)*1.2</f>
        <v>0.96</v>
      </c>
      <c r="H121" s="3">
        <f t="shared" ref="H121:H125" si="17">G121*F121</f>
        <v>2.88</v>
      </c>
      <c r="I121" s="3" t="s">
        <v>47</v>
      </c>
    </row>
    <row r="122" ht="21.6" spans="1:9">
      <c r="A122" s="64"/>
      <c r="B122" s="10"/>
      <c r="C122" s="10"/>
      <c r="D122" s="4" t="s">
        <v>55</v>
      </c>
      <c r="E122" s="10" t="s">
        <v>56</v>
      </c>
      <c r="F122" s="10">
        <v>1.5</v>
      </c>
      <c r="G122" s="3">
        <f>VLOOKUP(D122,Sheet1!A:B,2,0)*1.2</f>
        <v>3.6</v>
      </c>
      <c r="H122" s="3">
        <f t="shared" si="17"/>
        <v>5.4</v>
      </c>
      <c r="I122" s="3" t="s">
        <v>47</v>
      </c>
    </row>
    <row r="123" spans="1:9">
      <c r="A123" s="64"/>
      <c r="B123" s="10"/>
      <c r="C123" s="10"/>
      <c r="D123" s="4" t="s">
        <v>57</v>
      </c>
      <c r="E123" s="10" t="s">
        <v>54</v>
      </c>
      <c r="F123" s="10">
        <v>0.5</v>
      </c>
      <c r="G123" s="3">
        <f>VLOOKUP(D123,Sheet1!A:B,2,0)*1.2</f>
        <v>1.8</v>
      </c>
      <c r="H123" s="3">
        <f t="shared" si="17"/>
        <v>0.9</v>
      </c>
      <c r="I123" s="10"/>
    </row>
    <row r="124" spans="1:9">
      <c r="A124" s="64"/>
      <c r="B124" s="10"/>
      <c r="C124" s="10"/>
      <c r="D124" s="76" t="s">
        <v>80</v>
      </c>
      <c r="E124" s="10" t="s">
        <v>54</v>
      </c>
      <c r="F124" s="10">
        <v>1.5</v>
      </c>
      <c r="G124" s="3">
        <f>VLOOKUP(D124,Sheet1!A:B,2,0)*1.2</f>
        <v>1.8</v>
      </c>
      <c r="H124" s="3">
        <f t="shared" si="17"/>
        <v>2.7</v>
      </c>
      <c r="I124" s="10"/>
    </row>
    <row r="125" ht="21.6" spans="1:9">
      <c r="A125" s="64"/>
      <c r="B125" s="10"/>
      <c r="C125" s="10"/>
      <c r="D125" s="4" t="s">
        <v>59</v>
      </c>
      <c r="E125" s="10" t="s">
        <v>9</v>
      </c>
      <c r="F125" s="10">
        <v>1</v>
      </c>
      <c r="G125" s="3">
        <f>VLOOKUP(D125,Sheet1!A:B,2,0)*1.2</f>
        <v>3.6</v>
      </c>
      <c r="H125" s="3">
        <f t="shared" si="17"/>
        <v>3.6</v>
      </c>
      <c r="I125" s="10" t="s">
        <v>60</v>
      </c>
    </row>
    <row r="126" spans="1:9">
      <c r="A126" s="64"/>
      <c r="B126" s="10"/>
      <c r="C126" s="10"/>
      <c r="D126" s="4" t="s">
        <v>51</v>
      </c>
      <c r="E126" s="4"/>
      <c r="F126" s="10"/>
      <c r="G126" s="3"/>
      <c r="H126" s="3">
        <f>SUM(H121:H125)</f>
        <v>15.48</v>
      </c>
      <c r="I126" s="10"/>
    </row>
    <row r="127" spans="1:9">
      <c r="A127" s="64"/>
      <c r="B127" s="10"/>
      <c r="C127" s="10" t="s">
        <v>61</v>
      </c>
      <c r="D127" s="4" t="s">
        <v>62</v>
      </c>
      <c r="E127" s="10" t="s">
        <v>9</v>
      </c>
      <c r="F127" s="65">
        <v>1</v>
      </c>
      <c r="G127" s="3">
        <f>0.13*1.2</f>
        <v>0.156</v>
      </c>
      <c r="H127" s="66">
        <f>(H113+H114+H112+H120+H126)*G127</f>
        <v>22.78386864</v>
      </c>
      <c r="I127" s="10"/>
    </row>
    <row r="128" spans="1:9">
      <c r="A128" s="64"/>
      <c r="B128" s="10"/>
      <c r="C128" s="67" t="s">
        <v>63</v>
      </c>
      <c r="D128" s="68" t="s">
        <v>64</v>
      </c>
      <c r="E128" s="67"/>
      <c r="F128" s="69"/>
      <c r="G128" s="66"/>
      <c r="H128" s="66">
        <f>H114+H112+H113+H120+H126+H127</f>
        <v>168.83430864</v>
      </c>
      <c r="I128" s="69"/>
    </row>
    <row r="129" spans="1:9">
      <c r="A129" s="64"/>
      <c r="B129" s="10"/>
      <c r="C129" s="70" t="s">
        <v>65</v>
      </c>
      <c r="D129" s="71" t="s">
        <v>66</v>
      </c>
      <c r="E129" s="70" t="s">
        <v>9</v>
      </c>
      <c r="F129" s="70"/>
      <c r="G129" s="72"/>
      <c r="H129" s="72">
        <f>H120+H126</f>
        <v>89.65044</v>
      </c>
      <c r="I129" s="70"/>
    </row>
    <row r="130" spans="1:9">
      <c r="A130" s="64"/>
      <c r="B130" s="10"/>
      <c r="C130" s="70"/>
      <c r="D130" s="71" t="s">
        <v>67</v>
      </c>
      <c r="E130" s="70" t="s">
        <v>9</v>
      </c>
      <c r="F130" s="70"/>
      <c r="G130" s="70"/>
      <c r="H130" s="72">
        <f>H114+H112+H113+H127</f>
        <v>79.18386864</v>
      </c>
      <c r="I130" s="70"/>
    </row>
    <row r="131" spans="1:9">
      <c r="A131" s="73" t="s">
        <v>68</v>
      </c>
      <c r="B131" s="73"/>
      <c r="C131" s="73"/>
      <c r="D131" s="73"/>
      <c r="E131" s="73"/>
      <c r="F131" s="73"/>
      <c r="G131" s="73"/>
      <c r="H131" s="73"/>
      <c r="I131" s="73"/>
    </row>
    <row r="133" ht="17.4" spans="1:9">
      <c r="A133" s="62" t="s">
        <v>83</v>
      </c>
      <c r="B133" s="62"/>
      <c r="C133" s="62"/>
      <c r="D133" s="62"/>
      <c r="E133" s="62"/>
      <c r="F133" s="62"/>
      <c r="G133" s="62"/>
      <c r="H133" s="62"/>
      <c r="I133" s="62"/>
    </row>
    <row r="134" spans="1:9">
      <c r="A134" s="63" t="s">
        <v>0</v>
      </c>
      <c r="B134" s="63" t="s">
        <v>31</v>
      </c>
      <c r="C134" s="63" t="s">
        <v>32</v>
      </c>
      <c r="D134" s="63"/>
      <c r="E134" s="63"/>
      <c r="F134" s="63"/>
      <c r="G134" s="63"/>
      <c r="H134" s="63"/>
      <c r="I134" s="63"/>
    </row>
    <row r="135" ht="21.6" spans="1:9">
      <c r="A135" s="63"/>
      <c r="B135" s="63"/>
      <c r="C135" s="63" t="s">
        <v>33</v>
      </c>
      <c r="D135" s="63"/>
      <c r="E135" s="63" t="s">
        <v>2</v>
      </c>
      <c r="F135" s="63" t="s">
        <v>34</v>
      </c>
      <c r="G135" s="63" t="s">
        <v>35</v>
      </c>
      <c r="H135" s="63" t="s">
        <v>36</v>
      </c>
      <c r="I135" s="63" t="s">
        <v>7</v>
      </c>
    </row>
    <row r="136" spans="1:9">
      <c r="A136" s="64">
        <v>7</v>
      </c>
      <c r="B136" s="10" t="s">
        <v>77</v>
      </c>
      <c r="C136" s="10" t="s">
        <v>38</v>
      </c>
      <c r="D136" s="4" t="s">
        <v>39</v>
      </c>
      <c r="E136" s="10" t="s">
        <v>9</v>
      </c>
      <c r="F136" s="10">
        <v>1</v>
      </c>
      <c r="G136" s="3">
        <f>5*1.2</f>
        <v>6</v>
      </c>
      <c r="H136" s="3">
        <f t="shared" ref="H136:H138" si="18">G136*F136</f>
        <v>6</v>
      </c>
      <c r="I136" s="10"/>
    </row>
    <row r="137" spans="1:9">
      <c r="A137" s="64"/>
      <c r="B137" s="10"/>
      <c r="C137" s="10" t="s">
        <v>40</v>
      </c>
      <c r="D137" s="4" t="s">
        <v>41</v>
      </c>
      <c r="E137" s="10" t="s">
        <v>9</v>
      </c>
      <c r="F137" s="10">
        <v>1</v>
      </c>
      <c r="G137" s="3">
        <f>15*1.2</f>
        <v>18</v>
      </c>
      <c r="H137" s="3">
        <v>15</v>
      </c>
      <c r="I137" s="10"/>
    </row>
    <row r="138" ht="21.6" spans="1:9">
      <c r="A138" s="64"/>
      <c r="B138" s="10"/>
      <c r="C138" s="10" t="s">
        <v>42</v>
      </c>
      <c r="D138" s="4" t="s">
        <v>43</v>
      </c>
      <c r="E138" s="10" t="s">
        <v>9</v>
      </c>
      <c r="F138" s="10">
        <v>1</v>
      </c>
      <c r="G138" s="3">
        <f>1.5*1.2</f>
        <v>1.8</v>
      </c>
      <c r="H138" s="3">
        <f t="shared" si="18"/>
        <v>1.8</v>
      </c>
      <c r="I138" s="10"/>
    </row>
    <row r="139" spans="1:9">
      <c r="A139" s="64"/>
      <c r="B139" s="10"/>
      <c r="C139" s="77" t="s">
        <v>44</v>
      </c>
      <c r="D139" s="4" t="s">
        <v>82</v>
      </c>
      <c r="E139" s="10" t="s">
        <v>9</v>
      </c>
      <c r="F139" s="10">
        <v>1</v>
      </c>
      <c r="G139" s="3">
        <f>VLOOKUP(D139,Sheet1!A:B,2,0)*1.2</f>
        <v>36</v>
      </c>
      <c r="H139" s="3">
        <f t="shared" ref="H139:H141" si="19">G139*F139</f>
        <v>36</v>
      </c>
      <c r="I139" s="10"/>
    </row>
    <row r="140" spans="1:9">
      <c r="A140" s="64"/>
      <c r="B140" s="10"/>
      <c r="C140" s="74"/>
      <c r="D140" s="4" t="s">
        <v>84</v>
      </c>
      <c r="E140" s="10" t="s">
        <v>46</v>
      </c>
      <c r="F140" s="3">
        <f>Sheet1!F140*VLOOKUP(D140,Sheet1!A:D,4,0)</f>
        <v>0.2364</v>
      </c>
      <c r="G140" s="3">
        <f>4.5*1.2</f>
        <v>5.4</v>
      </c>
      <c r="H140" s="3">
        <f t="shared" si="19"/>
        <v>1.27656</v>
      </c>
      <c r="I140" s="10"/>
    </row>
    <row r="141" ht="21.6" spans="1:9">
      <c r="A141" s="64"/>
      <c r="B141" s="10"/>
      <c r="C141" s="74"/>
      <c r="D141" s="4" t="s">
        <v>50</v>
      </c>
      <c r="E141" s="10" t="s">
        <v>46</v>
      </c>
      <c r="F141" s="3">
        <v>0.1</v>
      </c>
      <c r="G141" s="3">
        <f>VLOOKUP(D141,Sheet1!A:B,2,0)*1.2</f>
        <v>54</v>
      </c>
      <c r="H141" s="3">
        <f t="shared" si="19"/>
        <v>5.4</v>
      </c>
      <c r="I141" s="3"/>
    </row>
    <row r="142" spans="1:9">
      <c r="A142" s="64"/>
      <c r="B142" s="10"/>
      <c r="C142" s="75"/>
      <c r="D142" s="4" t="s">
        <v>51</v>
      </c>
      <c r="E142" s="10"/>
      <c r="F142" s="10"/>
      <c r="G142" s="3"/>
      <c r="H142" s="3">
        <f>SUM(H139:H141)</f>
        <v>42.67656</v>
      </c>
      <c r="I142" s="10"/>
    </row>
    <row r="143" ht="21.6" spans="1:9">
      <c r="A143" s="64"/>
      <c r="B143" s="10"/>
      <c r="C143" s="10" t="s">
        <v>52</v>
      </c>
      <c r="D143" s="4" t="s">
        <v>53</v>
      </c>
      <c r="E143" s="10" t="s">
        <v>54</v>
      </c>
      <c r="F143" s="10">
        <v>4</v>
      </c>
      <c r="G143" s="3">
        <f>VLOOKUP(D143,Sheet1!A:B,2,0)*1.2</f>
        <v>0.96</v>
      </c>
      <c r="H143" s="3">
        <f t="shared" ref="H143:H147" si="20">G143*F143</f>
        <v>3.84</v>
      </c>
      <c r="I143" s="3" t="s">
        <v>47</v>
      </c>
    </row>
    <row r="144" ht="21.6" spans="1:9">
      <c r="A144" s="64"/>
      <c r="B144" s="10"/>
      <c r="C144" s="10"/>
      <c r="D144" s="4" t="s">
        <v>55</v>
      </c>
      <c r="E144" s="10" t="s">
        <v>56</v>
      </c>
      <c r="F144" s="10">
        <v>2</v>
      </c>
      <c r="G144" s="3">
        <f>VLOOKUP(D144,Sheet1!A:B,2,0)*1.2</f>
        <v>3.6</v>
      </c>
      <c r="H144" s="3">
        <f t="shared" si="20"/>
        <v>7.2</v>
      </c>
      <c r="I144" s="3" t="s">
        <v>47</v>
      </c>
    </row>
    <row r="145" spans="1:9">
      <c r="A145" s="64"/>
      <c r="B145" s="10"/>
      <c r="C145" s="10"/>
      <c r="D145" s="4" t="s">
        <v>57</v>
      </c>
      <c r="E145" s="10" t="s">
        <v>54</v>
      </c>
      <c r="F145" s="10">
        <v>2</v>
      </c>
      <c r="G145" s="3">
        <f>VLOOKUP(D145,Sheet1!A:B,2,0)*1.2</f>
        <v>1.8</v>
      </c>
      <c r="H145" s="3">
        <f t="shared" si="20"/>
        <v>3.6</v>
      </c>
      <c r="I145" s="10"/>
    </row>
    <row r="146" spans="1:9">
      <c r="A146" s="64"/>
      <c r="B146" s="10"/>
      <c r="C146" s="10"/>
      <c r="D146" s="76" t="s">
        <v>80</v>
      </c>
      <c r="E146" s="10" t="s">
        <v>54</v>
      </c>
      <c r="F146" s="10">
        <v>2</v>
      </c>
      <c r="G146" s="3">
        <f>VLOOKUP(D146,Sheet1!A:B,2,0)*1.2</f>
        <v>1.8</v>
      </c>
      <c r="H146" s="3">
        <f t="shared" si="20"/>
        <v>3.6</v>
      </c>
      <c r="I146" s="10"/>
    </row>
    <row r="147" ht="21.6" spans="1:9">
      <c r="A147" s="64"/>
      <c r="B147" s="10"/>
      <c r="C147" s="10"/>
      <c r="D147" s="4" t="s">
        <v>59</v>
      </c>
      <c r="E147" s="10" t="s">
        <v>9</v>
      </c>
      <c r="F147" s="10">
        <v>1</v>
      </c>
      <c r="G147" s="3">
        <f>VLOOKUP(D147,Sheet1!A:B,2,0)*1.2</f>
        <v>3.6</v>
      </c>
      <c r="H147" s="3">
        <f t="shared" si="20"/>
        <v>3.6</v>
      </c>
      <c r="I147" s="10" t="s">
        <v>60</v>
      </c>
    </row>
    <row r="148" spans="1:9">
      <c r="A148" s="64"/>
      <c r="B148" s="10"/>
      <c r="C148" s="10"/>
      <c r="D148" s="4" t="s">
        <v>51</v>
      </c>
      <c r="E148" s="4"/>
      <c r="F148" s="10"/>
      <c r="G148" s="3"/>
      <c r="H148" s="3">
        <f>SUM(H143:H147)</f>
        <v>21.84</v>
      </c>
      <c r="I148" s="10"/>
    </row>
    <row r="149" spans="1:9">
      <c r="A149" s="64"/>
      <c r="B149" s="10"/>
      <c r="C149" s="10" t="s">
        <v>61</v>
      </c>
      <c r="D149" s="4" t="s">
        <v>62</v>
      </c>
      <c r="E149" s="10" t="s">
        <v>9</v>
      </c>
      <c r="F149" s="65">
        <v>1</v>
      </c>
      <c r="G149" s="3">
        <f>0.13*1.2</f>
        <v>0.156</v>
      </c>
      <c r="H149" s="66">
        <f>(H136+H137+H138+H142+H148)*G149</f>
        <v>13.62138336</v>
      </c>
      <c r="I149" s="10"/>
    </row>
    <row r="150" spans="1:9">
      <c r="A150" s="64"/>
      <c r="B150" s="10"/>
      <c r="C150" s="67" t="s">
        <v>63</v>
      </c>
      <c r="D150" s="68" t="s">
        <v>64</v>
      </c>
      <c r="E150" s="67"/>
      <c r="F150" s="69"/>
      <c r="G150" s="66"/>
      <c r="H150" s="66">
        <f>H149+H148+H142+H138+H137+H136</f>
        <v>100.93794336</v>
      </c>
      <c r="I150" s="69"/>
    </row>
    <row r="151" spans="1:9">
      <c r="A151" s="64"/>
      <c r="B151" s="10"/>
      <c r="C151" s="70" t="s">
        <v>65</v>
      </c>
      <c r="D151" s="71" t="s">
        <v>66</v>
      </c>
      <c r="E151" s="70" t="s">
        <v>9</v>
      </c>
      <c r="F151" s="70"/>
      <c r="G151" s="72"/>
      <c r="H151" s="72">
        <f>H142+H148</f>
        <v>64.51656</v>
      </c>
      <c r="I151" s="70"/>
    </row>
    <row r="152" spans="1:9">
      <c r="A152" s="64"/>
      <c r="B152" s="10"/>
      <c r="C152" s="70"/>
      <c r="D152" s="71" t="s">
        <v>67</v>
      </c>
      <c r="E152" s="70" t="s">
        <v>9</v>
      </c>
      <c r="F152" s="70"/>
      <c r="G152" s="70"/>
      <c r="H152" s="72">
        <f>H136+H137+H138+H149</f>
        <v>36.42138336</v>
      </c>
      <c r="I152" s="70"/>
    </row>
    <row r="153" spans="1:9">
      <c r="A153" s="73" t="s">
        <v>68</v>
      </c>
      <c r="B153" s="73"/>
      <c r="C153" s="73"/>
      <c r="D153" s="73"/>
      <c r="E153" s="73"/>
      <c r="F153" s="73"/>
      <c r="G153" s="73"/>
      <c r="H153" s="73"/>
      <c r="I153" s="73"/>
    </row>
  </sheetData>
  <mergeCells count="77">
    <mergeCell ref="A1:I1"/>
    <mergeCell ref="C2:I2"/>
    <mergeCell ref="C3:D3"/>
    <mergeCell ref="A22:I22"/>
    <mergeCell ref="A23:I23"/>
    <mergeCell ref="C24:I24"/>
    <mergeCell ref="C25:D25"/>
    <mergeCell ref="A44:I44"/>
    <mergeCell ref="A45:I45"/>
    <mergeCell ref="C46:I46"/>
    <mergeCell ref="C47:D47"/>
    <mergeCell ref="A65:I65"/>
    <mergeCell ref="A66:I66"/>
    <mergeCell ref="C67:I67"/>
    <mergeCell ref="C68:D68"/>
    <mergeCell ref="A86:I86"/>
    <mergeCell ref="A87:I87"/>
    <mergeCell ref="C88:I88"/>
    <mergeCell ref="C89:D89"/>
    <mergeCell ref="A108:I108"/>
    <mergeCell ref="A109:I109"/>
    <mergeCell ref="C110:I110"/>
    <mergeCell ref="C111:D111"/>
    <mergeCell ref="A131:I131"/>
    <mergeCell ref="A133:I133"/>
    <mergeCell ref="C134:I134"/>
    <mergeCell ref="C135:D135"/>
    <mergeCell ref="A153:I153"/>
    <mergeCell ref="A2:A3"/>
    <mergeCell ref="A4:A21"/>
    <mergeCell ref="A24:A25"/>
    <mergeCell ref="A26:A43"/>
    <mergeCell ref="A46:A47"/>
    <mergeCell ref="A48:A64"/>
    <mergeCell ref="A67:A68"/>
    <mergeCell ref="A69:A85"/>
    <mergeCell ref="A88:A89"/>
    <mergeCell ref="A90:A107"/>
    <mergeCell ref="A110:A111"/>
    <mergeCell ref="A112:A130"/>
    <mergeCell ref="A134:A135"/>
    <mergeCell ref="A136:A152"/>
    <mergeCell ref="B2:B3"/>
    <mergeCell ref="B4:B21"/>
    <mergeCell ref="B24:B25"/>
    <mergeCell ref="B26:B43"/>
    <mergeCell ref="B46:B47"/>
    <mergeCell ref="B48:B64"/>
    <mergeCell ref="B67:B68"/>
    <mergeCell ref="B69:B85"/>
    <mergeCell ref="B88:B89"/>
    <mergeCell ref="B90:B107"/>
    <mergeCell ref="B110:B111"/>
    <mergeCell ref="B112:B130"/>
    <mergeCell ref="B134:B135"/>
    <mergeCell ref="B136:B152"/>
    <mergeCell ref="C7:C11"/>
    <mergeCell ref="C12:C17"/>
    <mergeCell ref="C20:C21"/>
    <mergeCell ref="C29:C33"/>
    <mergeCell ref="C34:C39"/>
    <mergeCell ref="C42:C43"/>
    <mergeCell ref="C51:C54"/>
    <mergeCell ref="C55:C60"/>
    <mergeCell ref="C63:C64"/>
    <mergeCell ref="C72:C75"/>
    <mergeCell ref="C76:C81"/>
    <mergeCell ref="C84:C85"/>
    <mergeCell ref="C93:C97"/>
    <mergeCell ref="C98:C103"/>
    <mergeCell ref="C106:C107"/>
    <mergeCell ref="C115:C120"/>
    <mergeCell ref="C121:C126"/>
    <mergeCell ref="C129:C130"/>
    <mergeCell ref="C139:C142"/>
    <mergeCell ref="C143:C148"/>
    <mergeCell ref="C151:C15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workbookViewId="0">
      <selection activeCell="H11" sqref="H11"/>
    </sheetView>
  </sheetViews>
  <sheetFormatPr defaultColWidth="9" defaultRowHeight="14.4"/>
  <cols>
    <col min="1" max="1" width="6.37962962962963" customWidth="1"/>
    <col min="2" max="2" width="7.25" customWidth="1"/>
    <col min="3" max="3" width="12.1296296296296" customWidth="1"/>
    <col min="4" max="5" width="12.25" customWidth="1"/>
    <col min="7" max="7" width="12.75" customWidth="1"/>
  </cols>
  <sheetData>
    <row r="1" ht="15.6" spans="1:10">
      <c r="A1" s="32" t="s">
        <v>85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34" t="s">
        <v>86</v>
      </c>
      <c r="B2" s="35"/>
      <c r="C2" s="36"/>
      <c r="D2" s="37"/>
      <c r="E2" s="38"/>
      <c r="F2" s="39" t="s">
        <v>87</v>
      </c>
      <c r="G2" s="40"/>
      <c r="H2" s="41"/>
      <c r="I2" s="37"/>
      <c r="J2" s="38"/>
    </row>
    <row r="3" spans="1:10">
      <c r="A3" s="34" t="s">
        <v>88</v>
      </c>
      <c r="B3" s="35"/>
      <c r="C3" s="36"/>
      <c r="D3" s="42"/>
      <c r="E3" s="42"/>
      <c r="F3" s="43" t="s">
        <v>89</v>
      </c>
      <c r="G3" s="43"/>
      <c r="H3" s="34"/>
      <c r="I3" s="35"/>
      <c r="J3" s="36"/>
    </row>
    <row r="4" spans="1:10">
      <c r="A4" s="43" t="s">
        <v>0</v>
      </c>
      <c r="B4" s="43" t="s">
        <v>90</v>
      </c>
      <c r="C4" s="43"/>
      <c r="D4" s="43" t="s">
        <v>91</v>
      </c>
      <c r="E4" s="43"/>
      <c r="F4" s="43" t="s">
        <v>2</v>
      </c>
      <c r="G4" s="43" t="s">
        <v>92</v>
      </c>
      <c r="H4" s="43" t="s">
        <v>93</v>
      </c>
      <c r="I4" s="43" t="s">
        <v>94</v>
      </c>
      <c r="J4" s="43" t="s">
        <v>7</v>
      </c>
    </row>
    <row r="5" spans="1:10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>
      <c r="A6" s="44">
        <v>1</v>
      </c>
      <c r="B6" s="45" t="s">
        <v>39</v>
      </c>
      <c r="C6" s="45"/>
      <c r="D6" s="45"/>
      <c r="E6" s="45"/>
      <c r="F6" s="45" t="s">
        <v>95</v>
      </c>
      <c r="G6" s="46">
        <v>1</v>
      </c>
      <c r="H6" s="47">
        <f>35*1.2</f>
        <v>42</v>
      </c>
      <c r="I6" s="47">
        <v>35</v>
      </c>
      <c r="J6" s="45" t="s">
        <v>96</v>
      </c>
    </row>
    <row r="7" spans="1:10">
      <c r="A7" s="44"/>
      <c r="B7" s="45" t="s">
        <v>41</v>
      </c>
      <c r="C7" s="45"/>
      <c r="D7" s="45"/>
      <c r="E7" s="45"/>
      <c r="F7" s="45" t="s">
        <v>95</v>
      </c>
      <c r="G7" s="46">
        <v>1</v>
      </c>
      <c r="H7" s="47">
        <f>35*1.2</f>
        <v>42</v>
      </c>
      <c r="I7" s="47">
        <f t="shared" ref="I6:I17" si="0">H7*G7</f>
        <v>42</v>
      </c>
      <c r="J7" s="45" t="s">
        <v>96</v>
      </c>
    </row>
    <row r="8" spans="1:10">
      <c r="A8" s="44">
        <v>2</v>
      </c>
      <c r="B8" s="48" t="s">
        <v>97</v>
      </c>
      <c r="C8" s="49"/>
      <c r="D8" s="50" t="s">
        <v>98</v>
      </c>
      <c r="E8" s="50"/>
      <c r="F8" s="44" t="s">
        <v>46</v>
      </c>
      <c r="G8" s="45">
        <v>0.79</v>
      </c>
      <c r="H8" s="47">
        <f>26*1.2</f>
        <v>31.2</v>
      </c>
      <c r="I8" s="47">
        <f t="shared" si="0"/>
        <v>24.648</v>
      </c>
      <c r="J8" s="45" t="s">
        <v>96</v>
      </c>
    </row>
    <row r="9" spans="1:10">
      <c r="A9" s="44"/>
      <c r="B9" s="51"/>
      <c r="C9" s="52"/>
      <c r="D9" s="50" t="s">
        <v>99</v>
      </c>
      <c r="E9" s="50"/>
      <c r="F9" s="44" t="s">
        <v>46</v>
      </c>
      <c r="G9" s="45">
        <v>0.37</v>
      </c>
      <c r="H9" s="47">
        <f>26*1.2</f>
        <v>31.2</v>
      </c>
      <c r="I9" s="47">
        <f t="shared" si="0"/>
        <v>11.544</v>
      </c>
      <c r="J9" s="45" t="s">
        <v>96</v>
      </c>
    </row>
    <row r="10" spans="1:10">
      <c r="A10" s="44"/>
      <c r="B10" s="51"/>
      <c r="C10" s="52"/>
      <c r="D10" s="50" t="s">
        <v>100</v>
      </c>
      <c r="E10" s="50"/>
      <c r="F10" s="44" t="s">
        <v>46</v>
      </c>
      <c r="G10" s="45">
        <f>8*0.15</f>
        <v>1.2</v>
      </c>
      <c r="H10" s="47">
        <f>26*1.2</f>
        <v>31.2</v>
      </c>
      <c r="I10" s="47">
        <f t="shared" si="0"/>
        <v>37.44</v>
      </c>
      <c r="J10" s="45" t="s">
        <v>96</v>
      </c>
    </row>
    <row r="11" spans="1:10">
      <c r="A11" s="44"/>
      <c r="B11" s="45" t="s">
        <v>101</v>
      </c>
      <c r="C11" s="45"/>
      <c r="D11" s="50" t="s">
        <v>102</v>
      </c>
      <c r="E11" s="50"/>
      <c r="F11" s="45" t="s">
        <v>54</v>
      </c>
      <c r="G11" s="46">
        <v>0</v>
      </c>
      <c r="H11" s="47">
        <f>VLOOKUP(D11,Sheet1!A:B,2,0)*1.2</f>
        <v>3.6</v>
      </c>
      <c r="I11" s="47">
        <f t="shared" si="0"/>
        <v>0</v>
      </c>
      <c r="J11" s="45" t="s">
        <v>96</v>
      </c>
    </row>
    <row r="12" spans="1:10">
      <c r="A12" s="44">
        <v>3</v>
      </c>
      <c r="B12" s="53" t="s">
        <v>103</v>
      </c>
      <c r="C12" s="53"/>
      <c r="D12" s="54" t="s">
        <v>104</v>
      </c>
      <c r="E12" s="50"/>
      <c r="F12" s="45" t="s">
        <v>105</v>
      </c>
      <c r="G12" s="46">
        <v>0.3</v>
      </c>
      <c r="H12" s="47">
        <f>VLOOKUP(D12,Sheet1!A:B,2,0)*1.2</f>
        <v>12</v>
      </c>
      <c r="I12" s="47">
        <f t="shared" si="0"/>
        <v>3.6</v>
      </c>
      <c r="J12" s="45" t="s">
        <v>96</v>
      </c>
    </row>
    <row r="13" spans="1:10">
      <c r="A13" s="44"/>
      <c r="B13" s="53"/>
      <c r="C13" s="53"/>
      <c r="D13" s="54" t="s">
        <v>106</v>
      </c>
      <c r="E13" s="50"/>
      <c r="F13" s="45" t="s">
        <v>105</v>
      </c>
      <c r="G13" s="46">
        <v>0.4</v>
      </c>
      <c r="H13" s="47">
        <f>VLOOKUP(D13,Sheet1!A:B,2,0)*1.2</f>
        <v>18</v>
      </c>
      <c r="I13" s="47">
        <f t="shared" si="0"/>
        <v>7.2</v>
      </c>
      <c r="J13" s="45" t="s">
        <v>96</v>
      </c>
    </row>
    <row r="14" ht="16.2" spans="1:10">
      <c r="A14" s="44">
        <v>4</v>
      </c>
      <c r="B14" s="53"/>
      <c r="C14" s="53"/>
      <c r="D14" s="45" t="s">
        <v>107</v>
      </c>
      <c r="E14" s="45"/>
      <c r="F14" s="44" t="s">
        <v>108</v>
      </c>
      <c r="G14" s="45">
        <v>1</v>
      </c>
      <c r="H14" s="47">
        <f>VLOOKUP(D14,Sheet1!A:B,2,0)*1.2</f>
        <v>12</v>
      </c>
      <c r="I14" s="47">
        <f t="shared" si="0"/>
        <v>12</v>
      </c>
      <c r="J14" s="45" t="s">
        <v>96</v>
      </c>
    </row>
    <row r="15" spans="1:10">
      <c r="A15" s="44"/>
      <c r="B15" s="53"/>
      <c r="C15" s="53"/>
      <c r="D15" s="45" t="s">
        <v>109</v>
      </c>
      <c r="E15" s="45"/>
      <c r="F15" s="55" t="s">
        <v>95</v>
      </c>
      <c r="G15" s="45">
        <v>1</v>
      </c>
      <c r="H15" s="47">
        <f>VLOOKUP(D15,Sheet1!A:B,2,0)*1.2</f>
        <v>3.6</v>
      </c>
      <c r="I15" s="47">
        <f t="shared" si="0"/>
        <v>3.6</v>
      </c>
      <c r="J15" s="45" t="s">
        <v>96</v>
      </c>
    </row>
    <row r="16" spans="1:10">
      <c r="A16" s="44"/>
      <c r="B16" s="53"/>
      <c r="C16" s="53"/>
      <c r="D16" s="45"/>
      <c r="E16" s="45"/>
      <c r="F16" s="44"/>
      <c r="G16" s="45"/>
      <c r="H16" s="47"/>
      <c r="I16" s="47"/>
      <c r="J16" s="45" t="s">
        <v>96</v>
      </c>
    </row>
    <row r="17" spans="1:10">
      <c r="A17" s="44">
        <v>5</v>
      </c>
      <c r="B17" s="45" t="s">
        <v>110</v>
      </c>
      <c r="C17" s="45"/>
      <c r="D17" s="45"/>
      <c r="E17" s="45"/>
      <c r="F17" s="45" t="s">
        <v>95</v>
      </c>
      <c r="G17" s="45">
        <v>1</v>
      </c>
      <c r="H17" s="47">
        <f>4*1.2</f>
        <v>4.8</v>
      </c>
      <c r="I17" s="47">
        <f t="shared" si="0"/>
        <v>4.8</v>
      </c>
      <c r="J17" s="45" t="s">
        <v>96</v>
      </c>
    </row>
    <row r="18" spans="1:10">
      <c r="A18" s="44">
        <v>6</v>
      </c>
      <c r="B18" s="45" t="s">
        <v>111</v>
      </c>
      <c r="C18" s="45"/>
      <c r="D18" s="55" t="s">
        <v>112</v>
      </c>
      <c r="E18" s="45"/>
      <c r="F18" s="45" t="s">
        <v>95</v>
      </c>
      <c r="G18" s="46">
        <f>SUM(I6:I17)</f>
        <v>181.832</v>
      </c>
      <c r="H18" s="46"/>
      <c r="I18" s="46"/>
      <c r="J18" s="9"/>
    </row>
    <row r="19" ht="72" spans="1:10">
      <c r="A19" s="44">
        <v>7</v>
      </c>
      <c r="B19" s="45" t="s">
        <v>113</v>
      </c>
      <c r="C19" s="45"/>
      <c r="D19" s="56" t="s">
        <v>114</v>
      </c>
      <c r="E19" s="57">
        <v>0.13</v>
      </c>
      <c r="F19" s="45" t="s">
        <v>95</v>
      </c>
      <c r="G19" s="46">
        <f>G18*E19</f>
        <v>23.63816</v>
      </c>
      <c r="H19" s="46"/>
      <c r="I19" s="46"/>
      <c r="J19" s="9" t="s">
        <v>115</v>
      </c>
    </row>
    <row r="20" spans="1:10">
      <c r="A20" s="58">
        <v>8</v>
      </c>
      <c r="B20" s="58" t="s">
        <v>116</v>
      </c>
      <c r="C20" s="58"/>
      <c r="D20" s="58" t="s">
        <v>117</v>
      </c>
      <c r="E20" s="58"/>
      <c r="F20" s="45" t="s">
        <v>95</v>
      </c>
      <c r="G20" s="59">
        <f>G19+G18</f>
        <v>205.47016</v>
      </c>
      <c r="H20" s="59"/>
      <c r="I20" s="59"/>
      <c r="J20" s="60"/>
    </row>
    <row r="22" ht="15.6" spans="1:10">
      <c r="A22" s="32" t="s">
        <v>118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>
      <c r="A23" s="34" t="s">
        <v>86</v>
      </c>
      <c r="B23" s="35"/>
      <c r="C23" s="36"/>
      <c r="D23" s="37">
        <f>[1]清单!B36</f>
        <v>0</v>
      </c>
      <c r="E23" s="38"/>
      <c r="F23" s="39" t="s">
        <v>87</v>
      </c>
      <c r="G23" s="40"/>
      <c r="H23" s="41"/>
      <c r="I23" s="37"/>
      <c r="J23" s="38"/>
    </row>
    <row r="24" spans="1:10">
      <c r="A24" s="34" t="s">
        <v>88</v>
      </c>
      <c r="B24" s="35"/>
      <c r="C24" s="36"/>
      <c r="D24" s="42"/>
      <c r="E24" s="42"/>
      <c r="F24" s="43" t="s">
        <v>89</v>
      </c>
      <c r="G24" s="43"/>
      <c r="H24" s="34"/>
      <c r="I24" s="35"/>
      <c r="J24" s="36"/>
    </row>
    <row r="25" spans="1:10">
      <c r="A25" s="43" t="s">
        <v>0</v>
      </c>
      <c r="B25" s="43" t="s">
        <v>90</v>
      </c>
      <c r="C25" s="43"/>
      <c r="D25" s="43" t="s">
        <v>91</v>
      </c>
      <c r="E25" s="43"/>
      <c r="F25" s="43" t="s">
        <v>2</v>
      </c>
      <c r="G25" s="43" t="s">
        <v>92</v>
      </c>
      <c r="H25" s="43" t="s">
        <v>93</v>
      </c>
      <c r="I25" s="43" t="s">
        <v>94</v>
      </c>
      <c r="J25" s="43" t="s">
        <v>7</v>
      </c>
    </row>
    <row r="26" spans="1:10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>
      <c r="A27" s="44">
        <v>1</v>
      </c>
      <c r="B27" s="45" t="s">
        <v>39</v>
      </c>
      <c r="C27" s="45"/>
      <c r="D27" s="45"/>
      <c r="E27" s="45"/>
      <c r="F27" s="45" t="s">
        <v>95</v>
      </c>
      <c r="G27" s="46">
        <v>1</v>
      </c>
      <c r="H27" s="47">
        <f>35*1.2</f>
        <v>42</v>
      </c>
      <c r="I27" s="47">
        <v>35</v>
      </c>
      <c r="J27" s="45" t="s">
        <v>96</v>
      </c>
    </row>
    <row r="28" spans="1:10">
      <c r="A28" s="44"/>
      <c r="B28" s="45" t="s">
        <v>41</v>
      </c>
      <c r="C28" s="45"/>
      <c r="D28" s="45"/>
      <c r="E28" s="45"/>
      <c r="F28" s="45" t="s">
        <v>95</v>
      </c>
      <c r="G28" s="46">
        <v>1</v>
      </c>
      <c r="H28" s="47">
        <f>36*1.2</f>
        <v>43.2</v>
      </c>
      <c r="I28" s="47">
        <f t="shared" ref="I27:I36" si="1">H28*G28</f>
        <v>43.2</v>
      </c>
      <c r="J28" s="45" t="s">
        <v>96</v>
      </c>
    </row>
    <row r="29" spans="1:10">
      <c r="A29" s="44">
        <v>2</v>
      </c>
      <c r="B29" s="48" t="s">
        <v>97</v>
      </c>
      <c r="C29" s="49"/>
      <c r="D29" s="50" t="s">
        <v>98</v>
      </c>
      <c r="E29" s="50"/>
      <c r="F29" s="44" t="s">
        <v>46</v>
      </c>
      <c r="G29" s="46">
        <f>0.33*4.5</f>
        <v>1.485</v>
      </c>
      <c r="H29" s="47">
        <f>26*1.2</f>
        <v>31.2</v>
      </c>
      <c r="I29" s="47">
        <f t="shared" si="1"/>
        <v>46.332</v>
      </c>
      <c r="J29" s="45" t="s">
        <v>96</v>
      </c>
    </row>
    <row r="30" spans="1:10">
      <c r="A30" s="44"/>
      <c r="B30" s="51"/>
      <c r="C30" s="52"/>
      <c r="D30" s="50" t="s">
        <v>99</v>
      </c>
      <c r="E30" s="50"/>
      <c r="F30" s="44" t="s">
        <v>46</v>
      </c>
      <c r="G30" s="46">
        <v>0.37</v>
      </c>
      <c r="H30" s="47">
        <f>26*1.2</f>
        <v>31.2</v>
      </c>
      <c r="I30" s="47">
        <f t="shared" si="1"/>
        <v>11.544</v>
      </c>
      <c r="J30" s="45" t="s">
        <v>96</v>
      </c>
    </row>
    <row r="31" spans="1:10">
      <c r="A31" s="44"/>
      <c r="B31" s="51"/>
      <c r="C31" s="52"/>
      <c r="D31" s="50" t="s">
        <v>100</v>
      </c>
      <c r="E31" s="50"/>
      <c r="F31" s="44" t="s">
        <v>46</v>
      </c>
      <c r="G31" s="46">
        <v>1.2</v>
      </c>
      <c r="H31" s="47">
        <f>26*1.2</f>
        <v>31.2</v>
      </c>
      <c r="I31" s="47">
        <f t="shared" si="1"/>
        <v>37.44</v>
      </c>
      <c r="J31" s="45" t="s">
        <v>96</v>
      </c>
    </row>
    <row r="32" spans="1:10">
      <c r="A32" s="44"/>
      <c r="B32" s="45" t="s">
        <v>101</v>
      </c>
      <c r="C32" s="45"/>
      <c r="D32" s="50" t="s">
        <v>102</v>
      </c>
      <c r="E32" s="50"/>
      <c r="F32" s="45" t="s">
        <v>54</v>
      </c>
      <c r="G32" s="46">
        <v>2</v>
      </c>
      <c r="H32" s="47">
        <f>VLOOKUP(D32,Sheet1!A:B,2,0)*1.2</f>
        <v>3.6</v>
      </c>
      <c r="I32" s="47">
        <f t="shared" si="1"/>
        <v>7.2</v>
      </c>
      <c r="J32" s="45" t="s">
        <v>96</v>
      </c>
    </row>
    <row r="33" spans="1:10">
      <c r="A33" s="44">
        <v>3</v>
      </c>
      <c r="B33" s="53" t="s">
        <v>103</v>
      </c>
      <c r="C33" s="53"/>
      <c r="D33" s="54" t="s">
        <v>104</v>
      </c>
      <c r="E33" s="50"/>
      <c r="F33" s="45" t="s">
        <v>105</v>
      </c>
      <c r="G33" s="46">
        <v>0.3</v>
      </c>
      <c r="H33" s="47">
        <f>VLOOKUP(D33,Sheet1!A:B,2,0)*1.2</f>
        <v>12</v>
      </c>
      <c r="I33" s="47">
        <f t="shared" si="1"/>
        <v>3.6</v>
      </c>
      <c r="J33" s="45" t="s">
        <v>96</v>
      </c>
    </row>
    <row r="34" spans="1:10">
      <c r="A34" s="44"/>
      <c r="B34" s="53"/>
      <c r="C34" s="53"/>
      <c r="D34" s="54" t="s">
        <v>106</v>
      </c>
      <c r="E34" s="50"/>
      <c r="F34" s="45" t="s">
        <v>105</v>
      </c>
      <c r="G34" s="46">
        <v>0.4</v>
      </c>
      <c r="H34" s="47">
        <f>3*1.2</f>
        <v>3.6</v>
      </c>
      <c r="I34" s="47">
        <f t="shared" si="1"/>
        <v>1.44</v>
      </c>
      <c r="J34" s="45" t="s">
        <v>96</v>
      </c>
    </row>
    <row r="35" ht="16.2" spans="1:10">
      <c r="A35" s="44">
        <v>4</v>
      </c>
      <c r="B35" s="53"/>
      <c r="C35" s="53"/>
      <c r="D35" s="45" t="s">
        <v>107</v>
      </c>
      <c r="E35" s="45"/>
      <c r="F35" s="44" t="s">
        <v>108</v>
      </c>
      <c r="G35" s="45">
        <v>1</v>
      </c>
      <c r="H35" s="47">
        <f>VLOOKUP(D35,Sheet1!A:B,2,0)*1.2</f>
        <v>12</v>
      </c>
      <c r="I35" s="47">
        <f t="shared" si="1"/>
        <v>12</v>
      </c>
      <c r="J35" s="45" t="s">
        <v>96</v>
      </c>
    </row>
    <row r="36" spans="1:10">
      <c r="A36" s="44"/>
      <c r="B36" s="53"/>
      <c r="C36" s="53"/>
      <c r="D36" s="45" t="s">
        <v>109</v>
      </c>
      <c r="E36" s="45"/>
      <c r="F36" s="55" t="s">
        <v>95</v>
      </c>
      <c r="G36" s="45">
        <v>1</v>
      </c>
      <c r="I36" s="47">
        <f>H37*G36</f>
        <v>3.6</v>
      </c>
      <c r="J36" s="45" t="s">
        <v>96</v>
      </c>
    </row>
    <row r="37" spans="1:10">
      <c r="A37" s="44"/>
      <c r="B37" s="53"/>
      <c r="C37" s="53"/>
      <c r="D37" s="45"/>
      <c r="E37" s="45"/>
      <c r="F37" s="44"/>
      <c r="G37" s="45"/>
      <c r="H37" s="47">
        <f>VLOOKUP(D36,Sheet1!A:B,2,0)*1.2</f>
        <v>3.6</v>
      </c>
      <c r="I37" s="47"/>
      <c r="J37" s="45" t="s">
        <v>96</v>
      </c>
    </row>
    <row r="38" spans="1:10">
      <c r="A38" s="44">
        <v>5</v>
      </c>
      <c r="B38" s="45" t="s">
        <v>110</v>
      </c>
      <c r="C38" s="45"/>
      <c r="D38" s="45"/>
      <c r="E38" s="45"/>
      <c r="F38" s="45" t="s">
        <v>95</v>
      </c>
      <c r="G38" s="45">
        <v>1</v>
      </c>
      <c r="H38" s="47">
        <f>4*1.2</f>
        <v>4.8</v>
      </c>
      <c r="I38" s="47">
        <f>H38*G38</f>
        <v>4.8</v>
      </c>
      <c r="J38" s="45" t="s">
        <v>96</v>
      </c>
    </row>
    <row r="39" spans="1:10">
      <c r="A39" s="44">
        <v>6</v>
      </c>
      <c r="B39" s="45" t="s">
        <v>111</v>
      </c>
      <c r="C39" s="45"/>
      <c r="D39" s="55" t="s">
        <v>112</v>
      </c>
      <c r="E39" s="45"/>
      <c r="F39" s="45" t="s">
        <v>95</v>
      </c>
      <c r="G39" s="46">
        <f>SUM(I27:I38)</f>
        <v>206.156</v>
      </c>
      <c r="H39" s="46"/>
      <c r="I39" s="46"/>
      <c r="J39" s="9"/>
    </row>
    <row r="40" ht="72" spans="1:10">
      <c r="A40" s="44">
        <v>7</v>
      </c>
      <c r="B40" s="45" t="s">
        <v>113</v>
      </c>
      <c r="C40" s="45"/>
      <c r="D40" s="56" t="s">
        <v>114</v>
      </c>
      <c r="E40" s="57">
        <v>0.13</v>
      </c>
      <c r="F40" s="45" t="s">
        <v>95</v>
      </c>
      <c r="G40" s="46">
        <f>G39*E40</f>
        <v>26.80028</v>
      </c>
      <c r="H40" s="46"/>
      <c r="I40" s="46"/>
      <c r="J40" s="9" t="s">
        <v>115</v>
      </c>
    </row>
    <row r="41" spans="1:10">
      <c r="A41" s="58">
        <v>8</v>
      </c>
      <c r="B41" s="58" t="s">
        <v>116</v>
      </c>
      <c r="C41" s="58"/>
      <c r="D41" s="58" t="s">
        <v>117</v>
      </c>
      <c r="E41" s="58"/>
      <c r="F41" s="45" t="s">
        <v>95</v>
      </c>
      <c r="G41" s="59">
        <f>G40+G39</f>
        <v>232.95628</v>
      </c>
      <c r="H41" s="59"/>
      <c r="I41" s="59"/>
      <c r="J41" s="60"/>
    </row>
    <row r="43" ht="15.6" spans="1:10">
      <c r="A43" s="32" t="s">
        <v>119</v>
      </c>
      <c r="B43" s="33"/>
      <c r="C43" s="33"/>
      <c r="D43" s="33"/>
      <c r="E43" s="33"/>
      <c r="F43" s="33"/>
      <c r="G43" s="33"/>
      <c r="H43" s="33"/>
      <c r="I43" s="33"/>
      <c r="J43" s="33"/>
    </row>
    <row r="44" spans="1:10">
      <c r="A44" s="34" t="s">
        <v>86</v>
      </c>
      <c r="B44" s="35"/>
      <c r="C44" s="36"/>
      <c r="D44" s="37">
        <f>[1]清单!B57</f>
        <v>0</v>
      </c>
      <c r="E44" s="38"/>
      <c r="F44" s="39" t="s">
        <v>87</v>
      </c>
      <c r="G44" s="40"/>
      <c r="H44" s="41"/>
      <c r="I44" s="37"/>
      <c r="J44" s="38"/>
    </row>
    <row r="45" spans="1:10">
      <c r="A45" s="34" t="s">
        <v>88</v>
      </c>
      <c r="B45" s="35"/>
      <c r="C45" s="36"/>
      <c r="D45" s="42"/>
      <c r="E45" s="42"/>
      <c r="F45" s="43" t="s">
        <v>89</v>
      </c>
      <c r="G45" s="43"/>
      <c r="H45" s="34"/>
      <c r="I45" s="35"/>
      <c r="J45" s="36"/>
    </row>
    <row r="46" spans="1:10">
      <c r="A46" s="43" t="s">
        <v>0</v>
      </c>
      <c r="B46" s="43" t="s">
        <v>90</v>
      </c>
      <c r="C46" s="43"/>
      <c r="D46" s="43" t="s">
        <v>91</v>
      </c>
      <c r="E46" s="43"/>
      <c r="F46" s="43" t="s">
        <v>2</v>
      </c>
      <c r="G46" s="43" t="s">
        <v>92</v>
      </c>
      <c r="H46" s="43" t="s">
        <v>93</v>
      </c>
      <c r="I46" s="43" t="s">
        <v>94</v>
      </c>
      <c r="J46" s="43" t="s">
        <v>7</v>
      </c>
    </row>
    <row r="47" spans="1:10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>
      <c r="A48" s="44">
        <v>1</v>
      </c>
      <c r="B48" s="45" t="s">
        <v>39</v>
      </c>
      <c r="C48" s="45"/>
      <c r="D48" s="45"/>
      <c r="E48" s="45"/>
      <c r="F48" s="45" t="s">
        <v>95</v>
      </c>
      <c r="G48" s="46">
        <v>1</v>
      </c>
      <c r="H48" s="47">
        <f>40*1.2</f>
        <v>48</v>
      </c>
      <c r="I48" s="47">
        <v>40</v>
      </c>
      <c r="J48" s="45" t="s">
        <v>96</v>
      </c>
    </row>
    <row r="49" spans="1:10">
      <c r="A49" s="44"/>
      <c r="B49" s="45" t="s">
        <v>41</v>
      </c>
      <c r="C49" s="45"/>
      <c r="D49" s="45"/>
      <c r="E49" s="45"/>
      <c r="F49" s="45" t="s">
        <v>95</v>
      </c>
      <c r="G49" s="46">
        <v>1</v>
      </c>
      <c r="H49" s="47">
        <f>35*1.2</f>
        <v>42</v>
      </c>
      <c r="I49" s="47">
        <v>35</v>
      </c>
      <c r="J49" s="45" t="s">
        <v>96</v>
      </c>
    </row>
    <row r="50" spans="1:10">
      <c r="A50" s="44">
        <v>2</v>
      </c>
      <c r="B50" s="48" t="s">
        <v>97</v>
      </c>
      <c r="C50" s="49"/>
      <c r="D50" s="50" t="s">
        <v>98</v>
      </c>
      <c r="E50" s="50"/>
      <c r="F50" s="44" t="s">
        <v>46</v>
      </c>
      <c r="G50" s="46">
        <f>0.33*4.5</f>
        <v>1.485</v>
      </c>
      <c r="H50" s="47">
        <f>26*1.2</f>
        <v>31.2</v>
      </c>
      <c r="I50" s="47">
        <f t="shared" ref="I48:I57" si="2">H50*G50</f>
        <v>46.332</v>
      </c>
      <c r="J50" s="45" t="s">
        <v>96</v>
      </c>
    </row>
    <row r="51" spans="1:10">
      <c r="A51" s="44"/>
      <c r="B51" s="51"/>
      <c r="C51" s="52"/>
      <c r="D51" s="50" t="s">
        <v>99</v>
      </c>
      <c r="E51" s="50"/>
      <c r="F51" s="44" t="s">
        <v>46</v>
      </c>
      <c r="G51" s="46">
        <v>0.37</v>
      </c>
      <c r="H51" s="47">
        <f>26*1.2</f>
        <v>31.2</v>
      </c>
      <c r="I51" s="47">
        <f t="shared" si="2"/>
        <v>11.544</v>
      </c>
      <c r="J51" s="45" t="s">
        <v>96</v>
      </c>
    </row>
    <row r="52" spans="1:10">
      <c r="A52" s="44"/>
      <c r="B52" s="51"/>
      <c r="C52" s="52"/>
      <c r="D52" s="50" t="s">
        <v>100</v>
      </c>
      <c r="E52" s="50"/>
      <c r="F52" s="44" t="s">
        <v>46</v>
      </c>
      <c r="G52" s="46">
        <v>1.2</v>
      </c>
      <c r="H52" s="47">
        <f>26*1.2</f>
        <v>31.2</v>
      </c>
      <c r="I52" s="47">
        <f t="shared" si="2"/>
        <v>37.44</v>
      </c>
      <c r="J52" s="45" t="s">
        <v>96</v>
      </c>
    </row>
    <row r="53" spans="1:10">
      <c r="A53" s="44"/>
      <c r="B53" s="45" t="s">
        <v>101</v>
      </c>
      <c r="C53" s="45"/>
      <c r="D53" s="50" t="s">
        <v>102</v>
      </c>
      <c r="E53" s="50"/>
      <c r="F53" s="45" t="s">
        <v>54</v>
      </c>
      <c r="G53" s="46">
        <v>2</v>
      </c>
      <c r="H53" s="47">
        <f>VLOOKUP(D53,Sheet1!A:B,2,0)*1.2</f>
        <v>3.6</v>
      </c>
      <c r="I53" s="47">
        <f t="shared" si="2"/>
        <v>7.2</v>
      </c>
      <c r="J53" s="45" t="s">
        <v>96</v>
      </c>
    </row>
    <row r="54" spans="1:10">
      <c r="A54" s="44">
        <v>3</v>
      </c>
      <c r="B54" s="53" t="s">
        <v>103</v>
      </c>
      <c r="C54" s="53"/>
      <c r="D54" s="54" t="s">
        <v>104</v>
      </c>
      <c r="E54" s="50"/>
      <c r="F54" s="45" t="s">
        <v>105</v>
      </c>
      <c r="G54" s="46">
        <v>0.3</v>
      </c>
      <c r="H54" s="47">
        <f>VLOOKUP(D54,Sheet1!A:B,2,0)*1.2</f>
        <v>12</v>
      </c>
      <c r="I54" s="47">
        <f t="shared" si="2"/>
        <v>3.6</v>
      </c>
      <c r="J54" s="45" t="s">
        <v>96</v>
      </c>
    </row>
    <row r="55" spans="1:10">
      <c r="A55" s="44"/>
      <c r="B55" s="53"/>
      <c r="C55" s="53"/>
      <c r="D55" s="54" t="s">
        <v>106</v>
      </c>
      <c r="E55" s="50"/>
      <c r="F55" s="45" t="s">
        <v>105</v>
      </c>
      <c r="G55" s="46">
        <v>0.4</v>
      </c>
      <c r="H55" s="47">
        <f>VLOOKUP(D55,Sheet1!A:B,2,0)*1.2</f>
        <v>18</v>
      </c>
      <c r="I55" s="47">
        <f t="shared" si="2"/>
        <v>7.2</v>
      </c>
      <c r="J55" s="45" t="s">
        <v>96</v>
      </c>
    </row>
    <row r="56" ht="16.2" spans="1:10">
      <c r="A56" s="44">
        <v>4</v>
      </c>
      <c r="B56" s="53"/>
      <c r="C56" s="53"/>
      <c r="D56" s="45" t="s">
        <v>107</v>
      </c>
      <c r="E56" s="45"/>
      <c r="F56" s="44" t="s">
        <v>108</v>
      </c>
      <c r="G56" s="45">
        <v>1</v>
      </c>
      <c r="H56" s="47">
        <f>VLOOKUP(D56,Sheet1!A:B,2,0)*1.2</f>
        <v>12</v>
      </c>
      <c r="I56" s="47">
        <f t="shared" si="2"/>
        <v>12</v>
      </c>
      <c r="J56" s="45" t="s">
        <v>96</v>
      </c>
    </row>
    <row r="57" spans="1:10">
      <c r="A57" s="44"/>
      <c r="B57" s="53"/>
      <c r="C57" s="53"/>
      <c r="D57" s="45" t="s">
        <v>109</v>
      </c>
      <c r="E57" s="45"/>
      <c r="F57" s="55" t="s">
        <v>95</v>
      </c>
      <c r="G57" s="45">
        <v>1</v>
      </c>
      <c r="H57" s="47">
        <f>VLOOKUP(D57,Sheet1!A:B,2,0)*1.2</f>
        <v>3.6</v>
      </c>
      <c r="I57" s="47">
        <f t="shared" si="2"/>
        <v>3.6</v>
      </c>
      <c r="J57" s="45" t="s">
        <v>96</v>
      </c>
    </row>
    <row r="58" spans="1:10">
      <c r="A58" s="44"/>
      <c r="B58" s="53"/>
      <c r="C58" s="53"/>
      <c r="D58" s="45"/>
      <c r="E58" s="45"/>
      <c r="F58" s="44"/>
      <c r="G58" s="45"/>
      <c r="H58" s="47"/>
      <c r="I58" s="47"/>
      <c r="J58" s="45" t="s">
        <v>96</v>
      </c>
    </row>
    <row r="59" spans="1:10">
      <c r="A59" s="44">
        <v>5</v>
      </c>
      <c r="B59" s="45" t="s">
        <v>110</v>
      </c>
      <c r="C59" s="45"/>
      <c r="D59" s="45"/>
      <c r="E59" s="45"/>
      <c r="F59" s="45" t="s">
        <v>95</v>
      </c>
      <c r="G59" s="45">
        <v>1</v>
      </c>
      <c r="H59" s="47">
        <f>4*1.2</f>
        <v>4.8</v>
      </c>
      <c r="I59" s="47">
        <f>H59*G59</f>
        <v>4.8</v>
      </c>
      <c r="J59" s="45" t="s">
        <v>96</v>
      </c>
    </row>
    <row r="60" spans="1:10">
      <c r="A60" s="44">
        <v>6</v>
      </c>
      <c r="B60" s="45" t="s">
        <v>111</v>
      </c>
      <c r="C60" s="45"/>
      <c r="D60" s="55" t="s">
        <v>112</v>
      </c>
      <c r="E60" s="45"/>
      <c r="F60" s="45" t="s">
        <v>95</v>
      </c>
      <c r="G60" s="46">
        <f>SUM(I48:I59)</f>
        <v>208.716</v>
      </c>
      <c r="H60" s="46"/>
      <c r="I60" s="46"/>
      <c r="J60" s="9"/>
    </row>
    <row r="61" ht="72" spans="1:10">
      <c r="A61" s="44">
        <v>7</v>
      </c>
      <c r="B61" s="45" t="s">
        <v>113</v>
      </c>
      <c r="C61" s="45"/>
      <c r="D61" s="56" t="s">
        <v>114</v>
      </c>
      <c r="E61" s="57">
        <v>0.13</v>
      </c>
      <c r="F61" s="45" t="s">
        <v>95</v>
      </c>
      <c r="G61" s="46">
        <f>G60*E61</f>
        <v>27.13308</v>
      </c>
      <c r="H61" s="46"/>
      <c r="I61" s="46"/>
      <c r="J61" s="9" t="s">
        <v>115</v>
      </c>
    </row>
    <row r="62" spans="1:10">
      <c r="A62" s="58">
        <v>8</v>
      </c>
      <c r="B62" s="58" t="s">
        <v>116</v>
      </c>
      <c r="C62" s="58"/>
      <c r="D62" s="58" t="s">
        <v>117</v>
      </c>
      <c r="E62" s="58"/>
      <c r="F62" s="45" t="s">
        <v>95</v>
      </c>
      <c r="G62" s="59">
        <f>G61+G60</f>
        <v>235.84908</v>
      </c>
      <c r="H62" s="59"/>
      <c r="I62" s="59"/>
      <c r="J62" s="60"/>
    </row>
  </sheetData>
  <mergeCells count="129">
    <mergeCell ref="A1:J1"/>
    <mergeCell ref="A2:C2"/>
    <mergeCell ref="D2:E2"/>
    <mergeCell ref="F2:G2"/>
    <mergeCell ref="I2:J2"/>
    <mergeCell ref="A3:C3"/>
    <mergeCell ref="F3:G3"/>
    <mergeCell ref="H3:J3"/>
    <mergeCell ref="B6:E6"/>
    <mergeCell ref="B7:E7"/>
    <mergeCell ref="D8:E8"/>
    <mergeCell ref="D9:E9"/>
    <mergeCell ref="D10:E10"/>
    <mergeCell ref="B11:C11"/>
    <mergeCell ref="D11:E11"/>
    <mergeCell ref="D12:E12"/>
    <mergeCell ref="D13:E13"/>
    <mergeCell ref="D14:E14"/>
    <mergeCell ref="D15:E15"/>
    <mergeCell ref="D16:E16"/>
    <mergeCell ref="B17:E17"/>
    <mergeCell ref="B18:C18"/>
    <mergeCell ref="D18:E18"/>
    <mergeCell ref="G18:I18"/>
    <mergeCell ref="B19:C19"/>
    <mergeCell ref="G19:I19"/>
    <mergeCell ref="B20:C20"/>
    <mergeCell ref="D20:E20"/>
    <mergeCell ref="G20:I20"/>
    <mergeCell ref="A22:J22"/>
    <mergeCell ref="A23:C23"/>
    <mergeCell ref="D23:E23"/>
    <mergeCell ref="F23:G23"/>
    <mergeCell ref="I23:J23"/>
    <mergeCell ref="A24:C24"/>
    <mergeCell ref="F24:G24"/>
    <mergeCell ref="H24:J24"/>
    <mergeCell ref="B27:E27"/>
    <mergeCell ref="B28:E28"/>
    <mergeCell ref="D29:E29"/>
    <mergeCell ref="D30:E30"/>
    <mergeCell ref="D31:E31"/>
    <mergeCell ref="B32:C32"/>
    <mergeCell ref="D32:E32"/>
    <mergeCell ref="D33:E33"/>
    <mergeCell ref="D34:E34"/>
    <mergeCell ref="D35:E35"/>
    <mergeCell ref="D36:E36"/>
    <mergeCell ref="D37:E37"/>
    <mergeCell ref="B38:E38"/>
    <mergeCell ref="B39:C39"/>
    <mergeCell ref="D39:E39"/>
    <mergeCell ref="G39:I39"/>
    <mergeCell ref="B40:C40"/>
    <mergeCell ref="G40:I40"/>
    <mergeCell ref="B41:C41"/>
    <mergeCell ref="D41:E41"/>
    <mergeCell ref="G41:I41"/>
    <mergeCell ref="A43:J43"/>
    <mergeCell ref="A44:C44"/>
    <mergeCell ref="D44:E44"/>
    <mergeCell ref="F44:G44"/>
    <mergeCell ref="I44:J44"/>
    <mergeCell ref="A45:C45"/>
    <mergeCell ref="F45:G45"/>
    <mergeCell ref="H45:J45"/>
    <mergeCell ref="B48:E48"/>
    <mergeCell ref="B49:E49"/>
    <mergeCell ref="D50:E50"/>
    <mergeCell ref="D51:E51"/>
    <mergeCell ref="D52:E52"/>
    <mergeCell ref="B53:C53"/>
    <mergeCell ref="D53:E53"/>
    <mergeCell ref="D54:E54"/>
    <mergeCell ref="D55:E55"/>
    <mergeCell ref="D56:E56"/>
    <mergeCell ref="D57:E57"/>
    <mergeCell ref="D58:E58"/>
    <mergeCell ref="B59:E59"/>
    <mergeCell ref="B60:C60"/>
    <mergeCell ref="D60:E60"/>
    <mergeCell ref="G60:I60"/>
    <mergeCell ref="B61:C61"/>
    <mergeCell ref="G61:I61"/>
    <mergeCell ref="B62:C62"/>
    <mergeCell ref="D62:E62"/>
    <mergeCell ref="G62:I62"/>
    <mergeCell ref="A4:A5"/>
    <mergeCell ref="A6:A7"/>
    <mergeCell ref="A8:A11"/>
    <mergeCell ref="A12:A13"/>
    <mergeCell ref="A14:A16"/>
    <mergeCell ref="A25:A26"/>
    <mergeCell ref="A27:A28"/>
    <mergeCell ref="A29:A32"/>
    <mergeCell ref="A33:A34"/>
    <mergeCell ref="A35:A37"/>
    <mergeCell ref="A46:A47"/>
    <mergeCell ref="A48:A49"/>
    <mergeCell ref="A50:A53"/>
    <mergeCell ref="A54:A55"/>
    <mergeCell ref="A56:A58"/>
    <mergeCell ref="F4:F5"/>
    <mergeCell ref="F25:F26"/>
    <mergeCell ref="F46:F47"/>
    <mergeCell ref="G4:G5"/>
    <mergeCell ref="G25:G26"/>
    <mergeCell ref="G46:G47"/>
    <mergeCell ref="H4:H5"/>
    <mergeCell ref="H25:H26"/>
    <mergeCell ref="H46:H47"/>
    <mergeCell ref="I4:I5"/>
    <mergeCell ref="I25:I26"/>
    <mergeCell ref="I46:I47"/>
    <mergeCell ref="J4:J5"/>
    <mergeCell ref="J25:J26"/>
    <mergeCell ref="J46:J47"/>
    <mergeCell ref="B4:C5"/>
    <mergeCell ref="D4:E5"/>
    <mergeCell ref="B8:C10"/>
    <mergeCell ref="B12:C16"/>
    <mergeCell ref="B25:C26"/>
    <mergeCell ref="D25:E26"/>
    <mergeCell ref="B29:C31"/>
    <mergeCell ref="B33:C37"/>
    <mergeCell ref="B46:C47"/>
    <mergeCell ref="D46:E47"/>
    <mergeCell ref="B50:C52"/>
    <mergeCell ref="B54:C5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6"/>
  <sheetViews>
    <sheetView workbookViewId="0">
      <selection activeCell="G225" sqref="G225"/>
    </sheetView>
  </sheetViews>
  <sheetFormatPr defaultColWidth="9" defaultRowHeight="14.4"/>
  <cols>
    <col min="1" max="1" width="9" style="11"/>
    <col min="2" max="2" width="10" style="11" customWidth="1"/>
    <col min="3" max="3" width="23.5" style="11" customWidth="1"/>
    <col min="4" max="4" width="12.25" style="11" customWidth="1"/>
    <col min="5" max="5" width="9.25" style="13"/>
    <col min="6" max="7" width="9" style="11"/>
    <col min="8" max="8" width="13.5" style="13" customWidth="1"/>
    <col min="9" max="9" width="17.1296296296296" style="23" customWidth="1"/>
    <col min="10" max="10" width="9.37962962962963" style="21"/>
    <col min="11" max="16384" width="9" style="21"/>
  </cols>
  <sheetData>
    <row r="1" s="21" customFormat="1" ht="36" customHeight="1" spans="1:9">
      <c r="A1" s="11" t="s">
        <v>120</v>
      </c>
      <c r="B1" s="11"/>
      <c r="C1" s="11"/>
      <c r="D1" s="11"/>
      <c r="E1" s="13"/>
      <c r="F1" s="11"/>
      <c r="G1" s="11"/>
      <c r="H1" s="13"/>
      <c r="I1" s="25"/>
    </row>
    <row r="2" s="21" customFormat="1" ht="36" customHeight="1" spans="1:9">
      <c r="A2" s="15" t="s">
        <v>0</v>
      </c>
      <c r="B2" s="15" t="s">
        <v>121</v>
      </c>
      <c r="C2" s="15" t="s">
        <v>122</v>
      </c>
      <c r="D2" s="15" t="s">
        <v>1</v>
      </c>
      <c r="E2" s="16" t="s">
        <v>123</v>
      </c>
      <c r="F2" s="15" t="s">
        <v>124</v>
      </c>
      <c r="G2" s="15" t="s">
        <v>125</v>
      </c>
      <c r="H2" s="16" t="s">
        <v>126</v>
      </c>
      <c r="I2" s="26" t="s">
        <v>7</v>
      </c>
    </row>
    <row r="3" s="22" customFormat="1" ht="49" customHeight="1" spans="1:9">
      <c r="A3" s="17">
        <v>1</v>
      </c>
      <c r="B3" s="24" t="s">
        <v>127</v>
      </c>
      <c r="C3" s="24" t="s">
        <v>128</v>
      </c>
      <c r="D3" s="17"/>
      <c r="E3" s="18">
        <v>5.1</v>
      </c>
      <c r="F3" s="17">
        <v>2</v>
      </c>
      <c r="G3" s="17">
        <v>25.5</v>
      </c>
      <c r="H3" s="18">
        <f t="shared" ref="H3:H14" si="0">E3*F3*G3</f>
        <v>260.1</v>
      </c>
      <c r="I3" s="27" t="s">
        <v>129</v>
      </c>
    </row>
    <row r="4" s="22" customFormat="1" ht="27" customHeight="1" spans="1:9">
      <c r="A4" s="17">
        <v>2</v>
      </c>
      <c r="B4" s="24" t="s">
        <v>127</v>
      </c>
      <c r="C4" s="24" t="s">
        <v>130</v>
      </c>
      <c r="D4" s="17"/>
      <c r="E4" s="18">
        <v>8.5</v>
      </c>
      <c r="F4" s="17">
        <v>1</v>
      </c>
      <c r="G4" s="17">
        <v>25</v>
      </c>
      <c r="H4" s="18">
        <f t="shared" si="0"/>
        <v>212.5</v>
      </c>
      <c r="I4" s="27"/>
    </row>
    <row r="5" s="22" customFormat="1" ht="60" hidden="1" customHeight="1" spans="1:9">
      <c r="A5" s="17">
        <v>3</v>
      </c>
      <c r="B5" s="24" t="s">
        <v>127</v>
      </c>
      <c r="C5" s="24" t="s">
        <v>15</v>
      </c>
      <c r="D5" s="17"/>
      <c r="E5" s="18">
        <v>2.1</v>
      </c>
      <c r="F5" s="17">
        <v>2</v>
      </c>
      <c r="G5" s="17">
        <v>25.5</v>
      </c>
      <c r="H5" s="18">
        <f t="shared" si="0"/>
        <v>107.1</v>
      </c>
      <c r="I5" s="27" t="s">
        <v>131</v>
      </c>
    </row>
    <row r="6" s="22" customFormat="1" ht="27" hidden="1" customHeight="1" spans="1:9">
      <c r="A6" s="17">
        <v>4</v>
      </c>
      <c r="B6" s="24" t="s">
        <v>127</v>
      </c>
      <c r="C6" s="24" t="s">
        <v>15</v>
      </c>
      <c r="D6" s="17"/>
      <c r="E6" s="18">
        <v>1.5</v>
      </c>
      <c r="F6" s="17">
        <v>1</v>
      </c>
      <c r="G6" s="17">
        <v>25</v>
      </c>
      <c r="H6" s="18">
        <f t="shared" si="0"/>
        <v>37.5</v>
      </c>
      <c r="I6" s="27"/>
    </row>
    <row r="7" s="22" customFormat="1" ht="27" hidden="1" customHeight="1" spans="1:9">
      <c r="A7" s="17">
        <v>5</v>
      </c>
      <c r="B7" s="24" t="s">
        <v>127</v>
      </c>
      <c r="C7" s="24" t="s">
        <v>13</v>
      </c>
      <c r="D7" s="17"/>
      <c r="E7" s="18">
        <v>2</v>
      </c>
      <c r="F7" s="17">
        <v>1</v>
      </c>
      <c r="G7" s="17">
        <v>26</v>
      </c>
      <c r="H7" s="18">
        <f t="shared" si="0"/>
        <v>52</v>
      </c>
      <c r="I7" s="27" t="s">
        <v>132</v>
      </c>
    </row>
    <row r="8" s="22" customFormat="1" ht="27" hidden="1" customHeight="1" spans="1:9">
      <c r="A8" s="17">
        <v>6</v>
      </c>
      <c r="B8" s="24" t="s">
        <v>127</v>
      </c>
      <c r="C8" s="24" t="s">
        <v>13</v>
      </c>
      <c r="D8" s="17"/>
      <c r="E8" s="18">
        <v>1.6</v>
      </c>
      <c r="F8" s="17">
        <v>1</v>
      </c>
      <c r="G8" s="17">
        <v>25</v>
      </c>
      <c r="H8" s="18">
        <f t="shared" si="0"/>
        <v>40</v>
      </c>
      <c r="I8" s="27" t="s">
        <v>132</v>
      </c>
    </row>
    <row r="9" s="22" customFormat="1" ht="27" hidden="1" customHeight="1" spans="1:9">
      <c r="A9" s="17">
        <v>7</v>
      </c>
      <c r="B9" s="24" t="s">
        <v>127</v>
      </c>
      <c r="C9" s="24" t="s">
        <v>13</v>
      </c>
      <c r="D9" s="17"/>
      <c r="E9" s="18">
        <v>2.9</v>
      </c>
      <c r="F9" s="17">
        <v>1</v>
      </c>
      <c r="G9" s="17">
        <v>25</v>
      </c>
      <c r="H9" s="18">
        <f t="shared" si="0"/>
        <v>72.5</v>
      </c>
      <c r="I9" s="27" t="s">
        <v>132</v>
      </c>
    </row>
    <row r="10" s="22" customFormat="1" ht="27" hidden="1" customHeight="1" spans="1:9">
      <c r="A10" s="17">
        <v>8</v>
      </c>
      <c r="B10" s="24" t="s">
        <v>127</v>
      </c>
      <c r="C10" s="24" t="s">
        <v>13</v>
      </c>
      <c r="D10" s="17"/>
      <c r="E10" s="18">
        <v>2.28</v>
      </c>
      <c r="F10" s="17">
        <v>1</v>
      </c>
      <c r="G10" s="17">
        <v>25</v>
      </c>
      <c r="H10" s="18">
        <f t="shared" si="0"/>
        <v>57</v>
      </c>
      <c r="I10" s="27" t="s">
        <v>133</v>
      </c>
    </row>
    <row r="11" s="22" customFormat="1" ht="32" hidden="1" customHeight="1" spans="1:9">
      <c r="A11" s="17">
        <v>9</v>
      </c>
      <c r="B11" s="24" t="s">
        <v>127</v>
      </c>
      <c r="C11" s="24" t="s">
        <v>16</v>
      </c>
      <c r="D11" s="24"/>
      <c r="E11" s="18">
        <v>3.85</v>
      </c>
      <c r="F11" s="17">
        <v>1</v>
      </c>
      <c r="G11" s="17">
        <v>25</v>
      </c>
      <c r="H11" s="18">
        <f t="shared" si="0"/>
        <v>96.25</v>
      </c>
      <c r="I11" s="27" t="s">
        <v>129</v>
      </c>
    </row>
    <row r="12" s="22" customFormat="1" ht="59" hidden="1" customHeight="1" spans="1:9">
      <c r="A12" s="17">
        <v>10</v>
      </c>
      <c r="B12" s="24" t="s">
        <v>127</v>
      </c>
      <c r="C12" s="24" t="s">
        <v>16</v>
      </c>
      <c r="D12" s="24"/>
      <c r="E12" s="18">
        <v>4.45</v>
      </c>
      <c r="F12" s="17">
        <v>1</v>
      </c>
      <c r="G12" s="17">
        <v>25</v>
      </c>
      <c r="H12" s="18">
        <f t="shared" si="0"/>
        <v>111.25</v>
      </c>
      <c r="I12" s="27" t="s">
        <v>129</v>
      </c>
    </row>
    <row r="13" s="22" customFormat="1" ht="27" customHeight="1" spans="1:9">
      <c r="A13" s="17">
        <v>11</v>
      </c>
      <c r="B13" s="24" t="s">
        <v>134</v>
      </c>
      <c r="C13" s="24" t="s">
        <v>135</v>
      </c>
      <c r="D13" s="24"/>
      <c r="E13" s="18">
        <v>4.7</v>
      </c>
      <c r="F13" s="17">
        <v>2</v>
      </c>
      <c r="G13" s="17">
        <v>1</v>
      </c>
      <c r="H13" s="18">
        <f t="shared" ref="H13:H16" si="1">E13*F13*G13</f>
        <v>9.4</v>
      </c>
      <c r="I13" s="27" t="s">
        <v>129</v>
      </c>
    </row>
    <row r="14" s="22" customFormat="1" ht="27" hidden="1" customHeight="1" spans="1:9">
      <c r="A14" s="17">
        <v>12</v>
      </c>
      <c r="B14" s="24" t="s">
        <v>134</v>
      </c>
      <c r="C14" s="24" t="s">
        <v>136</v>
      </c>
      <c r="D14" s="24"/>
      <c r="E14" s="18">
        <f>1.7+0.5</f>
        <v>2.2</v>
      </c>
      <c r="F14" s="17">
        <v>3</v>
      </c>
      <c r="G14" s="17">
        <v>1</v>
      </c>
      <c r="H14" s="18">
        <f t="shared" si="1"/>
        <v>6.6</v>
      </c>
      <c r="I14" s="28"/>
    </row>
    <row r="15" s="22" customFormat="1" ht="27" customHeight="1" spans="1:9">
      <c r="A15" s="17">
        <v>13</v>
      </c>
      <c r="B15" s="24" t="s">
        <v>134</v>
      </c>
      <c r="C15" s="24" t="s">
        <v>135</v>
      </c>
      <c r="D15" s="24"/>
      <c r="E15" s="18">
        <v>4.7</v>
      </c>
      <c r="F15" s="17">
        <v>2</v>
      </c>
      <c r="G15" s="17">
        <v>25</v>
      </c>
      <c r="H15" s="18">
        <f t="shared" si="1"/>
        <v>235</v>
      </c>
      <c r="I15" s="28"/>
    </row>
    <row r="16" s="22" customFormat="1" ht="27" hidden="1" customHeight="1" spans="1:9">
      <c r="A16" s="17">
        <v>14</v>
      </c>
      <c r="B16" s="24" t="s">
        <v>134</v>
      </c>
      <c r="C16" s="24" t="s">
        <v>136</v>
      </c>
      <c r="D16" s="24"/>
      <c r="E16" s="18">
        <f>1.7+0.5</f>
        <v>2.2</v>
      </c>
      <c r="F16" s="17">
        <v>4</v>
      </c>
      <c r="G16" s="17">
        <v>25</v>
      </c>
      <c r="H16" s="18">
        <f t="shared" si="1"/>
        <v>220</v>
      </c>
      <c r="I16" s="28"/>
    </row>
    <row r="17" s="22" customFormat="1" ht="27" hidden="1" customHeight="1" spans="1:9">
      <c r="A17" s="17">
        <v>15</v>
      </c>
      <c r="B17" s="24" t="s">
        <v>134</v>
      </c>
      <c r="C17" s="24" t="s">
        <v>15</v>
      </c>
      <c r="D17" s="24"/>
      <c r="E17" s="18">
        <v>1.8</v>
      </c>
      <c r="F17" s="17">
        <v>2</v>
      </c>
      <c r="G17" s="17">
        <v>1</v>
      </c>
      <c r="H17" s="18">
        <f t="shared" ref="H17:H20" si="2">E17*F17*G17</f>
        <v>3.6</v>
      </c>
      <c r="I17" s="27" t="s">
        <v>131</v>
      </c>
    </row>
    <row r="18" s="22" customFormat="1" ht="27" hidden="1" customHeight="1" spans="1:9">
      <c r="A18" s="17">
        <v>16</v>
      </c>
      <c r="B18" s="24" t="s">
        <v>134</v>
      </c>
      <c r="C18" s="24" t="s">
        <v>15</v>
      </c>
      <c r="D18" s="24"/>
      <c r="E18" s="18">
        <v>2.1</v>
      </c>
      <c r="F18" s="17">
        <v>3</v>
      </c>
      <c r="G18" s="17">
        <v>1</v>
      </c>
      <c r="H18" s="18">
        <f t="shared" si="2"/>
        <v>6.3</v>
      </c>
      <c r="I18" s="27" t="s">
        <v>131</v>
      </c>
    </row>
    <row r="19" s="22" customFormat="1" ht="27" hidden="1" customHeight="1" spans="1:9">
      <c r="A19" s="17">
        <v>17</v>
      </c>
      <c r="B19" s="24" t="s">
        <v>134</v>
      </c>
      <c r="C19" s="24" t="s">
        <v>15</v>
      </c>
      <c r="D19" s="24"/>
      <c r="E19" s="18">
        <v>1.8</v>
      </c>
      <c r="F19" s="17">
        <v>2</v>
      </c>
      <c r="G19" s="17">
        <v>25</v>
      </c>
      <c r="H19" s="18">
        <f t="shared" si="2"/>
        <v>90</v>
      </c>
      <c r="I19" s="27"/>
    </row>
    <row r="20" s="22" customFormat="1" ht="27" hidden="1" customHeight="1" spans="1:9">
      <c r="A20" s="17">
        <v>18</v>
      </c>
      <c r="B20" s="24" t="s">
        <v>134</v>
      </c>
      <c r="C20" s="24" t="s">
        <v>15</v>
      </c>
      <c r="D20" s="24"/>
      <c r="E20" s="18">
        <v>2.1</v>
      </c>
      <c r="F20" s="17">
        <v>4</v>
      </c>
      <c r="G20" s="17">
        <v>25</v>
      </c>
      <c r="H20" s="18">
        <f t="shared" si="2"/>
        <v>210</v>
      </c>
      <c r="I20" s="27"/>
    </row>
    <row r="21" s="22" customFormat="1" ht="27" hidden="1" customHeight="1" spans="1:9">
      <c r="A21" s="17">
        <v>19</v>
      </c>
      <c r="B21" s="24" t="s">
        <v>134</v>
      </c>
      <c r="C21" s="24" t="s">
        <v>13</v>
      </c>
      <c r="D21" s="24"/>
      <c r="E21" s="18">
        <v>2</v>
      </c>
      <c r="F21" s="17">
        <v>3</v>
      </c>
      <c r="G21" s="17">
        <v>1</v>
      </c>
      <c r="H21" s="18">
        <f t="shared" ref="H21:H33" si="3">E21*F21*G21</f>
        <v>6</v>
      </c>
      <c r="I21" s="27" t="s">
        <v>132</v>
      </c>
    </row>
    <row r="22" s="22" customFormat="1" ht="32" hidden="1" customHeight="1" spans="1:9">
      <c r="A22" s="17">
        <v>20</v>
      </c>
      <c r="B22" s="24" t="s">
        <v>134</v>
      </c>
      <c r="C22" s="24" t="s">
        <v>13</v>
      </c>
      <c r="D22" s="24"/>
      <c r="E22" s="18">
        <v>2</v>
      </c>
      <c r="F22" s="17">
        <v>4</v>
      </c>
      <c r="G22" s="17">
        <v>25</v>
      </c>
      <c r="H22" s="18">
        <f t="shared" si="3"/>
        <v>200</v>
      </c>
      <c r="I22" s="27"/>
    </row>
    <row r="23" s="22" customFormat="1" ht="32" hidden="1" customHeight="1" spans="1:9">
      <c r="A23" s="17">
        <v>21</v>
      </c>
      <c r="B23" s="24" t="s">
        <v>134</v>
      </c>
      <c r="C23" s="24" t="s">
        <v>16</v>
      </c>
      <c r="D23" s="24"/>
      <c r="E23" s="18">
        <v>3.45</v>
      </c>
      <c r="F23" s="17">
        <v>4</v>
      </c>
      <c r="G23" s="17">
        <v>25</v>
      </c>
      <c r="H23" s="18">
        <f t="shared" si="3"/>
        <v>345</v>
      </c>
      <c r="I23" s="27" t="s">
        <v>129</v>
      </c>
    </row>
    <row r="24" s="22" customFormat="1" ht="29.1" customHeight="1" spans="1:9">
      <c r="A24" s="17">
        <v>21</v>
      </c>
      <c r="B24" s="24" t="s">
        <v>137</v>
      </c>
      <c r="C24" s="24" t="s">
        <v>138</v>
      </c>
      <c r="D24" s="24"/>
      <c r="E24" s="18">
        <v>4.8</v>
      </c>
      <c r="F24" s="17">
        <v>3</v>
      </c>
      <c r="G24" s="17">
        <v>1</v>
      </c>
      <c r="H24" s="18">
        <f t="shared" si="3"/>
        <v>14.4</v>
      </c>
      <c r="I24" s="27"/>
    </row>
    <row r="25" s="22" customFormat="1" ht="29.1" customHeight="1" spans="1:9">
      <c r="A25" s="17">
        <v>22</v>
      </c>
      <c r="B25" s="24" t="s">
        <v>137</v>
      </c>
      <c r="C25" s="24" t="s">
        <v>139</v>
      </c>
      <c r="D25" s="24"/>
      <c r="E25" s="18">
        <v>4.4</v>
      </c>
      <c r="F25" s="17">
        <v>2</v>
      </c>
      <c r="G25" s="17">
        <v>1</v>
      </c>
      <c r="H25" s="18">
        <f t="shared" si="3"/>
        <v>8.8</v>
      </c>
      <c r="I25" s="27"/>
    </row>
    <row r="26" s="22" customFormat="1" ht="29.1" customHeight="1" spans="1:9">
      <c r="A26" s="17">
        <v>23</v>
      </c>
      <c r="B26" s="24" t="s">
        <v>137</v>
      </c>
      <c r="C26" s="24" t="s">
        <v>140</v>
      </c>
      <c r="D26" s="24"/>
      <c r="E26" s="18">
        <v>4.6</v>
      </c>
      <c r="F26" s="17">
        <v>1</v>
      </c>
      <c r="G26" s="17">
        <v>1</v>
      </c>
      <c r="H26" s="18">
        <f t="shared" si="3"/>
        <v>4.6</v>
      </c>
      <c r="I26" s="28"/>
    </row>
    <row r="27" s="22" customFormat="1" ht="29.1" customHeight="1" spans="1:9">
      <c r="A27" s="17">
        <v>24</v>
      </c>
      <c r="B27" s="24" t="s">
        <v>137</v>
      </c>
      <c r="C27" s="24" t="s">
        <v>138</v>
      </c>
      <c r="D27" s="24"/>
      <c r="E27" s="18">
        <v>4.8</v>
      </c>
      <c r="F27" s="17">
        <v>3</v>
      </c>
      <c r="G27" s="17">
        <v>22</v>
      </c>
      <c r="H27" s="18">
        <f t="shared" si="3"/>
        <v>316.8</v>
      </c>
      <c r="I27" s="27"/>
    </row>
    <row r="28" s="22" customFormat="1" ht="29.1" customHeight="1" spans="1:9">
      <c r="A28" s="17">
        <v>25</v>
      </c>
      <c r="B28" s="24" t="s">
        <v>137</v>
      </c>
      <c r="C28" s="24" t="s">
        <v>139</v>
      </c>
      <c r="D28" s="24"/>
      <c r="E28" s="18">
        <v>4.4</v>
      </c>
      <c r="F28" s="17">
        <v>2</v>
      </c>
      <c r="G28" s="17">
        <v>22</v>
      </c>
      <c r="H28" s="18">
        <f t="shared" si="3"/>
        <v>193.6</v>
      </c>
      <c r="I28" s="27"/>
    </row>
    <row r="29" s="22" customFormat="1" ht="29.1" customHeight="1" spans="1:9">
      <c r="A29" s="17">
        <v>26</v>
      </c>
      <c r="B29" s="24" t="s">
        <v>137</v>
      </c>
      <c r="C29" s="24" t="s">
        <v>140</v>
      </c>
      <c r="D29" s="24"/>
      <c r="E29" s="18">
        <v>4.6</v>
      </c>
      <c r="F29" s="17">
        <v>1</v>
      </c>
      <c r="G29" s="17">
        <v>22</v>
      </c>
      <c r="H29" s="18">
        <f t="shared" si="3"/>
        <v>101.2</v>
      </c>
      <c r="I29" s="27"/>
    </row>
    <row r="30" s="22" customFormat="1" ht="29.1" customHeight="1" spans="1:9">
      <c r="A30" s="17">
        <v>27</v>
      </c>
      <c r="B30" s="24" t="s">
        <v>137</v>
      </c>
      <c r="C30" s="24" t="s">
        <v>141</v>
      </c>
      <c r="D30" s="24"/>
      <c r="E30" s="18">
        <v>9.1</v>
      </c>
      <c r="F30" s="17">
        <v>1</v>
      </c>
      <c r="G30" s="17">
        <v>22</v>
      </c>
      <c r="H30" s="18">
        <f t="shared" si="3"/>
        <v>200.2</v>
      </c>
      <c r="I30" s="27"/>
    </row>
    <row r="31" s="22" customFormat="1" ht="29.1" hidden="1" customHeight="1" spans="1:9">
      <c r="A31" s="17">
        <v>29</v>
      </c>
      <c r="B31" s="24" t="s">
        <v>137</v>
      </c>
      <c r="C31" s="24" t="s">
        <v>142</v>
      </c>
      <c r="D31" s="24"/>
      <c r="E31" s="18">
        <v>2.3</v>
      </c>
      <c r="F31" s="17">
        <v>3</v>
      </c>
      <c r="G31" s="17">
        <v>22</v>
      </c>
      <c r="H31" s="18">
        <f t="shared" si="3"/>
        <v>151.8</v>
      </c>
      <c r="I31" s="27"/>
    </row>
    <row r="32" s="22" customFormat="1" ht="29.1" hidden="1" customHeight="1" spans="1:9">
      <c r="A32" s="17">
        <v>30</v>
      </c>
      <c r="B32" s="24" t="s">
        <v>137</v>
      </c>
      <c r="C32" s="24" t="s">
        <v>143</v>
      </c>
      <c r="D32" s="24"/>
      <c r="E32" s="18">
        <v>1.8</v>
      </c>
      <c r="F32" s="17">
        <v>1</v>
      </c>
      <c r="G32" s="17">
        <v>22</v>
      </c>
      <c r="H32" s="18">
        <f t="shared" si="3"/>
        <v>39.6</v>
      </c>
      <c r="I32" s="27"/>
    </row>
    <row r="33" s="22" customFormat="1" ht="29.1" hidden="1" customHeight="1" spans="1:9">
      <c r="A33" s="17">
        <v>31</v>
      </c>
      <c r="B33" s="24" t="s">
        <v>137</v>
      </c>
      <c r="C33" s="24" t="s">
        <v>144</v>
      </c>
      <c r="D33" s="24"/>
      <c r="E33" s="18">
        <v>1.8</v>
      </c>
      <c r="F33" s="17">
        <v>1</v>
      </c>
      <c r="G33" s="17">
        <v>1</v>
      </c>
      <c r="H33" s="18">
        <f t="shared" si="3"/>
        <v>1.8</v>
      </c>
      <c r="I33" s="27"/>
    </row>
    <row r="34" s="22" customFormat="1" ht="32" hidden="1" customHeight="1" spans="1:9">
      <c r="A34" s="17">
        <v>32</v>
      </c>
      <c r="B34" s="24" t="s">
        <v>137</v>
      </c>
      <c r="C34" s="24" t="s">
        <v>15</v>
      </c>
      <c r="D34" s="24"/>
      <c r="E34" s="18">
        <v>2.1</v>
      </c>
      <c r="F34" s="17">
        <v>5</v>
      </c>
      <c r="G34" s="17">
        <v>1</v>
      </c>
      <c r="H34" s="18">
        <f t="shared" ref="H34:H45" si="4">E34*F34*G34</f>
        <v>10.5</v>
      </c>
      <c r="I34" s="27"/>
    </row>
    <row r="35" s="22" customFormat="1" ht="32" hidden="1" customHeight="1" spans="1:9">
      <c r="A35" s="17">
        <v>33</v>
      </c>
      <c r="B35" s="24" t="s">
        <v>137</v>
      </c>
      <c r="C35" s="24" t="s">
        <v>15</v>
      </c>
      <c r="D35" s="24"/>
      <c r="E35" s="18">
        <v>2.1</v>
      </c>
      <c r="F35" s="17">
        <v>6</v>
      </c>
      <c r="G35" s="17">
        <v>22</v>
      </c>
      <c r="H35" s="18">
        <f t="shared" si="4"/>
        <v>277.2</v>
      </c>
      <c r="I35" s="27"/>
    </row>
    <row r="36" s="22" customFormat="1" ht="32" hidden="1" customHeight="1" spans="1:9">
      <c r="A36" s="17">
        <v>34</v>
      </c>
      <c r="B36" s="24" t="s">
        <v>137</v>
      </c>
      <c r="C36" s="24" t="s">
        <v>15</v>
      </c>
      <c r="D36" s="24"/>
      <c r="E36" s="18">
        <v>1.5</v>
      </c>
      <c r="F36" s="17">
        <v>1</v>
      </c>
      <c r="G36" s="17">
        <v>22</v>
      </c>
      <c r="H36" s="18">
        <f t="shared" si="4"/>
        <v>33</v>
      </c>
      <c r="I36" s="27"/>
    </row>
    <row r="37" s="22" customFormat="1" ht="32" hidden="1" customHeight="1" spans="1:9">
      <c r="A37" s="17">
        <v>35</v>
      </c>
      <c r="B37" s="24" t="s">
        <v>137</v>
      </c>
      <c r="C37" s="24" t="s">
        <v>13</v>
      </c>
      <c r="D37" s="24"/>
      <c r="E37" s="18">
        <v>1.1</v>
      </c>
      <c r="F37" s="17">
        <v>3</v>
      </c>
      <c r="G37" s="17">
        <v>1</v>
      </c>
      <c r="H37" s="18">
        <f t="shared" si="4"/>
        <v>3.3</v>
      </c>
      <c r="I37" s="27"/>
    </row>
    <row r="38" s="22" customFormat="1" ht="32" hidden="1" customHeight="1" spans="1:9">
      <c r="A38" s="17">
        <v>36</v>
      </c>
      <c r="B38" s="24" t="s">
        <v>137</v>
      </c>
      <c r="C38" s="24" t="s">
        <v>13</v>
      </c>
      <c r="D38" s="24"/>
      <c r="E38" s="18">
        <v>2.3</v>
      </c>
      <c r="F38" s="17">
        <v>2</v>
      </c>
      <c r="G38" s="17">
        <v>1</v>
      </c>
      <c r="H38" s="18">
        <f t="shared" si="4"/>
        <v>4.6</v>
      </c>
      <c r="I38" s="27"/>
    </row>
    <row r="39" s="22" customFormat="1" ht="32" hidden="1" customHeight="1" spans="1:9">
      <c r="A39" s="17">
        <v>37</v>
      </c>
      <c r="B39" s="24" t="s">
        <v>137</v>
      </c>
      <c r="C39" s="24" t="s">
        <v>13</v>
      </c>
      <c r="D39" s="24"/>
      <c r="E39" s="18">
        <v>2.4</v>
      </c>
      <c r="F39" s="17">
        <v>1</v>
      </c>
      <c r="G39" s="17">
        <v>1</v>
      </c>
      <c r="H39" s="18">
        <f t="shared" si="4"/>
        <v>2.4</v>
      </c>
      <c r="I39" s="27"/>
    </row>
    <row r="40" s="22" customFormat="1" ht="32" hidden="1" customHeight="1" spans="1:9">
      <c r="A40" s="17">
        <v>38</v>
      </c>
      <c r="B40" s="24" t="s">
        <v>137</v>
      </c>
      <c r="C40" s="24" t="s">
        <v>142</v>
      </c>
      <c r="D40" s="24"/>
      <c r="E40" s="18">
        <v>2.3</v>
      </c>
      <c r="F40" s="17">
        <v>3</v>
      </c>
      <c r="G40" s="17">
        <v>1</v>
      </c>
      <c r="H40" s="18">
        <f t="shared" si="4"/>
        <v>6.9</v>
      </c>
      <c r="I40" s="27"/>
    </row>
    <row r="41" s="22" customFormat="1" ht="29.1" hidden="1" customHeight="1" spans="1:9">
      <c r="A41" s="17">
        <v>39</v>
      </c>
      <c r="B41" s="24" t="s">
        <v>137</v>
      </c>
      <c r="C41" s="24" t="s">
        <v>13</v>
      </c>
      <c r="D41" s="24"/>
      <c r="E41" s="18">
        <v>1.1</v>
      </c>
      <c r="F41" s="17">
        <v>3</v>
      </c>
      <c r="G41" s="17">
        <v>22</v>
      </c>
      <c r="H41" s="18">
        <f t="shared" si="4"/>
        <v>72.6</v>
      </c>
      <c r="I41" s="27"/>
    </row>
    <row r="42" s="22" customFormat="1" ht="29.1" hidden="1" customHeight="1" spans="1:9">
      <c r="A42" s="17">
        <v>40</v>
      </c>
      <c r="B42" s="24" t="s">
        <v>137</v>
      </c>
      <c r="C42" s="24" t="s">
        <v>13</v>
      </c>
      <c r="D42" s="24"/>
      <c r="E42" s="18">
        <v>2.3</v>
      </c>
      <c r="F42" s="17">
        <v>2</v>
      </c>
      <c r="G42" s="17">
        <v>22</v>
      </c>
      <c r="H42" s="18">
        <f t="shared" ref="H42:H47" si="5">E42*F42*G42</f>
        <v>101.2</v>
      </c>
      <c r="I42" s="27"/>
    </row>
    <row r="43" s="22" customFormat="1" ht="29.1" hidden="1" customHeight="1" spans="1:9">
      <c r="A43" s="17">
        <v>41</v>
      </c>
      <c r="B43" s="24" t="s">
        <v>137</v>
      </c>
      <c r="C43" s="24" t="s">
        <v>13</v>
      </c>
      <c r="D43" s="24"/>
      <c r="E43" s="18">
        <v>1.6</v>
      </c>
      <c r="F43" s="17">
        <v>1</v>
      </c>
      <c r="G43" s="17">
        <v>22</v>
      </c>
      <c r="H43" s="18">
        <f t="shared" si="5"/>
        <v>35.2</v>
      </c>
      <c r="I43" s="27"/>
    </row>
    <row r="44" s="22" customFormat="1" ht="29.1" hidden="1" customHeight="1" spans="1:9">
      <c r="A44" s="17">
        <v>42</v>
      </c>
      <c r="B44" s="24" t="s">
        <v>137</v>
      </c>
      <c r="C44" s="24" t="s">
        <v>13</v>
      </c>
      <c r="D44" s="24"/>
      <c r="E44" s="18">
        <v>2.28</v>
      </c>
      <c r="F44" s="17">
        <v>1</v>
      </c>
      <c r="G44" s="17">
        <v>22</v>
      </c>
      <c r="H44" s="18">
        <f t="shared" si="5"/>
        <v>50.16</v>
      </c>
      <c r="I44" s="27"/>
    </row>
    <row r="45" s="22" customFormat="1" ht="29.1" hidden="1" customHeight="1" spans="1:9">
      <c r="A45" s="17">
        <v>43</v>
      </c>
      <c r="B45" s="24" t="s">
        <v>137</v>
      </c>
      <c r="C45" s="24" t="s">
        <v>13</v>
      </c>
      <c r="D45" s="24"/>
      <c r="E45" s="18">
        <v>2.4</v>
      </c>
      <c r="F45" s="17">
        <v>1</v>
      </c>
      <c r="G45" s="17">
        <v>22</v>
      </c>
      <c r="H45" s="18">
        <f t="shared" si="5"/>
        <v>52.8</v>
      </c>
      <c r="I45" s="27"/>
    </row>
    <row r="46" s="22" customFormat="1" ht="29.1" hidden="1" customHeight="1" spans="1:9">
      <c r="A46" s="17">
        <v>44</v>
      </c>
      <c r="B46" s="24" t="s">
        <v>137</v>
      </c>
      <c r="C46" s="24" t="s">
        <v>13</v>
      </c>
      <c r="D46" s="24"/>
      <c r="E46" s="18">
        <v>0.9</v>
      </c>
      <c r="F46" s="17">
        <v>1</v>
      </c>
      <c r="G46" s="17">
        <v>22</v>
      </c>
      <c r="H46" s="18">
        <f t="shared" si="5"/>
        <v>19.8</v>
      </c>
      <c r="I46" s="27"/>
    </row>
    <row r="47" s="22" customFormat="1" ht="63" hidden="1" customHeight="1" spans="1:9">
      <c r="A47" s="17">
        <v>45</v>
      </c>
      <c r="B47" s="24" t="s">
        <v>137</v>
      </c>
      <c r="C47" s="24" t="s">
        <v>16</v>
      </c>
      <c r="D47" s="24"/>
      <c r="E47" s="18">
        <v>6.8</v>
      </c>
      <c r="F47" s="17">
        <v>1</v>
      </c>
      <c r="G47" s="17">
        <v>22</v>
      </c>
      <c r="H47" s="18">
        <f t="shared" si="5"/>
        <v>149.6</v>
      </c>
      <c r="I47" s="27" t="s">
        <v>129</v>
      </c>
    </row>
    <row r="48" s="22" customFormat="1" ht="29.1" hidden="1" customHeight="1" spans="1:9">
      <c r="A48" s="17">
        <v>46</v>
      </c>
      <c r="B48" s="24" t="s">
        <v>137</v>
      </c>
      <c r="C48" s="24" t="s">
        <v>16</v>
      </c>
      <c r="D48" s="24"/>
      <c r="E48" s="18">
        <v>8.3</v>
      </c>
      <c r="F48" s="17">
        <v>1</v>
      </c>
      <c r="G48" s="17">
        <v>22</v>
      </c>
      <c r="H48" s="18">
        <f t="shared" ref="H47:H77" si="6">E48*F48*G48</f>
        <v>182.6</v>
      </c>
      <c r="I48" s="27"/>
    </row>
    <row r="49" s="22" customFormat="1" ht="29.1" hidden="1" customHeight="1" spans="1:9">
      <c r="A49" s="17">
        <v>47</v>
      </c>
      <c r="B49" s="24" t="s">
        <v>137</v>
      </c>
      <c r="C49" s="24" t="s">
        <v>16</v>
      </c>
      <c r="D49" s="24"/>
      <c r="E49" s="18">
        <v>3.45</v>
      </c>
      <c r="F49" s="17">
        <v>2</v>
      </c>
      <c r="G49" s="17">
        <v>22</v>
      </c>
      <c r="H49" s="18">
        <f t="shared" si="6"/>
        <v>151.8</v>
      </c>
      <c r="I49" s="27"/>
    </row>
    <row r="50" s="22" customFormat="1" ht="29.1" customHeight="1" spans="1:9">
      <c r="A50" s="17">
        <v>48</v>
      </c>
      <c r="B50" s="24" t="s">
        <v>145</v>
      </c>
      <c r="C50" s="24" t="s">
        <v>146</v>
      </c>
      <c r="D50" s="24"/>
      <c r="E50" s="18">
        <v>6.5</v>
      </c>
      <c r="F50" s="17">
        <v>1</v>
      </c>
      <c r="G50" s="17">
        <v>13</v>
      </c>
      <c r="H50" s="18">
        <f t="shared" si="6"/>
        <v>84.5</v>
      </c>
      <c r="I50" s="27"/>
    </row>
    <row r="51" s="22" customFormat="1" ht="29.1" customHeight="1" spans="1:9">
      <c r="A51" s="17">
        <v>49</v>
      </c>
      <c r="B51" s="24" t="s">
        <v>145</v>
      </c>
      <c r="C51" s="24" t="s">
        <v>147</v>
      </c>
      <c r="D51" s="24"/>
      <c r="E51" s="18">
        <v>5.4</v>
      </c>
      <c r="F51" s="17">
        <v>3</v>
      </c>
      <c r="G51" s="17">
        <v>13</v>
      </c>
      <c r="H51" s="18">
        <f t="shared" si="6"/>
        <v>210.6</v>
      </c>
      <c r="I51" s="27"/>
    </row>
    <row r="52" s="22" customFormat="1" ht="29.1" hidden="1" customHeight="1" spans="1:9">
      <c r="A52" s="17">
        <v>50</v>
      </c>
      <c r="B52" s="24" t="s">
        <v>145</v>
      </c>
      <c r="C52" s="24" t="s">
        <v>15</v>
      </c>
      <c r="D52" s="24"/>
      <c r="E52" s="18">
        <v>2.1</v>
      </c>
      <c r="F52" s="17">
        <v>4</v>
      </c>
      <c r="G52" s="17">
        <v>13</v>
      </c>
      <c r="H52" s="18">
        <f t="shared" si="6"/>
        <v>109.2</v>
      </c>
      <c r="I52" s="27"/>
    </row>
    <row r="53" s="22" customFormat="1" ht="29.1" hidden="1" customHeight="1" spans="1:9">
      <c r="A53" s="17">
        <v>51</v>
      </c>
      <c r="B53" s="24" t="s">
        <v>145</v>
      </c>
      <c r="C53" s="24" t="s">
        <v>15</v>
      </c>
      <c r="D53" s="24"/>
      <c r="E53" s="18">
        <v>1.6</v>
      </c>
      <c r="F53" s="17">
        <v>2</v>
      </c>
      <c r="G53" s="17">
        <v>13</v>
      </c>
      <c r="H53" s="18">
        <f t="shared" si="6"/>
        <v>41.6</v>
      </c>
      <c r="I53" s="27"/>
    </row>
    <row r="54" s="22" customFormat="1" ht="29.1" hidden="1" customHeight="1" spans="1:9">
      <c r="A54" s="17">
        <v>52</v>
      </c>
      <c r="B54" s="24" t="s">
        <v>145</v>
      </c>
      <c r="C54" s="24" t="s">
        <v>148</v>
      </c>
      <c r="D54" s="24"/>
      <c r="E54" s="18">
        <v>2.2</v>
      </c>
      <c r="F54" s="17">
        <v>1</v>
      </c>
      <c r="G54" s="17">
        <v>13</v>
      </c>
      <c r="H54" s="18">
        <f t="shared" si="6"/>
        <v>28.6</v>
      </c>
      <c r="I54" s="27"/>
    </row>
    <row r="55" s="22" customFormat="1" ht="29.1" hidden="1" customHeight="1" spans="1:9">
      <c r="A55" s="17">
        <v>53</v>
      </c>
      <c r="B55" s="24" t="s">
        <v>145</v>
      </c>
      <c r="C55" s="24" t="s">
        <v>149</v>
      </c>
      <c r="D55" s="24"/>
      <c r="E55" s="18">
        <f>1.1+0.45</f>
        <v>1.55</v>
      </c>
      <c r="F55" s="17">
        <v>2</v>
      </c>
      <c r="G55" s="17">
        <v>2</v>
      </c>
      <c r="H55" s="18">
        <f t="shared" si="6"/>
        <v>6.2</v>
      </c>
      <c r="I55" s="28"/>
    </row>
    <row r="56" s="22" customFormat="1" ht="29.1" hidden="1" customHeight="1" spans="1:9">
      <c r="A56" s="17">
        <v>54</v>
      </c>
      <c r="B56" s="24" t="s">
        <v>145</v>
      </c>
      <c r="C56" s="24" t="s">
        <v>149</v>
      </c>
      <c r="D56" s="24"/>
      <c r="E56" s="18">
        <v>1.55</v>
      </c>
      <c r="F56" s="17">
        <v>4</v>
      </c>
      <c r="G56" s="17">
        <v>11</v>
      </c>
      <c r="H56" s="18">
        <f t="shared" si="6"/>
        <v>68.2</v>
      </c>
      <c r="I56" s="27"/>
    </row>
    <row r="57" s="22" customFormat="1" ht="29.1" hidden="1" customHeight="1" spans="1:9">
      <c r="A57" s="17">
        <v>55</v>
      </c>
      <c r="B57" s="24" t="s">
        <v>145</v>
      </c>
      <c r="C57" s="24" t="s">
        <v>150</v>
      </c>
      <c r="D57" s="24"/>
      <c r="E57" s="18">
        <v>1.5</v>
      </c>
      <c r="F57" s="17">
        <v>3</v>
      </c>
      <c r="G57" s="17">
        <v>13</v>
      </c>
      <c r="H57" s="18">
        <f t="shared" si="6"/>
        <v>58.5</v>
      </c>
      <c r="I57" s="27"/>
    </row>
    <row r="58" s="22" customFormat="1" ht="29.1" hidden="1" customHeight="1" spans="1:9">
      <c r="A58" s="17">
        <v>56</v>
      </c>
      <c r="B58" s="24" t="s">
        <v>145</v>
      </c>
      <c r="C58" s="24" t="s">
        <v>13</v>
      </c>
      <c r="D58" s="24"/>
      <c r="E58" s="18">
        <v>2.36</v>
      </c>
      <c r="F58" s="17">
        <v>1</v>
      </c>
      <c r="G58" s="17">
        <v>13</v>
      </c>
      <c r="H58" s="18">
        <f t="shared" si="6"/>
        <v>30.68</v>
      </c>
      <c r="I58" s="27"/>
    </row>
    <row r="59" s="22" customFormat="1" ht="29.1" hidden="1" customHeight="1" spans="1:9">
      <c r="A59" s="17">
        <v>57</v>
      </c>
      <c r="B59" s="24" t="s">
        <v>145</v>
      </c>
      <c r="C59" s="24" t="s">
        <v>13</v>
      </c>
      <c r="D59" s="24"/>
      <c r="E59" s="18">
        <v>1.9</v>
      </c>
      <c r="F59" s="17">
        <v>1</v>
      </c>
      <c r="G59" s="17">
        <v>13</v>
      </c>
      <c r="H59" s="18">
        <f t="shared" si="6"/>
        <v>24.7</v>
      </c>
      <c r="I59" s="27"/>
    </row>
    <row r="60" s="22" customFormat="1" ht="29.1" hidden="1" customHeight="1" spans="1:9">
      <c r="A60" s="17">
        <v>58</v>
      </c>
      <c r="B60" s="24" t="s">
        <v>145</v>
      </c>
      <c r="C60" s="24" t="s">
        <v>13</v>
      </c>
      <c r="D60" s="24"/>
      <c r="E60" s="18">
        <v>1.7</v>
      </c>
      <c r="F60" s="17">
        <v>3</v>
      </c>
      <c r="G60" s="17">
        <v>13</v>
      </c>
      <c r="H60" s="18">
        <f t="shared" si="6"/>
        <v>66.3</v>
      </c>
      <c r="I60" s="27"/>
    </row>
    <row r="61" s="22" customFormat="1" ht="29.1" customHeight="1" spans="1:9">
      <c r="A61" s="17">
        <v>59</v>
      </c>
      <c r="B61" s="24" t="s">
        <v>151</v>
      </c>
      <c r="C61" s="24" t="s">
        <v>138</v>
      </c>
      <c r="D61" s="24"/>
      <c r="E61" s="18">
        <v>4.8</v>
      </c>
      <c r="F61" s="17">
        <v>1</v>
      </c>
      <c r="G61" s="17">
        <v>1</v>
      </c>
      <c r="H61" s="18">
        <f t="shared" si="6"/>
        <v>4.8</v>
      </c>
      <c r="I61" s="27"/>
    </row>
    <row r="62" s="22" customFormat="1" ht="29.1" customHeight="1" spans="1:9">
      <c r="A62" s="17">
        <v>60</v>
      </c>
      <c r="B62" s="24" t="s">
        <v>151</v>
      </c>
      <c r="C62" s="24" t="s">
        <v>139</v>
      </c>
      <c r="D62" s="24"/>
      <c r="E62" s="18">
        <v>4.4</v>
      </c>
      <c r="F62" s="17">
        <v>2</v>
      </c>
      <c r="G62" s="17">
        <v>26</v>
      </c>
      <c r="H62" s="18">
        <f t="shared" si="6"/>
        <v>228.8</v>
      </c>
      <c r="I62" s="27"/>
    </row>
    <row r="63" s="22" customFormat="1" ht="29.1" customHeight="1" spans="1:9">
      <c r="A63" s="17">
        <v>61</v>
      </c>
      <c r="B63" s="24" t="s">
        <v>151</v>
      </c>
      <c r="C63" s="24" t="s">
        <v>135</v>
      </c>
      <c r="D63" s="24"/>
      <c r="E63" s="18">
        <v>4.7</v>
      </c>
      <c r="F63" s="17">
        <v>1</v>
      </c>
      <c r="G63" s="17">
        <v>26</v>
      </c>
      <c r="H63" s="18">
        <f t="shared" si="6"/>
        <v>122.2</v>
      </c>
      <c r="I63" s="27"/>
    </row>
    <row r="64" s="22" customFormat="1" ht="29.1" customHeight="1" spans="1:9">
      <c r="A64" s="17">
        <v>62</v>
      </c>
      <c r="B64" s="24" t="s">
        <v>151</v>
      </c>
      <c r="C64" s="24" t="s">
        <v>138</v>
      </c>
      <c r="D64" s="24"/>
      <c r="E64" s="18">
        <v>4.8</v>
      </c>
      <c r="F64" s="17">
        <v>2</v>
      </c>
      <c r="G64" s="17">
        <v>25</v>
      </c>
      <c r="H64" s="18">
        <f t="shared" si="6"/>
        <v>240</v>
      </c>
      <c r="I64" s="27"/>
    </row>
    <row r="65" s="22" customFormat="1" ht="29.1" customHeight="1" spans="1:9">
      <c r="A65" s="17">
        <v>64</v>
      </c>
      <c r="B65" s="24" t="s">
        <v>151</v>
      </c>
      <c r="C65" s="24" t="s">
        <v>140</v>
      </c>
      <c r="D65" s="24"/>
      <c r="E65" s="18">
        <v>4.6</v>
      </c>
      <c r="F65" s="17">
        <v>1</v>
      </c>
      <c r="G65" s="17">
        <v>25</v>
      </c>
      <c r="H65" s="18">
        <f t="shared" si="6"/>
        <v>115</v>
      </c>
      <c r="I65" s="27"/>
    </row>
    <row r="66" s="22" customFormat="1" ht="29.1" customHeight="1" spans="1:9">
      <c r="A66" s="17">
        <v>65</v>
      </c>
      <c r="B66" s="24" t="s">
        <v>151</v>
      </c>
      <c r="C66" s="24" t="s">
        <v>130</v>
      </c>
      <c r="D66" s="24"/>
      <c r="E66" s="18">
        <v>8.5</v>
      </c>
      <c r="F66" s="17">
        <v>1</v>
      </c>
      <c r="G66" s="17">
        <v>25</v>
      </c>
      <c r="H66" s="18">
        <f t="shared" si="6"/>
        <v>212.5</v>
      </c>
      <c r="I66" s="27"/>
    </row>
    <row r="67" s="22" customFormat="1" ht="29.1" hidden="1" customHeight="1" spans="1:9">
      <c r="A67" s="17">
        <v>66</v>
      </c>
      <c r="B67" s="24" t="s">
        <v>151</v>
      </c>
      <c r="C67" s="24" t="s">
        <v>152</v>
      </c>
      <c r="D67" s="24"/>
      <c r="E67" s="18">
        <v>3.5</v>
      </c>
      <c r="F67" s="17">
        <v>1</v>
      </c>
      <c r="G67" s="17">
        <v>26</v>
      </c>
      <c r="H67" s="18">
        <f t="shared" si="6"/>
        <v>91</v>
      </c>
      <c r="I67" s="27"/>
    </row>
    <row r="68" s="22" customFormat="1" ht="29.1" hidden="1" customHeight="1" spans="1:9">
      <c r="A68" s="17">
        <v>67</v>
      </c>
      <c r="B68" s="24" t="s">
        <v>151</v>
      </c>
      <c r="C68" s="24" t="s">
        <v>153</v>
      </c>
      <c r="D68" s="24"/>
      <c r="E68" s="18">
        <v>2.3</v>
      </c>
      <c r="F68" s="17">
        <v>1</v>
      </c>
      <c r="G68" s="17">
        <v>1</v>
      </c>
      <c r="H68" s="18">
        <f t="shared" si="6"/>
        <v>2.3</v>
      </c>
      <c r="I68" s="27"/>
    </row>
    <row r="69" s="22" customFormat="1" ht="29.1" hidden="1" customHeight="1" spans="1:9">
      <c r="A69" s="17">
        <v>68</v>
      </c>
      <c r="B69" s="24" t="s">
        <v>151</v>
      </c>
      <c r="C69" s="24" t="s">
        <v>153</v>
      </c>
      <c r="D69" s="24"/>
      <c r="E69" s="18">
        <v>2.3</v>
      </c>
      <c r="F69" s="17">
        <v>2</v>
      </c>
      <c r="G69" s="17">
        <v>25</v>
      </c>
      <c r="H69" s="18">
        <f t="shared" si="6"/>
        <v>115</v>
      </c>
      <c r="I69" s="27"/>
    </row>
    <row r="70" s="22" customFormat="1" ht="29.1" hidden="1" customHeight="1" spans="1:9">
      <c r="A70" s="17">
        <v>69</v>
      </c>
      <c r="B70" s="24" t="s">
        <v>151</v>
      </c>
      <c r="C70" s="24" t="s">
        <v>154</v>
      </c>
      <c r="D70" s="24"/>
      <c r="E70" s="18">
        <v>1.8</v>
      </c>
      <c r="F70" s="17">
        <v>1</v>
      </c>
      <c r="G70" s="17">
        <v>25</v>
      </c>
      <c r="H70" s="18">
        <f t="shared" si="6"/>
        <v>45</v>
      </c>
      <c r="I70" s="27"/>
    </row>
    <row r="71" s="22" customFormat="1" ht="29.1" hidden="1" customHeight="1" spans="1:9">
      <c r="A71" s="17">
        <v>70</v>
      </c>
      <c r="B71" s="24" t="s">
        <v>151</v>
      </c>
      <c r="C71" s="24" t="s">
        <v>15</v>
      </c>
      <c r="D71" s="24"/>
      <c r="E71" s="18">
        <v>2.1</v>
      </c>
      <c r="F71" s="17">
        <v>6</v>
      </c>
      <c r="G71" s="17">
        <v>25</v>
      </c>
      <c r="H71" s="18">
        <f t="shared" si="6"/>
        <v>315</v>
      </c>
      <c r="I71" s="27"/>
    </row>
    <row r="72" s="22" customFormat="1" ht="29.1" hidden="1" customHeight="1" spans="1:9">
      <c r="A72" s="17">
        <v>71</v>
      </c>
      <c r="B72" s="24" t="s">
        <v>151</v>
      </c>
      <c r="C72" s="24" t="s">
        <v>15</v>
      </c>
      <c r="D72" s="24"/>
      <c r="E72" s="18">
        <v>1.5</v>
      </c>
      <c r="F72" s="17">
        <v>2</v>
      </c>
      <c r="G72" s="17">
        <v>25</v>
      </c>
      <c r="H72" s="18">
        <f t="shared" si="6"/>
        <v>75</v>
      </c>
      <c r="I72" s="27"/>
    </row>
    <row r="73" s="22" customFormat="1" ht="29.1" hidden="1" customHeight="1" spans="1:9">
      <c r="A73" s="17">
        <v>72</v>
      </c>
      <c r="B73" s="24" t="s">
        <v>151</v>
      </c>
      <c r="C73" s="24" t="s">
        <v>15</v>
      </c>
      <c r="D73" s="24"/>
      <c r="E73" s="18">
        <v>2.1</v>
      </c>
      <c r="F73" s="17">
        <v>4</v>
      </c>
      <c r="G73" s="17">
        <v>1</v>
      </c>
      <c r="H73" s="18">
        <f t="shared" si="6"/>
        <v>8.4</v>
      </c>
      <c r="I73" s="27"/>
    </row>
    <row r="74" s="22" customFormat="1" ht="29.1" hidden="1" customHeight="1" spans="1:9">
      <c r="A74" s="17">
        <v>73</v>
      </c>
      <c r="B74" s="24" t="s">
        <v>151</v>
      </c>
      <c r="C74" s="24" t="s">
        <v>13</v>
      </c>
      <c r="D74" s="24"/>
      <c r="E74" s="18">
        <v>2.25</v>
      </c>
      <c r="F74" s="17">
        <v>1</v>
      </c>
      <c r="G74" s="17">
        <v>26</v>
      </c>
      <c r="H74" s="18">
        <f t="shared" si="6"/>
        <v>58.5</v>
      </c>
      <c r="I74" s="27"/>
    </row>
    <row r="75" s="22" customFormat="1" ht="29.1" hidden="1" customHeight="1" spans="1:9">
      <c r="A75" s="17">
        <v>74</v>
      </c>
      <c r="B75" s="24" t="s">
        <v>151</v>
      </c>
      <c r="C75" s="24" t="s">
        <v>13</v>
      </c>
      <c r="D75" s="24"/>
      <c r="E75" s="18">
        <v>2.5</v>
      </c>
      <c r="F75" s="17">
        <v>2</v>
      </c>
      <c r="G75" s="17">
        <v>26</v>
      </c>
      <c r="H75" s="18">
        <f t="shared" si="6"/>
        <v>130</v>
      </c>
      <c r="I75" s="27"/>
    </row>
    <row r="76" s="22" customFormat="1" ht="29.1" hidden="1" customHeight="1" spans="1:9">
      <c r="A76" s="17">
        <v>75</v>
      </c>
      <c r="B76" s="24" t="s">
        <v>151</v>
      </c>
      <c r="C76" s="24" t="s">
        <v>13</v>
      </c>
      <c r="D76" s="24"/>
      <c r="E76" s="18">
        <v>1.1</v>
      </c>
      <c r="F76" s="17">
        <v>1</v>
      </c>
      <c r="G76" s="17">
        <v>25</v>
      </c>
      <c r="H76" s="18">
        <f t="shared" si="6"/>
        <v>27.5</v>
      </c>
      <c r="I76" s="27"/>
    </row>
    <row r="77" s="22" customFormat="1" ht="29.1" hidden="1" customHeight="1" spans="1:9">
      <c r="A77" s="17">
        <v>76</v>
      </c>
      <c r="B77" s="24" t="s">
        <v>151</v>
      </c>
      <c r="C77" s="24" t="s">
        <v>13</v>
      </c>
      <c r="D77" s="24"/>
      <c r="E77" s="18">
        <v>0.9</v>
      </c>
      <c r="F77" s="17">
        <v>1</v>
      </c>
      <c r="G77" s="17">
        <v>25</v>
      </c>
      <c r="H77" s="18">
        <f t="shared" si="6"/>
        <v>22.5</v>
      </c>
      <c r="I77" s="27"/>
    </row>
    <row r="78" s="22" customFormat="1" ht="29.1" hidden="1" customHeight="1" spans="1:9">
      <c r="A78" s="17">
        <v>77</v>
      </c>
      <c r="B78" s="24" t="s">
        <v>151</v>
      </c>
      <c r="C78" s="24" t="s">
        <v>13</v>
      </c>
      <c r="D78" s="24"/>
      <c r="E78" s="18">
        <v>2.28</v>
      </c>
      <c r="F78" s="17">
        <v>1</v>
      </c>
      <c r="G78" s="17">
        <v>25</v>
      </c>
      <c r="H78" s="18">
        <f t="shared" ref="H78:H97" si="7">E78*F78*G78</f>
        <v>57</v>
      </c>
      <c r="I78" s="27"/>
    </row>
    <row r="79" s="22" customFormat="1" ht="29.1" hidden="1" customHeight="1" spans="1:9">
      <c r="A79" s="17">
        <v>78</v>
      </c>
      <c r="B79" s="24" t="s">
        <v>151</v>
      </c>
      <c r="C79" s="24" t="s">
        <v>13</v>
      </c>
      <c r="D79" s="24"/>
      <c r="E79" s="18">
        <v>2.6</v>
      </c>
      <c r="F79" s="17">
        <v>1</v>
      </c>
      <c r="G79" s="17">
        <v>25</v>
      </c>
      <c r="H79" s="18">
        <f t="shared" si="7"/>
        <v>65</v>
      </c>
      <c r="I79" s="27"/>
    </row>
    <row r="80" s="22" customFormat="1" ht="29.1" hidden="1" customHeight="1" spans="1:9">
      <c r="A80" s="17">
        <v>79</v>
      </c>
      <c r="B80" s="24" t="s">
        <v>151</v>
      </c>
      <c r="C80" s="24" t="s">
        <v>13</v>
      </c>
      <c r="D80" s="24"/>
      <c r="E80" s="18">
        <v>2.9</v>
      </c>
      <c r="F80" s="17">
        <v>1</v>
      </c>
      <c r="G80" s="17">
        <v>25</v>
      </c>
      <c r="H80" s="18">
        <f t="shared" si="7"/>
        <v>72.5</v>
      </c>
      <c r="I80" s="27"/>
    </row>
    <row r="81" s="22" customFormat="1" ht="29.1" hidden="1" customHeight="1" spans="1:9">
      <c r="A81" s="17">
        <v>80</v>
      </c>
      <c r="B81" s="24" t="s">
        <v>151</v>
      </c>
      <c r="C81" s="24" t="s">
        <v>16</v>
      </c>
      <c r="D81" s="24"/>
      <c r="E81" s="18">
        <v>6.8</v>
      </c>
      <c r="F81" s="17">
        <v>1</v>
      </c>
      <c r="G81" s="17">
        <v>25</v>
      </c>
      <c r="H81" s="18">
        <f t="shared" si="7"/>
        <v>170</v>
      </c>
      <c r="I81" s="27"/>
    </row>
    <row r="82" s="22" customFormat="1" ht="29.1" hidden="1" customHeight="1" spans="1:9">
      <c r="A82" s="17">
        <v>81</v>
      </c>
      <c r="B82" s="24" t="s">
        <v>151</v>
      </c>
      <c r="C82" s="24" t="s">
        <v>16</v>
      </c>
      <c r="D82" s="24"/>
      <c r="E82" s="18">
        <v>8.3</v>
      </c>
      <c r="F82" s="17">
        <v>1</v>
      </c>
      <c r="G82" s="17">
        <v>25</v>
      </c>
      <c r="H82" s="18">
        <f t="shared" si="7"/>
        <v>207.5</v>
      </c>
      <c r="I82" s="27"/>
    </row>
    <row r="83" s="22" customFormat="1" ht="29.1" hidden="1" customHeight="1" spans="1:9">
      <c r="A83" s="17">
        <v>82</v>
      </c>
      <c r="B83" s="24" t="s">
        <v>151</v>
      </c>
      <c r="C83" s="24" t="s">
        <v>16</v>
      </c>
      <c r="D83" s="24"/>
      <c r="E83" s="18">
        <v>3.85</v>
      </c>
      <c r="F83" s="17">
        <v>1</v>
      </c>
      <c r="G83" s="17">
        <v>25</v>
      </c>
      <c r="H83" s="18">
        <f t="shared" si="7"/>
        <v>96.25</v>
      </c>
      <c r="I83" s="27"/>
    </row>
    <row r="84" s="22" customFormat="1" ht="29.1" hidden="1" customHeight="1" spans="1:9">
      <c r="A84" s="17">
        <v>83</v>
      </c>
      <c r="B84" s="24" t="s">
        <v>151</v>
      </c>
      <c r="C84" s="24" t="s">
        <v>16</v>
      </c>
      <c r="D84" s="24"/>
      <c r="E84" s="18">
        <v>4.45</v>
      </c>
      <c r="F84" s="17">
        <v>1</v>
      </c>
      <c r="G84" s="17">
        <v>25</v>
      </c>
      <c r="H84" s="18">
        <f t="shared" si="7"/>
        <v>111.25</v>
      </c>
      <c r="I84" s="27"/>
    </row>
    <row r="85" s="22" customFormat="1" ht="29.1" customHeight="1" spans="1:9">
      <c r="A85" s="17">
        <v>84</v>
      </c>
      <c r="B85" s="24" t="s">
        <v>155</v>
      </c>
      <c r="C85" s="24" t="s">
        <v>146</v>
      </c>
      <c r="D85" s="24"/>
      <c r="E85" s="18">
        <v>6.5</v>
      </c>
      <c r="F85" s="17">
        <v>1</v>
      </c>
      <c r="G85" s="17">
        <v>11</v>
      </c>
      <c r="H85" s="18">
        <f t="shared" si="7"/>
        <v>71.5</v>
      </c>
      <c r="I85" s="27"/>
    </row>
    <row r="86" s="22" customFormat="1" ht="29.1" customHeight="1" spans="1:9">
      <c r="A86" s="17">
        <v>85</v>
      </c>
      <c r="B86" s="24" t="s">
        <v>155</v>
      </c>
      <c r="C86" s="24" t="s">
        <v>147</v>
      </c>
      <c r="D86" s="24"/>
      <c r="E86" s="18">
        <v>5.4</v>
      </c>
      <c r="F86" s="17">
        <v>3</v>
      </c>
      <c r="G86" s="17">
        <v>11</v>
      </c>
      <c r="H86" s="18">
        <f t="shared" si="7"/>
        <v>178.2</v>
      </c>
      <c r="I86" s="27"/>
    </row>
    <row r="87" s="22" customFormat="1" ht="29.1" hidden="1" customHeight="1" spans="1:9">
      <c r="A87" s="17">
        <v>86</v>
      </c>
      <c r="B87" s="24" t="s">
        <v>155</v>
      </c>
      <c r="C87" s="24" t="s">
        <v>15</v>
      </c>
      <c r="D87" s="24"/>
      <c r="E87" s="18">
        <v>1.6</v>
      </c>
      <c r="F87" s="17">
        <v>3</v>
      </c>
      <c r="G87" s="17">
        <v>11</v>
      </c>
      <c r="H87" s="18">
        <f t="shared" si="7"/>
        <v>52.8</v>
      </c>
      <c r="I87" s="27"/>
    </row>
    <row r="88" s="22" customFormat="1" ht="29.1" hidden="1" customHeight="1" spans="1:9">
      <c r="A88" s="17">
        <v>87</v>
      </c>
      <c r="B88" s="24" t="s">
        <v>155</v>
      </c>
      <c r="C88" s="24" t="s">
        <v>15</v>
      </c>
      <c r="D88" s="24"/>
      <c r="E88" s="18">
        <v>2.1</v>
      </c>
      <c r="F88" s="17">
        <v>4</v>
      </c>
      <c r="G88" s="17">
        <v>11</v>
      </c>
      <c r="H88" s="18">
        <f t="shared" si="7"/>
        <v>92.4</v>
      </c>
      <c r="I88" s="27"/>
    </row>
    <row r="89" s="22" customFormat="1" ht="29.1" hidden="1" customHeight="1" spans="1:9">
      <c r="A89" s="17">
        <v>88</v>
      </c>
      <c r="B89" s="24" t="s">
        <v>155</v>
      </c>
      <c r="C89" s="24" t="s">
        <v>156</v>
      </c>
      <c r="D89" s="24"/>
      <c r="E89" s="18">
        <v>1.7</v>
      </c>
      <c r="F89" s="17">
        <v>3</v>
      </c>
      <c r="G89" s="17">
        <v>11</v>
      </c>
      <c r="H89" s="18">
        <f t="shared" si="7"/>
        <v>56.1</v>
      </c>
      <c r="I89" s="27"/>
    </row>
    <row r="90" s="22" customFormat="1" ht="29.1" hidden="1" customHeight="1" spans="1:9">
      <c r="A90" s="17">
        <v>89</v>
      </c>
      <c r="B90" s="24" t="s">
        <v>155</v>
      </c>
      <c r="C90" s="24" t="s">
        <v>156</v>
      </c>
      <c r="D90" s="24"/>
      <c r="E90" s="18">
        <v>1.9</v>
      </c>
      <c r="F90" s="17">
        <v>1</v>
      </c>
      <c r="G90" s="17">
        <v>11</v>
      </c>
      <c r="H90" s="18">
        <f t="shared" si="7"/>
        <v>20.9</v>
      </c>
      <c r="I90" s="27"/>
    </row>
    <row r="91" s="22" customFormat="1" ht="29.1" hidden="1" customHeight="1" spans="1:9">
      <c r="A91" s="17">
        <v>90</v>
      </c>
      <c r="B91" s="24" t="s">
        <v>155</v>
      </c>
      <c r="C91" s="24" t="s">
        <v>156</v>
      </c>
      <c r="D91" s="24"/>
      <c r="E91" s="18">
        <v>2.36</v>
      </c>
      <c r="F91" s="17">
        <v>1</v>
      </c>
      <c r="G91" s="17">
        <v>11</v>
      </c>
      <c r="H91" s="18">
        <f t="shared" si="7"/>
        <v>25.96</v>
      </c>
      <c r="I91" s="27"/>
    </row>
    <row r="92" s="22" customFormat="1" ht="29.1" hidden="1" customHeight="1" spans="1:9">
      <c r="A92" s="17">
        <v>91</v>
      </c>
      <c r="B92" s="24" t="s">
        <v>155</v>
      </c>
      <c r="C92" s="24" t="s">
        <v>157</v>
      </c>
      <c r="D92" s="24"/>
      <c r="E92" s="18">
        <v>1.5</v>
      </c>
      <c r="F92" s="17">
        <v>3</v>
      </c>
      <c r="G92" s="17">
        <v>2</v>
      </c>
      <c r="H92" s="18">
        <f t="shared" si="7"/>
        <v>9</v>
      </c>
      <c r="I92" s="27"/>
    </row>
    <row r="93" s="22" customFormat="1" ht="29.1" hidden="1" customHeight="1" spans="1:9">
      <c r="A93" s="17">
        <v>92</v>
      </c>
      <c r="B93" s="24" t="s">
        <v>155</v>
      </c>
      <c r="C93" s="24" t="s">
        <v>149</v>
      </c>
      <c r="D93" s="24"/>
      <c r="E93" s="18">
        <v>1.55</v>
      </c>
      <c r="F93" s="17">
        <v>2</v>
      </c>
      <c r="G93" s="17">
        <v>2</v>
      </c>
      <c r="H93" s="18">
        <f t="shared" si="7"/>
        <v>6.2</v>
      </c>
      <c r="I93" s="27"/>
    </row>
    <row r="94" s="22" customFormat="1" ht="29.1" hidden="1" customHeight="1" spans="1:9">
      <c r="A94" s="17">
        <v>93</v>
      </c>
      <c r="B94" s="24" t="s">
        <v>155</v>
      </c>
      <c r="C94" s="24" t="s">
        <v>158</v>
      </c>
      <c r="D94" s="24"/>
      <c r="E94" s="18">
        <v>1.6</v>
      </c>
      <c r="F94" s="17">
        <v>1</v>
      </c>
      <c r="G94" s="17">
        <v>2</v>
      </c>
      <c r="H94" s="18">
        <f t="shared" si="7"/>
        <v>3.2</v>
      </c>
      <c r="I94" s="27"/>
    </row>
    <row r="95" s="22" customFormat="1" ht="29.1" hidden="1" customHeight="1" spans="1:9">
      <c r="A95" s="17">
        <v>94</v>
      </c>
      <c r="B95" s="24" t="s">
        <v>155</v>
      </c>
      <c r="C95" s="24" t="s">
        <v>157</v>
      </c>
      <c r="D95" s="24"/>
      <c r="E95" s="18">
        <v>1.5</v>
      </c>
      <c r="F95" s="17">
        <v>3</v>
      </c>
      <c r="G95" s="17">
        <v>9</v>
      </c>
      <c r="H95" s="18">
        <f t="shared" si="7"/>
        <v>40.5</v>
      </c>
      <c r="I95" s="27"/>
    </row>
    <row r="96" s="22" customFormat="1" ht="29.1" hidden="1" customHeight="1" spans="1:9">
      <c r="A96" s="17">
        <v>95</v>
      </c>
      <c r="B96" s="24" t="s">
        <v>155</v>
      </c>
      <c r="C96" s="24" t="s">
        <v>149</v>
      </c>
      <c r="D96" s="24"/>
      <c r="E96" s="18">
        <v>1.55</v>
      </c>
      <c r="F96" s="17">
        <v>4</v>
      </c>
      <c r="G96" s="17">
        <v>9</v>
      </c>
      <c r="H96" s="18">
        <f t="shared" si="7"/>
        <v>55.8</v>
      </c>
      <c r="I96" s="27"/>
    </row>
    <row r="97" s="22" customFormat="1" ht="29.1" hidden="1" customHeight="1" spans="1:9">
      <c r="A97" s="17">
        <v>96</v>
      </c>
      <c r="B97" s="24" t="s">
        <v>155</v>
      </c>
      <c r="C97" s="24" t="s">
        <v>158</v>
      </c>
      <c r="D97" s="24"/>
      <c r="E97" s="18">
        <v>1.6</v>
      </c>
      <c r="F97" s="17">
        <v>1</v>
      </c>
      <c r="G97" s="17">
        <v>9</v>
      </c>
      <c r="H97" s="18">
        <f t="shared" si="7"/>
        <v>14.4</v>
      </c>
      <c r="I97" s="27"/>
    </row>
    <row r="98" s="22" customFormat="1" ht="29.1" customHeight="1" spans="1:9">
      <c r="A98" s="17">
        <v>97</v>
      </c>
      <c r="B98" s="24" t="s">
        <v>159</v>
      </c>
      <c r="C98" s="24" t="s">
        <v>146</v>
      </c>
      <c r="D98" s="24"/>
      <c r="E98" s="18">
        <v>6.5</v>
      </c>
      <c r="F98" s="17">
        <v>1</v>
      </c>
      <c r="G98" s="17">
        <v>11</v>
      </c>
      <c r="H98" s="18">
        <f t="shared" ref="H98:H114" si="8">E98*F98*G98</f>
        <v>71.5</v>
      </c>
      <c r="I98" s="27"/>
    </row>
    <row r="99" s="22" customFormat="1" ht="29.1" customHeight="1" spans="1:9">
      <c r="A99" s="17">
        <v>98</v>
      </c>
      <c r="B99" s="24" t="s">
        <v>159</v>
      </c>
      <c r="C99" s="24" t="s">
        <v>147</v>
      </c>
      <c r="D99" s="24"/>
      <c r="E99" s="18">
        <v>5.4</v>
      </c>
      <c r="F99" s="17">
        <v>3</v>
      </c>
      <c r="G99" s="17">
        <v>11</v>
      </c>
      <c r="H99" s="18">
        <f t="shared" si="8"/>
        <v>178.2</v>
      </c>
      <c r="I99" s="27"/>
    </row>
    <row r="100" s="22" customFormat="1" ht="29.1" hidden="1" customHeight="1" spans="1:9">
      <c r="A100" s="17">
        <v>99</v>
      </c>
      <c r="B100" s="24" t="s">
        <v>159</v>
      </c>
      <c r="C100" s="24" t="s">
        <v>15</v>
      </c>
      <c r="D100" s="24"/>
      <c r="E100" s="18">
        <v>2.1</v>
      </c>
      <c r="F100" s="17">
        <v>4</v>
      </c>
      <c r="G100" s="17">
        <v>11</v>
      </c>
      <c r="H100" s="18">
        <f t="shared" si="8"/>
        <v>92.4</v>
      </c>
      <c r="I100" s="27"/>
    </row>
    <row r="101" s="22" customFormat="1" ht="29.1" hidden="1" customHeight="1" spans="1:9">
      <c r="A101" s="17">
        <v>100</v>
      </c>
      <c r="B101" s="24" t="s">
        <v>159</v>
      </c>
      <c r="C101" s="24" t="s">
        <v>15</v>
      </c>
      <c r="D101" s="24"/>
      <c r="E101" s="18">
        <v>1.6</v>
      </c>
      <c r="F101" s="17">
        <v>3</v>
      </c>
      <c r="G101" s="17">
        <v>11</v>
      </c>
      <c r="H101" s="18">
        <f t="shared" si="8"/>
        <v>52.8</v>
      </c>
      <c r="I101" s="27"/>
    </row>
    <row r="102" s="22" customFormat="1" ht="32" hidden="1" customHeight="1" spans="1:9">
      <c r="A102" s="17">
        <v>101</v>
      </c>
      <c r="B102" s="24" t="s">
        <v>159</v>
      </c>
      <c r="C102" s="24" t="s">
        <v>156</v>
      </c>
      <c r="D102" s="24"/>
      <c r="E102" s="18">
        <v>1.7</v>
      </c>
      <c r="F102" s="17">
        <v>3</v>
      </c>
      <c r="G102" s="17">
        <v>11</v>
      </c>
      <c r="H102" s="18">
        <f t="shared" si="8"/>
        <v>56.1</v>
      </c>
      <c r="I102" s="27"/>
    </row>
    <row r="103" s="22" customFormat="1" ht="32" hidden="1" customHeight="1" spans="1:9">
      <c r="A103" s="17">
        <v>102</v>
      </c>
      <c r="B103" s="24" t="s">
        <v>159</v>
      </c>
      <c r="C103" s="24" t="s">
        <v>156</v>
      </c>
      <c r="D103" s="24"/>
      <c r="E103" s="18">
        <v>1.9</v>
      </c>
      <c r="F103" s="17">
        <v>1</v>
      </c>
      <c r="G103" s="17">
        <v>11</v>
      </c>
      <c r="H103" s="18">
        <f t="shared" si="8"/>
        <v>20.9</v>
      </c>
      <c r="I103" s="27"/>
    </row>
    <row r="104" s="22" customFormat="1" ht="32" hidden="1" customHeight="1" spans="1:9">
      <c r="A104" s="17">
        <v>103</v>
      </c>
      <c r="B104" s="24" t="s">
        <v>159</v>
      </c>
      <c r="C104" s="24" t="s">
        <v>156</v>
      </c>
      <c r="D104" s="24"/>
      <c r="E104" s="18">
        <v>2.36</v>
      </c>
      <c r="F104" s="17">
        <v>1</v>
      </c>
      <c r="G104" s="17">
        <v>11</v>
      </c>
      <c r="H104" s="18">
        <f t="shared" si="8"/>
        <v>25.96</v>
      </c>
      <c r="I104" s="27"/>
    </row>
    <row r="105" s="22" customFormat="1" ht="32" hidden="1" customHeight="1" spans="1:9">
      <c r="A105" s="17">
        <v>104</v>
      </c>
      <c r="B105" s="24" t="s">
        <v>159</v>
      </c>
      <c r="C105" s="24" t="s">
        <v>157</v>
      </c>
      <c r="D105" s="24"/>
      <c r="E105" s="18">
        <v>1.5</v>
      </c>
      <c r="F105" s="17">
        <v>3</v>
      </c>
      <c r="G105" s="17">
        <v>2</v>
      </c>
      <c r="H105" s="18">
        <f t="shared" si="8"/>
        <v>9</v>
      </c>
      <c r="I105" s="27"/>
    </row>
    <row r="106" s="22" customFormat="1" ht="32" hidden="1" customHeight="1" spans="1:9">
      <c r="A106" s="17">
        <v>105</v>
      </c>
      <c r="B106" s="24" t="s">
        <v>159</v>
      </c>
      <c r="C106" s="24" t="s">
        <v>149</v>
      </c>
      <c r="D106" s="24"/>
      <c r="E106" s="18">
        <v>1.55</v>
      </c>
      <c r="F106" s="17">
        <v>2</v>
      </c>
      <c r="G106" s="17">
        <v>2</v>
      </c>
      <c r="H106" s="18">
        <f t="shared" si="8"/>
        <v>6.2</v>
      </c>
      <c r="I106" s="27"/>
    </row>
    <row r="107" s="22" customFormat="1" ht="32" hidden="1" customHeight="1" spans="1:9">
      <c r="A107" s="17">
        <v>106</v>
      </c>
      <c r="B107" s="24" t="s">
        <v>159</v>
      </c>
      <c r="C107" s="24" t="s">
        <v>158</v>
      </c>
      <c r="D107" s="24"/>
      <c r="E107" s="18">
        <v>1.6</v>
      </c>
      <c r="F107" s="17">
        <v>1</v>
      </c>
      <c r="G107" s="17">
        <v>2</v>
      </c>
      <c r="H107" s="18">
        <f t="shared" si="8"/>
        <v>3.2</v>
      </c>
      <c r="I107" s="27"/>
    </row>
    <row r="108" s="22" customFormat="1" ht="32" hidden="1" customHeight="1" spans="1:9">
      <c r="A108" s="17">
        <v>107</v>
      </c>
      <c r="B108" s="24" t="s">
        <v>159</v>
      </c>
      <c r="C108" s="24" t="s">
        <v>157</v>
      </c>
      <c r="D108" s="24"/>
      <c r="E108" s="18">
        <v>1.5</v>
      </c>
      <c r="F108" s="17">
        <v>3</v>
      </c>
      <c r="G108" s="17">
        <v>9</v>
      </c>
      <c r="H108" s="18">
        <f t="shared" si="8"/>
        <v>40.5</v>
      </c>
      <c r="I108" s="27"/>
    </row>
    <row r="109" s="22" customFormat="1" ht="32" hidden="1" customHeight="1" spans="1:9">
      <c r="A109" s="17">
        <v>108</v>
      </c>
      <c r="B109" s="24" t="s">
        <v>159</v>
      </c>
      <c r="C109" s="24" t="s">
        <v>149</v>
      </c>
      <c r="D109" s="24"/>
      <c r="E109" s="18">
        <v>1.55</v>
      </c>
      <c r="F109" s="17">
        <v>4</v>
      </c>
      <c r="G109" s="17">
        <v>9</v>
      </c>
      <c r="H109" s="18">
        <f t="shared" si="8"/>
        <v>55.8</v>
      </c>
      <c r="I109" s="27"/>
    </row>
    <row r="110" s="22" customFormat="1" ht="32" hidden="1" customHeight="1" spans="1:9">
      <c r="A110" s="17">
        <v>109</v>
      </c>
      <c r="B110" s="24" t="s">
        <v>159</v>
      </c>
      <c r="C110" s="24" t="s">
        <v>158</v>
      </c>
      <c r="D110" s="24"/>
      <c r="E110" s="18">
        <v>1.6</v>
      </c>
      <c r="F110" s="17">
        <v>1</v>
      </c>
      <c r="G110" s="17">
        <v>9</v>
      </c>
      <c r="H110" s="18">
        <f t="shared" si="8"/>
        <v>14.4</v>
      </c>
      <c r="I110" s="27"/>
    </row>
    <row r="111" s="22" customFormat="1" ht="32" customHeight="1" spans="1:9">
      <c r="A111" s="17">
        <v>110</v>
      </c>
      <c r="B111" s="24" t="s">
        <v>160</v>
      </c>
      <c r="C111" s="24" t="s">
        <v>146</v>
      </c>
      <c r="D111" s="24"/>
      <c r="E111" s="18">
        <v>6.5</v>
      </c>
      <c r="F111" s="17">
        <v>2</v>
      </c>
      <c r="G111" s="17">
        <v>11</v>
      </c>
      <c r="H111" s="18">
        <f t="shared" si="8"/>
        <v>143</v>
      </c>
      <c r="I111" s="27"/>
    </row>
    <row r="112" s="22" customFormat="1" ht="32" customHeight="1" spans="1:9">
      <c r="A112" s="17">
        <v>111</v>
      </c>
      <c r="B112" s="24" t="s">
        <v>160</v>
      </c>
      <c r="C112" s="24" t="s">
        <v>147</v>
      </c>
      <c r="D112" s="24"/>
      <c r="E112" s="18">
        <v>5.4</v>
      </c>
      <c r="F112" s="17">
        <v>2</v>
      </c>
      <c r="G112" s="17">
        <v>11</v>
      </c>
      <c r="H112" s="18">
        <f t="shared" si="8"/>
        <v>118.8</v>
      </c>
      <c r="I112" s="27"/>
    </row>
    <row r="113" s="22" customFormat="1" ht="32" hidden="1" customHeight="1" spans="1:9">
      <c r="A113" s="17">
        <v>112</v>
      </c>
      <c r="B113" s="24" t="s">
        <v>160</v>
      </c>
      <c r="C113" s="24" t="s">
        <v>15</v>
      </c>
      <c r="D113" s="24"/>
      <c r="E113" s="18">
        <v>2.1</v>
      </c>
      <c r="F113" s="17">
        <v>4</v>
      </c>
      <c r="G113" s="17">
        <v>11</v>
      </c>
      <c r="H113" s="18">
        <f t="shared" si="8"/>
        <v>92.4</v>
      </c>
      <c r="I113" s="27"/>
    </row>
    <row r="114" s="22" customFormat="1" ht="32" hidden="1" customHeight="1" spans="1:9">
      <c r="A114" s="17">
        <v>113</v>
      </c>
      <c r="B114" s="24" t="s">
        <v>160</v>
      </c>
      <c r="C114" s="24" t="s">
        <v>15</v>
      </c>
      <c r="D114" s="24"/>
      <c r="E114" s="18">
        <v>1.6</v>
      </c>
      <c r="F114" s="17">
        <v>2</v>
      </c>
      <c r="G114" s="17">
        <v>11</v>
      </c>
      <c r="H114" s="18">
        <f t="shared" si="8"/>
        <v>35.2</v>
      </c>
      <c r="I114" s="27"/>
    </row>
    <row r="115" s="22" customFormat="1" ht="32" hidden="1" customHeight="1" spans="1:9">
      <c r="A115" s="17">
        <v>114</v>
      </c>
      <c r="B115" s="24" t="s">
        <v>160</v>
      </c>
      <c r="C115" s="24" t="s">
        <v>156</v>
      </c>
      <c r="D115" s="24"/>
      <c r="E115" s="18">
        <v>1.7</v>
      </c>
      <c r="F115" s="17">
        <v>2</v>
      </c>
      <c r="G115" s="17">
        <v>1</v>
      </c>
      <c r="H115" s="18">
        <f t="shared" ref="H115:H126" si="9">E115*F115*G115</f>
        <v>3.4</v>
      </c>
      <c r="I115" s="27"/>
    </row>
    <row r="116" s="22" customFormat="1" ht="32" hidden="1" customHeight="1" spans="1:9">
      <c r="A116" s="17">
        <v>115</v>
      </c>
      <c r="B116" s="24" t="s">
        <v>160</v>
      </c>
      <c r="C116" s="24" t="s">
        <v>156</v>
      </c>
      <c r="D116" s="24"/>
      <c r="E116" s="18">
        <v>1.9</v>
      </c>
      <c r="F116" s="17">
        <v>2</v>
      </c>
      <c r="G116" s="17">
        <v>1</v>
      </c>
      <c r="H116" s="18">
        <f t="shared" si="9"/>
        <v>3.8</v>
      </c>
      <c r="I116" s="27"/>
    </row>
    <row r="117" s="22" customFormat="1" ht="32" hidden="1" customHeight="1" spans="1:9">
      <c r="A117" s="17">
        <v>116</v>
      </c>
      <c r="B117" s="24" t="s">
        <v>160</v>
      </c>
      <c r="C117" s="24" t="s">
        <v>156</v>
      </c>
      <c r="D117" s="24"/>
      <c r="E117" s="18">
        <v>2.36</v>
      </c>
      <c r="F117" s="17">
        <v>2</v>
      </c>
      <c r="G117" s="17">
        <v>1</v>
      </c>
      <c r="H117" s="18">
        <f t="shared" si="9"/>
        <v>4.72</v>
      </c>
      <c r="I117" s="27"/>
    </row>
    <row r="118" s="22" customFormat="1" ht="32" hidden="1" customHeight="1" spans="1:9">
      <c r="A118" s="17">
        <v>117</v>
      </c>
      <c r="B118" s="24" t="s">
        <v>160</v>
      </c>
      <c r="C118" s="24" t="s">
        <v>157</v>
      </c>
      <c r="D118" s="24"/>
      <c r="E118" s="18">
        <v>1.5</v>
      </c>
      <c r="F118" s="17">
        <v>2</v>
      </c>
      <c r="G118" s="17">
        <v>2</v>
      </c>
      <c r="H118" s="18">
        <f t="shared" si="9"/>
        <v>6</v>
      </c>
      <c r="I118" s="27"/>
    </row>
    <row r="119" s="22" customFormat="1" ht="32" hidden="1" customHeight="1" spans="1:9">
      <c r="A119" s="17">
        <v>118</v>
      </c>
      <c r="B119" s="24" t="s">
        <v>160</v>
      </c>
      <c r="C119" s="24" t="s">
        <v>149</v>
      </c>
      <c r="D119" s="24"/>
      <c r="E119" s="18">
        <v>1.55</v>
      </c>
      <c r="F119" s="17">
        <v>2</v>
      </c>
      <c r="G119" s="17">
        <v>2</v>
      </c>
      <c r="H119" s="18">
        <f t="shared" si="9"/>
        <v>6.2</v>
      </c>
      <c r="I119" s="27"/>
    </row>
    <row r="120" s="22" customFormat="1" ht="32" hidden="1" customHeight="1" spans="1:9">
      <c r="A120" s="17">
        <v>119</v>
      </c>
      <c r="B120" s="24" t="s">
        <v>160</v>
      </c>
      <c r="C120" s="24" t="s">
        <v>158</v>
      </c>
      <c r="D120" s="24"/>
      <c r="E120" s="18">
        <v>1.6</v>
      </c>
      <c r="F120" s="17">
        <v>2</v>
      </c>
      <c r="G120" s="17">
        <v>2</v>
      </c>
      <c r="H120" s="18">
        <f t="shared" si="9"/>
        <v>6.4</v>
      </c>
      <c r="I120" s="27"/>
    </row>
    <row r="121" s="22" customFormat="1" ht="32" hidden="1" customHeight="1" spans="1:9">
      <c r="A121" s="17">
        <v>120</v>
      </c>
      <c r="B121" s="24" t="s">
        <v>160</v>
      </c>
      <c r="C121" s="24" t="s">
        <v>157</v>
      </c>
      <c r="D121" s="24"/>
      <c r="E121" s="18">
        <v>1.5</v>
      </c>
      <c r="F121" s="17">
        <v>2</v>
      </c>
      <c r="G121" s="17">
        <v>9</v>
      </c>
      <c r="H121" s="18">
        <f t="shared" si="9"/>
        <v>27</v>
      </c>
      <c r="I121" s="27"/>
    </row>
    <row r="122" s="22" customFormat="1" ht="32" hidden="1" customHeight="1" spans="1:9">
      <c r="A122" s="17">
        <v>121</v>
      </c>
      <c r="B122" s="24" t="s">
        <v>160</v>
      </c>
      <c r="C122" s="24" t="s">
        <v>149</v>
      </c>
      <c r="D122" s="24"/>
      <c r="E122" s="18">
        <v>1.55</v>
      </c>
      <c r="F122" s="17">
        <v>4</v>
      </c>
      <c r="G122" s="17">
        <v>9</v>
      </c>
      <c r="H122" s="18">
        <f t="shared" si="9"/>
        <v>55.8</v>
      </c>
      <c r="I122" s="27"/>
    </row>
    <row r="123" s="22" customFormat="1" ht="32" hidden="1" customHeight="1" spans="1:9">
      <c r="A123" s="17">
        <v>122</v>
      </c>
      <c r="B123" s="24" t="s">
        <v>160</v>
      </c>
      <c r="C123" s="24" t="s">
        <v>158</v>
      </c>
      <c r="D123" s="24"/>
      <c r="E123" s="18">
        <v>1.6</v>
      </c>
      <c r="F123" s="17">
        <v>2</v>
      </c>
      <c r="G123" s="17">
        <v>8</v>
      </c>
      <c r="H123" s="18">
        <f t="shared" si="9"/>
        <v>25.6</v>
      </c>
      <c r="I123" s="27"/>
    </row>
    <row r="124" s="22" customFormat="1" ht="32" hidden="1" customHeight="1" spans="1:9">
      <c r="A124" s="17">
        <v>123</v>
      </c>
      <c r="B124" s="24" t="s">
        <v>127</v>
      </c>
      <c r="C124" s="24" t="s">
        <v>77</v>
      </c>
      <c r="D124" s="24"/>
      <c r="E124" s="18">
        <v>3.92</v>
      </c>
      <c r="F124" s="17">
        <v>2</v>
      </c>
      <c r="G124" s="17">
        <v>1</v>
      </c>
      <c r="H124" s="18">
        <f t="shared" si="9"/>
        <v>7.84</v>
      </c>
      <c r="I124" s="27" t="s">
        <v>161</v>
      </c>
    </row>
    <row r="125" s="22" customFormat="1" ht="32" hidden="1" customHeight="1" spans="1:9">
      <c r="A125" s="17">
        <v>124</v>
      </c>
      <c r="B125" s="24" t="s">
        <v>127</v>
      </c>
      <c r="C125" s="24" t="s">
        <v>77</v>
      </c>
      <c r="D125" s="24"/>
      <c r="E125" s="18">
        <v>4.93</v>
      </c>
      <c r="F125" s="17">
        <v>2</v>
      </c>
      <c r="G125" s="17">
        <v>1</v>
      </c>
      <c r="H125" s="18">
        <f t="shared" si="9"/>
        <v>9.86</v>
      </c>
      <c r="I125" s="27" t="s">
        <v>161</v>
      </c>
    </row>
    <row r="126" s="22" customFormat="1" ht="32" hidden="1" customHeight="1" spans="1:9">
      <c r="A126" s="17"/>
      <c r="B126" s="24" t="s">
        <v>134</v>
      </c>
      <c r="C126" s="24" t="s">
        <v>77</v>
      </c>
      <c r="D126" s="24"/>
      <c r="E126" s="18">
        <v>2.515</v>
      </c>
      <c r="F126" s="17">
        <v>3</v>
      </c>
      <c r="G126" s="17">
        <v>1</v>
      </c>
      <c r="H126" s="18">
        <f t="shared" si="9"/>
        <v>7.545</v>
      </c>
      <c r="I126" s="27" t="s">
        <v>162</v>
      </c>
    </row>
    <row r="127" s="22" customFormat="1" ht="32" hidden="1" customHeight="1" spans="1:9">
      <c r="A127" s="17">
        <v>125</v>
      </c>
      <c r="B127" s="24" t="s">
        <v>127</v>
      </c>
      <c r="C127" s="24" t="s">
        <v>163</v>
      </c>
      <c r="D127" s="24"/>
      <c r="E127" s="18">
        <v>4.975</v>
      </c>
      <c r="F127" s="17">
        <v>1</v>
      </c>
      <c r="G127" s="17">
        <v>26</v>
      </c>
      <c r="H127" s="18">
        <f t="shared" ref="H127:H141" si="10">E127*F127*G127</f>
        <v>129.35</v>
      </c>
      <c r="I127" s="27" t="s">
        <v>161</v>
      </c>
    </row>
    <row r="128" s="22" customFormat="1" ht="32" hidden="1" customHeight="1" spans="1:9">
      <c r="A128" s="17">
        <v>126</v>
      </c>
      <c r="B128" s="24" t="s">
        <v>134</v>
      </c>
      <c r="C128" s="24" t="s">
        <v>77</v>
      </c>
      <c r="D128" s="24"/>
      <c r="E128" s="18">
        <v>3.937</v>
      </c>
      <c r="F128" s="17">
        <v>2</v>
      </c>
      <c r="G128" s="17">
        <v>1</v>
      </c>
      <c r="H128" s="18">
        <f t="shared" si="10"/>
        <v>7.874</v>
      </c>
      <c r="I128" s="27" t="s">
        <v>164</v>
      </c>
    </row>
    <row r="129" s="22" customFormat="1" ht="32" hidden="1" customHeight="1" spans="1:9">
      <c r="A129" s="17">
        <v>127</v>
      </c>
      <c r="B129" s="24" t="s">
        <v>134</v>
      </c>
      <c r="C129" s="24" t="s">
        <v>77</v>
      </c>
      <c r="D129" s="24"/>
      <c r="E129" s="18">
        <v>4.911</v>
      </c>
      <c r="F129" s="17">
        <v>2</v>
      </c>
      <c r="G129" s="17">
        <v>1</v>
      </c>
      <c r="H129" s="18">
        <f t="shared" si="10"/>
        <v>9.822</v>
      </c>
      <c r="I129" s="27" t="s">
        <v>164</v>
      </c>
    </row>
    <row r="130" s="22" customFormat="1" ht="32" hidden="1" customHeight="1" spans="1:9">
      <c r="A130" s="17">
        <v>128</v>
      </c>
      <c r="B130" s="24" t="s">
        <v>134</v>
      </c>
      <c r="C130" s="24" t="s">
        <v>163</v>
      </c>
      <c r="D130" s="24"/>
      <c r="E130" s="18">
        <v>4.975</v>
      </c>
      <c r="F130" s="17">
        <v>2</v>
      </c>
      <c r="G130" s="17">
        <v>26</v>
      </c>
      <c r="H130" s="18">
        <f t="shared" si="10"/>
        <v>258.7</v>
      </c>
      <c r="I130" s="27" t="s">
        <v>164</v>
      </c>
    </row>
    <row r="131" s="22" customFormat="1" ht="32" hidden="1" customHeight="1" spans="1:9">
      <c r="A131" s="17">
        <v>129</v>
      </c>
      <c r="B131" s="24" t="s">
        <v>165</v>
      </c>
      <c r="C131" s="24" t="s">
        <v>77</v>
      </c>
      <c r="D131" s="24"/>
      <c r="E131" s="18">
        <v>1.473</v>
      </c>
      <c r="F131" s="17">
        <v>2</v>
      </c>
      <c r="G131" s="17">
        <v>1</v>
      </c>
      <c r="H131" s="18">
        <f t="shared" si="10"/>
        <v>2.946</v>
      </c>
      <c r="I131" s="27" t="s">
        <v>164</v>
      </c>
    </row>
    <row r="132" s="22" customFormat="1" ht="32" hidden="1" customHeight="1" spans="1:9">
      <c r="A132" s="17">
        <v>130</v>
      </c>
      <c r="B132" s="24" t="s">
        <v>165</v>
      </c>
      <c r="C132" s="24" t="s">
        <v>77</v>
      </c>
      <c r="D132" s="24"/>
      <c r="E132" s="18">
        <v>2.41</v>
      </c>
      <c r="F132" s="17">
        <v>2</v>
      </c>
      <c r="G132" s="17">
        <v>1</v>
      </c>
      <c r="H132" s="18">
        <f t="shared" si="10"/>
        <v>4.82</v>
      </c>
      <c r="I132" s="27" t="s">
        <v>164</v>
      </c>
    </row>
    <row r="133" s="22" customFormat="1" ht="32" hidden="1" customHeight="1" spans="1:9">
      <c r="A133" s="17">
        <v>131</v>
      </c>
      <c r="B133" s="24" t="s">
        <v>165</v>
      </c>
      <c r="C133" s="24" t="s">
        <v>77</v>
      </c>
      <c r="D133" s="24"/>
      <c r="E133" s="18">
        <v>2.108</v>
      </c>
      <c r="F133" s="17">
        <v>2</v>
      </c>
      <c r="G133" s="17">
        <v>1</v>
      </c>
      <c r="H133" s="18">
        <f t="shared" si="10"/>
        <v>4.216</v>
      </c>
      <c r="I133" s="27" t="s">
        <v>164</v>
      </c>
    </row>
    <row r="134" s="22" customFormat="1" ht="32" hidden="1" customHeight="1" spans="1:9">
      <c r="A134" s="17">
        <v>132</v>
      </c>
      <c r="B134" s="24" t="s">
        <v>165</v>
      </c>
      <c r="C134" s="24" t="s">
        <v>77</v>
      </c>
      <c r="D134" s="24"/>
      <c r="E134" s="18">
        <v>2.1</v>
      </c>
      <c r="F134" s="17">
        <v>2</v>
      </c>
      <c r="G134" s="17">
        <v>1</v>
      </c>
      <c r="H134" s="18">
        <f t="shared" si="10"/>
        <v>4.2</v>
      </c>
      <c r="I134" s="27" t="s">
        <v>164</v>
      </c>
    </row>
    <row r="135" s="22" customFormat="1" ht="32" hidden="1" customHeight="1" spans="1:9">
      <c r="A135" s="17">
        <v>133</v>
      </c>
      <c r="B135" s="24" t="s">
        <v>165</v>
      </c>
      <c r="C135" s="24" t="s">
        <v>77</v>
      </c>
      <c r="D135" s="24"/>
      <c r="E135" s="18">
        <v>2.397</v>
      </c>
      <c r="F135" s="17">
        <v>2</v>
      </c>
      <c r="G135" s="17">
        <v>22</v>
      </c>
      <c r="H135" s="18">
        <f t="shared" si="10"/>
        <v>105.468</v>
      </c>
      <c r="I135" s="27" t="s">
        <v>164</v>
      </c>
    </row>
    <row r="136" s="22" customFormat="1" ht="32" hidden="1" customHeight="1" spans="1:9">
      <c r="A136" s="17">
        <v>134</v>
      </c>
      <c r="B136" s="24" t="s">
        <v>165</v>
      </c>
      <c r="C136" s="24" t="s">
        <v>77</v>
      </c>
      <c r="D136" s="24"/>
      <c r="E136" s="18">
        <v>3.91</v>
      </c>
      <c r="F136" s="17">
        <v>1</v>
      </c>
      <c r="G136" s="17">
        <v>1</v>
      </c>
      <c r="H136" s="18">
        <f t="shared" si="10"/>
        <v>3.91</v>
      </c>
      <c r="I136" s="27" t="s">
        <v>166</v>
      </c>
    </row>
    <row r="137" s="22" customFormat="1" ht="32" hidden="1" customHeight="1" spans="1:9">
      <c r="A137" s="17">
        <v>135</v>
      </c>
      <c r="B137" s="24" t="s">
        <v>165</v>
      </c>
      <c r="C137" s="24" t="s">
        <v>77</v>
      </c>
      <c r="D137" s="24"/>
      <c r="E137" s="18">
        <v>4.93</v>
      </c>
      <c r="F137" s="17">
        <v>1</v>
      </c>
      <c r="G137" s="17">
        <v>1</v>
      </c>
      <c r="H137" s="18">
        <f t="shared" si="10"/>
        <v>4.93</v>
      </c>
      <c r="I137" s="27" t="s">
        <v>166</v>
      </c>
    </row>
    <row r="138" s="22" customFormat="1" ht="32" hidden="1" customHeight="1" spans="1:9">
      <c r="A138" s="17">
        <v>136</v>
      </c>
      <c r="B138" s="24" t="s">
        <v>165</v>
      </c>
      <c r="C138" s="24" t="s">
        <v>163</v>
      </c>
      <c r="D138" s="24"/>
      <c r="E138" s="18">
        <v>4.975</v>
      </c>
      <c r="F138" s="17">
        <v>1</v>
      </c>
      <c r="G138" s="17">
        <v>22</v>
      </c>
      <c r="H138" s="18">
        <f t="shared" si="10"/>
        <v>109.45</v>
      </c>
      <c r="I138" s="27" t="s">
        <v>166</v>
      </c>
    </row>
    <row r="139" s="22" customFormat="1" ht="32" hidden="1" customHeight="1" spans="1:9">
      <c r="A139" s="17">
        <v>137</v>
      </c>
      <c r="B139" s="24" t="s">
        <v>145</v>
      </c>
      <c r="C139" s="24" t="s">
        <v>163</v>
      </c>
      <c r="D139" s="24"/>
      <c r="E139" s="18">
        <v>5.328</v>
      </c>
      <c r="F139" s="17">
        <v>2</v>
      </c>
      <c r="G139" s="17">
        <v>1</v>
      </c>
      <c r="H139" s="18">
        <f t="shared" si="10"/>
        <v>10.656</v>
      </c>
      <c r="I139" s="27"/>
    </row>
    <row r="140" s="22" customFormat="1" ht="32" hidden="1" customHeight="1" spans="1:9">
      <c r="A140" s="17">
        <v>138</v>
      </c>
      <c r="B140" s="24" t="s">
        <v>145</v>
      </c>
      <c r="C140" s="24" t="s">
        <v>163</v>
      </c>
      <c r="D140" s="24"/>
      <c r="E140" s="18">
        <v>1.24</v>
      </c>
      <c r="F140" s="17">
        <v>2</v>
      </c>
      <c r="G140" s="17">
        <v>1</v>
      </c>
      <c r="H140" s="18">
        <f t="shared" si="10"/>
        <v>2.48</v>
      </c>
      <c r="I140" s="27"/>
    </row>
    <row r="141" s="22" customFormat="1" ht="32" hidden="1" customHeight="1" spans="1:9">
      <c r="A141" s="17">
        <v>139</v>
      </c>
      <c r="B141" s="24" t="s">
        <v>145</v>
      </c>
      <c r="C141" s="24" t="s">
        <v>163</v>
      </c>
      <c r="D141" s="24"/>
      <c r="E141" s="18">
        <v>1.254</v>
      </c>
      <c r="F141" s="17">
        <v>2</v>
      </c>
      <c r="G141" s="17">
        <v>1</v>
      </c>
      <c r="H141" s="18">
        <f t="shared" si="10"/>
        <v>2.508</v>
      </c>
      <c r="I141" s="27"/>
    </row>
    <row r="142" s="22" customFormat="1" ht="32" hidden="1" customHeight="1" spans="1:9">
      <c r="A142" s="17">
        <v>140</v>
      </c>
      <c r="B142" s="24" t="s">
        <v>145</v>
      </c>
      <c r="C142" s="24" t="s">
        <v>163</v>
      </c>
      <c r="D142" s="24"/>
      <c r="E142" s="18">
        <v>4.063</v>
      </c>
      <c r="F142" s="17">
        <v>2</v>
      </c>
      <c r="G142" s="17">
        <v>1</v>
      </c>
      <c r="H142" s="18">
        <f t="shared" ref="H142:H151" si="11">E142*F142*G142</f>
        <v>8.126</v>
      </c>
      <c r="I142" s="27"/>
    </row>
    <row r="143" s="22" customFormat="1" ht="32" hidden="1" customHeight="1" spans="1:9">
      <c r="A143" s="17">
        <v>141</v>
      </c>
      <c r="B143" s="24" t="s">
        <v>145</v>
      </c>
      <c r="C143" s="24" t="s">
        <v>77</v>
      </c>
      <c r="D143" s="24"/>
      <c r="E143" s="18">
        <v>2.465</v>
      </c>
      <c r="F143" s="17">
        <v>2</v>
      </c>
      <c r="G143" s="17">
        <v>1</v>
      </c>
      <c r="H143" s="18">
        <f t="shared" si="11"/>
        <v>4.93</v>
      </c>
      <c r="I143" s="27"/>
    </row>
    <row r="144" s="22" customFormat="1" ht="32" hidden="1" customHeight="1" spans="1:9">
      <c r="A144" s="17">
        <v>142</v>
      </c>
      <c r="B144" s="24" t="s">
        <v>145</v>
      </c>
      <c r="C144" s="24" t="s">
        <v>77</v>
      </c>
      <c r="D144" s="24"/>
      <c r="E144" s="18">
        <v>2.8</v>
      </c>
      <c r="F144" s="17">
        <v>2</v>
      </c>
      <c r="G144" s="17">
        <v>1</v>
      </c>
      <c r="H144" s="18">
        <f t="shared" si="11"/>
        <v>5.6</v>
      </c>
      <c r="I144" s="27"/>
    </row>
    <row r="145" s="22" customFormat="1" ht="32" hidden="1" customHeight="1" spans="1:9">
      <c r="A145" s="17">
        <v>143</v>
      </c>
      <c r="B145" s="24" t="s">
        <v>145</v>
      </c>
      <c r="C145" s="24" t="s">
        <v>77</v>
      </c>
      <c r="D145" s="24"/>
      <c r="E145" s="18">
        <v>2.698</v>
      </c>
      <c r="F145" s="17">
        <v>2</v>
      </c>
      <c r="G145" s="17">
        <v>1</v>
      </c>
      <c r="H145" s="18">
        <f t="shared" si="11"/>
        <v>5.396</v>
      </c>
      <c r="I145" s="27"/>
    </row>
    <row r="146" s="22" customFormat="1" ht="32" hidden="1" customHeight="1" spans="1:9">
      <c r="A146" s="17">
        <v>144</v>
      </c>
      <c r="B146" s="24" t="s">
        <v>145</v>
      </c>
      <c r="C146" s="24" t="s">
        <v>77</v>
      </c>
      <c r="D146" s="24"/>
      <c r="E146" s="18">
        <v>2.727</v>
      </c>
      <c r="F146" s="17">
        <v>2</v>
      </c>
      <c r="G146" s="17">
        <v>9</v>
      </c>
      <c r="H146" s="18">
        <f t="shared" si="11"/>
        <v>49.086</v>
      </c>
      <c r="I146" s="27"/>
    </row>
    <row r="147" s="22" customFormat="1" ht="32" hidden="1" customHeight="1" spans="1:9">
      <c r="A147" s="17">
        <v>145</v>
      </c>
      <c r="B147" s="24" t="s">
        <v>145</v>
      </c>
      <c r="C147" s="24" t="s">
        <v>77</v>
      </c>
      <c r="D147" s="24"/>
      <c r="E147" s="18">
        <v>2.719</v>
      </c>
      <c r="F147" s="17">
        <v>2</v>
      </c>
      <c r="G147" s="17">
        <v>10</v>
      </c>
      <c r="H147" s="18">
        <f t="shared" si="11"/>
        <v>54.38</v>
      </c>
      <c r="I147" s="27"/>
    </row>
    <row r="148" s="22" customFormat="1" ht="32" hidden="1" customHeight="1" spans="1:9">
      <c r="A148" s="17">
        <v>146</v>
      </c>
      <c r="B148" s="24" t="s">
        <v>145</v>
      </c>
      <c r="C148" s="24" t="s">
        <v>77</v>
      </c>
      <c r="D148" s="24"/>
      <c r="E148" s="18">
        <v>2.447</v>
      </c>
      <c r="F148" s="17">
        <v>2</v>
      </c>
      <c r="G148" s="17">
        <v>1</v>
      </c>
      <c r="H148" s="18">
        <f t="shared" si="11"/>
        <v>4.894</v>
      </c>
      <c r="I148" s="27"/>
    </row>
    <row r="149" s="22" customFormat="1" ht="32" hidden="1" customHeight="1" spans="1:9">
      <c r="A149" s="17">
        <v>147</v>
      </c>
      <c r="B149" s="24" t="s">
        <v>151</v>
      </c>
      <c r="C149" s="24" t="s">
        <v>77</v>
      </c>
      <c r="D149" s="24"/>
      <c r="E149" s="18">
        <v>4.487</v>
      </c>
      <c r="F149" s="17">
        <v>1</v>
      </c>
      <c r="G149" s="17">
        <v>1</v>
      </c>
      <c r="H149" s="18">
        <f t="shared" si="11"/>
        <v>4.487</v>
      </c>
      <c r="I149" s="27" t="s">
        <v>167</v>
      </c>
    </row>
    <row r="150" s="22" customFormat="1" ht="32" hidden="1" customHeight="1" spans="1:9">
      <c r="A150" s="17">
        <v>148</v>
      </c>
      <c r="B150" s="24" t="s">
        <v>151</v>
      </c>
      <c r="C150" s="24" t="s">
        <v>77</v>
      </c>
      <c r="D150" s="24"/>
      <c r="E150" s="18">
        <v>2.771</v>
      </c>
      <c r="F150" s="17">
        <v>1</v>
      </c>
      <c r="G150" s="17">
        <v>1</v>
      </c>
      <c r="H150" s="18">
        <f t="shared" si="11"/>
        <v>2.771</v>
      </c>
      <c r="I150" s="27" t="s">
        <v>167</v>
      </c>
    </row>
    <row r="151" s="22" customFormat="1" ht="32" hidden="1" customHeight="1" spans="1:9">
      <c r="A151" s="17">
        <v>149</v>
      </c>
      <c r="B151" s="24" t="s">
        <v>151</v>
      </c>
      <c r="C151" s="24" t="s">
        <v>77</v>
      </c>
      <c r="D151" s="24"/>
      <c r="E151" s="18">
        <v>1.265</v>
      </c>
      <c r="F151" s="17">
        <v>1</v>
      </c>
      <c r="G151" s="17">
        <v>1</v>
      </c>
      <c r="H151" s="18">
        <f t="shared" si="11"/>
        <v>1.265</v>
      </c>
      <c r="I151" s="27" t="s">
        <v>167</v>
      </c>
    </row>
    <row r="152" s="22" customFormat="1" ht="32" hidden="1" customHeight="1" spans="1:9">
      <c r="A152" s="17">
        <v>150</v>
      </c>
      <c r="B152" s="24" t="s">
        <v>151</v>
      </c>
      <c r="C152" s="24" t="s">
        <v>163</v>
      </c>
      <c r="D152" s="24"/>
      <c r="E152" s="18">
        <v>5.175</v>
      </c>
      <c r="F152" s="17">
        <v>1</v>
      </c>
      <c r="G152" s="17">
        <v>1</v>
      </c>
      <c r="H152" s="18">
        <f t="shared" ref="H152:H166" si="12">E152*F152*G152</f>
        <v>5.175</v>
      </c>
      <c r="I152" s="27" t="s">
        <v>168</v>
      </c>
    </row>
    <row r="153" s="22" customFormat="1" ht="32" hidden="1" customHeight="1" spans="1:9">
      <c r="A153" s="17">
        <v>151</v>
      </c>
      <c r="B153" s="24" t="s">
        <v>151</v>
      </c>
      <c r="C153" s="24" t="s">
        <v>163</v>
      </c>
      <c r="D153" s="24"/>
      <c r="E153" s="18">
        <v>3.949</v>
      </c>
      <c r="F153" s="17">
        <v>1</v>
      </c>
      <c r="G153" s="17">
        <v>1</v>
      </c>
      <c r="H153" s="18">
        <f t="shared" si="12"/>
        <v>3.949</v>
      </c>
      <c r="I153" s="27" t="s">
        <v>168</v>
      </c>
    </row>
    <row r="154" s="22" customFormat="1" ht="32" hidden="1" customHeight="1" spans="1:9">
      <c r="A154" s="17">
        <v>152</v>
      </c>
      <c r="B154" s="24" t="s">
        <v>151</v>
      </c>
      <c r="C154" s="24" t="s">
        <v>163</v>
      </c>
      <c r="D154" s="24"/>
      <c r="E154" s="18">
        <v>5.175</v>
      </c>
      <c r="F154" s="17">
        <v>1</v>
      </c>
      <c r="G154" s="17">
        <v>1</v>
      </c>
      <c r="H154" s="18">
        <f t="shared" si="12"/>
        <v>5.175</v>
      </c>
      <c r="I154" s="27" t="s">
        <v>169</v>
      </c>
    </row>
    <row r="155" s="22" customFormat="1" ht="32" hidden="1" customHeight="1" spans="1:9">
      <c r="A155" s="17">
        <v>153</v>
      </c>
      <c r="B155" s="24" t="s">
        <v>151</v>
      </c>
      <c r="C155" s="24" t="s">
        <v>163</v>
      </c>
      <c r="D155" s="24"/>
      <c r="E155" s="18">
        <v>3.949</v>
      </c>
      <c r="F155" s="17">
        <v>1</v>
      </c>
      <c r="G155" s="17">
        <v>1</v>
      </c>
      <c r="H155" s="18">
        <f t="shared" si="12"/>
        <v>3.949</v>
      </c>
      <c r="I155" s="27" t="s">
        <v>169</v>
      </c>
    </row>
    <row r="156" s="22" customFormat="1" ht="32" hidden="1" customHeight="1" spans="1:9">
      <c r="A156" s="17">
        <v>154</v>
      </c>
      <c r="B156" s="24" t="s">
        <v>151</v>
      </c>
      <c r="C156" s="24" t="s">
        <v>77</v>
      </c>
      <c r="D156" s="24"/>
      <c r="E156" s="18">
        <v>1.176</v>
      </c>
      <c r="F156" s="17">
        <v>2</v>
      </c>
      <c r="G156" s="17">
        <v>1</v>
      </c>
      <c r="H156" s="18">
        <f t="shared" si="12"/>
        <v>2.352</v>
      </c>
      <c r="I156" s="27" t="s">
        <v>164</v>
      </c>
    </row>
    <row r="157" s="22" customFormat="1" ht="32" hidden="1" customHeight="1" spans="1:9">
      <c r="A157" s="17">
        <v>155</v>
      </c>
      <c r="B157" s="24" t="s">
        <v>151</v>
      </c>
      <c r="C157" s="24" t="s">
        <v>77</v>
      </c>
      <c r="D157" s="24"/>
      <c r="E157" s="18">
        <v>2.369</v>
      </c>
      <c r="F157" s="17">
        <v>2</v>
      </c>
      <c r="G157" s="17">
        <v>1</v>
      </c>
      <c r="H157" s="18">
        <f t="shared" si="12"/>
        <v>4.738</v>
      </c>
      <c r="I157" s="27" t="s">
        <v>164</v>
      </c>
    </row>
    <row r="158" s="22" customFormat="1" ht="32" hidden="1" customHeight="1" spans="1:9">
      <c r="A158" s="17">
        <v>156</v>
      </c>
      <c r="B158" s="24" t="s">
        <v>151</v>
      </c>
      <c r="C158" s="24" t="s">
        <v>77</v>
      </c>
      <c r="D158" s="24"/>
      <c r="E158" s="18">
        <v>2.062</v>
      </c>
      <c r="F158" s="17">
        <v>2</v>
      </c>
      <c r="G158" s="17">
        <v>1</v>
      </c>
      <c r="H158" s="18">
        <f t="shared" si="12"/>
        <v>4.124</v>
      </c>
      <c r="I158" s="27" t="s">
        <v>164</v>
      </c>
    </row>
    <row r="159" s="22" customFormat="1" ht="32" hidden="1" customHeight="1" spans="1:9">
      <c r="A159" s="17">
        <v>157</v>
      </c>
      <c r="B159" s="24" t="s">
        <v>151</v>
      </c>
      <c r="C159" s="24" t="s">
        <v>77</v>
      </c>
      <c r="D159" s="24"/>
      <c r="E159" s="18">
        <v>2.013</v>
      </c>
      <c r="F159" s="17">
        <v>2</v>
      </c>
      <c r="G159" s="17">
        <v>1</v>
      </c>
      <c r="H159" s="18">
        <f t="shared" si="12"/>
        <v>4.026</v>
      </c>
      <c r="I159" s="27" t="s">
        <v>164</v>
      </c>
    </row>
    <row r="160" s="22" customFormat="1" ht="32" hidden="1" customHeight="1" spans="1:9">
      <c r="A160" s="17">
        <v>158</v>
      </c>
      <c r="B160" s="24" t="s">
        <v>151</v>
      </c>
      <c r="C160" s="24" t="s">
        <v>77</v>
      </c>
      <c r="D160" s="24"/>
      <c r="E160" s="18">
        <v>2.0306</v>
      </c>
      <c r="F160" s="17">
        <v>2</v>
      </c>
      <c r="G160" s="17">
        <v>1</v>
      </c>
      <c r="H160" s="18">
        <f t="shared" si="12"/>
        <v>4.0612</v>
      </c>
      <c r="I160" s="27" t="s">
        <v>164</v>
      </c>
    </row>
    <row r="161" s="22" customFormat="1" ht="32" hidden="1" customHeight="1" spans="1:9">
      <c r="A161" s="17">
        <v>159</v>
      </c>
      <c r="B161" s="24" t="s">
        <v>151</v>
      </c>
      <c r="C161" s="24" t="s">
        <v>77</v>
      </c>
      <c r="D161" s="24"/>
      <c r="E161" s="18">
        <v>2.353</v>
      </c>
      <c r="F161" s="17">
        <v>2</v>
      </c>
      <c r="G161" s="17">
        <v>1</v>
      </c>
      <c r="H161" s="18">
        <f t="shared" si="12"/>
        <v>4.706</v>
      </c>
      <c r="I161" s="27" t="s">
        <v>164</v>
      </c>
    </row>
    <row r="162" s="22" customFormat="1" ht="32" hidden="1" customHeight="1" spans="1:9">
      <c r="A162" s="17">
        <v>160</v>
      </c>
      <c r="B162" s="24" t="s">
        <v>151</v>
      </c>
      <c r="C162" s="24" t="s">
        <v>77</v>
      </c>
      <c r="D162" s="24"/>
      <c r="E162" s="18">
        <v>2.353</v>
      </c>
      <c r="F162" s="17">
        <v>2</v>
      </c>
      <c r="G162" s="17">
        <v>25</v>
      </c>
      <c r="H162" s="18">
        <f t="shared" si="12"/>
        <v>117.65</v>
      </c>
      <c r="I162" s="27" t="s">
        <v>164</v>
      </c>
    </row>
    <row r="163" s="22" customFormat="1" ht="32" hidden="1" customHeight="1" spans="1:9">
      <c r="A163" s="17">
        <v>161</v>
      </c>
      <c r="B163" s="24" t="s">
        <v>151</v>
      </c>
      <c r="C163" s="24" t="s">
        <v>77</v>
      </c>
      <c r="D163" s="24"/>
      <c r="E163" s="18">
        <v>2.361</v>
      </c>
      <c r="F163" s="17">
        <v>2</v>
      </c>
      <c r="G163" s="17">
        <v>25</v>
      </c>
      <c r="H163" s="18">
        <f t="shared" si="12"/>
        <v>118.05</v>
      </c>
      <c r="I163" s="27" t="s">
        <v>164</v>
      </c>
    </row>
    <row r="164" s="22" customFormat="1" ht="32" hidden="1" customHeight="1" spans="1:9">
      <c r="A164" s="17">
        <v>162</v>
      </c>
      <c r="B164" s="24" t="s">
        <v>151</v>
      </c>
      <c r="C164" s="24" t="s">
        <v>77</v>
      </c>
      <c r="D164" s="24"/>
      <c r="E164" s="18">
        <v>3.422</v>
      </c>
      <c r="F164" s="17">
        <v>1</v>
      </c>
      <c r="G164" s="17">
        <v>1</v>
      </c>
      <c r="H164" s="18">
        <f t="shared" si="12"/>
        <v>3.422</v>
      </c>
      <c r="I164" s="27" t="s">
        <v>166</v>
      </c>
    </row>
    <row r="165" s="22" customFormat="1" ht="32" hidden="1" customHeight="1" spans="1:9">
      <c r="A165" s="17">
        <v>163</v>
      </c>
      <c r="B165" s="24" t="s">
        <v>151</v>
      </c>
      <c r="C165" s="24" t="s">
        <v>77</v>
      </c>
      <c r="D165" s="24"/>
      <c r="E165" s="18">
        <v>4.928</v>
      </c>
      <c r="F165" s="17">
        <v>1</v>
      </c>
      <c r="G165" s="17">
        <v>1</v>
      </c>
      <c r="H165" s="18">
        <f t="shared" si="12"/>
        <v>4.928</v>
      </c>
      <c r="I165" s="27" t="s">
        <v>166</v>
      </c>
    </row>
    <row r="166" s="22" customFormat="1" ht="32" hidden="1" customHeight="1" spans="1:9">
      <c r="A166" s="17">
        <v>164</v>
      </c>
      <c r="B166" s="24" t="s">
        <v>151</v>
      </c>
      <c r="C166" s="24" t="s">
        <v>163</v>
      </c>
      <c r="D166" s="24"/>
      <c r="E166" s="18">
        <v>4.975</v>
      </c>
      <c r="F166" s="17">
        <v>1</v>
      </c>
      <c r="G166" s="17">
        <v>26</v>
      </c>
      <c r="H166" s="18">
        <f t="shared" si="12"/>
        <v>129.35</v>
      </c>
      <c r="I166" s="27" t="s">
        <v>166</v>
      </c>
    </row>
    <row r="167" s="22" customFormat="1" ht="32" hidden="1" customHeight="1" spans="1:9">
      <c r="A167" s="17">
        <v>165</v>
      </c>
      <c r="B167" s="24" t="s">
        <v>155</v>
      </c>
      <c r="C167" s="24" t="s">
        <v>163</v>
      </c>
      <c r="D167" s="24"/>
      <c r="E167" s="18">
        <v>5</v>
      </c>
      <c r="F167" s="17">
        <v>2</v>
      </c>
      <c r="G167" s="17">
        <v>1</v>
      </c>
      <c r="H167" s="18">
        <f t="shared" ref="H167:H205" si="13">E167*F167*G167</f>
        <v>10</v>
      </c>
      <c r="I167" s="27"/>
    </row>
    <row r="168" s="22" customFormat="1" ht="32" hidden="1" customHeight="1" spans="1:9">
      <c r="A168" s="17">
        <v>166</v>
      </c>
      <c r="B168" s="24" t="s">
        <v>155</v>
      </c>
      <c r="C168" s="24" t="s">
        <v>163</v>
      </c>
      <c r="D168" s="24"/>
      <c r="E168" s="18">
        <v>1.19</v>
      </c>
      <c r="F168" s="17">
        <v>2</v>
      </c>
      <c r="G168" s="17">
        <v>1</v>
      </c>
      <c r="H168" s="18">
        <f t="shared" si="13"/>
        <v>2.38</v>
      </c>
      <c r="I168" s="27"/>
    </row>
    <row r="169" s="22" customFormat="1" ht="32" hidden="1" customHeight="1" spans="1:9">
      <c r="A169" s="17">
        <v>167</v>
      </c>
      <c r="B169" s="24" t="s">
        <v>155</v>
      </c>
      <c r="C169" s="24" t="s">
        <v>163</v>
      </c>
      <c r="D169" s="24"/>
      <c r="E169" s="18">
        <f>0.941+1</f>
        <v>1.941</v>
      </c>
      <c r="F169" s="17">
        <v>2</v>
      </c>
      <c r="G169" s="17">
        <v>1</v>
      </c>
      <c r="H169" s="18">
        <f t="shared" si="13"/>
        <v>3.882</v>
      </c>
      <c r="I169" s="27"/>
    </row>
    <row r="170" s="22" customFormat="1" ht="32" hidden="1" customHeight="1" spans="1:9">
      <c r="A170" s="17">
        <v>168</v>
      </c>
      <c r="B170" s="24" t="s">
        <v>155</v>
      </c>
      <c r="C170" s="24" t="s">
        <v>163</v>
      </c>
      <c r="D170" s="24"/>
      <c r="E170" s="18">
        <v>4.064</v>
      </c>
      <c r="F170" s="17">
        <v>2</v>
      </c>
      <c r="G170" s="17">
        <v>1</v>
      </c>
      <c r="H170" s="18">
        <f t="shared" si="13"/>
        <v>8.128</v>
      </c>
      <c r="I170" s="27"/>
    </row>
    <row r="171" s="22" customFormat="1" ht="32" hidden="1" customHeight="1" spans="1:9">
      <c r="A171" s="17">
        <v>169</v>
      </c>
      <c r="B171" s="24" t="s">
        <v>155</v>
      </c>
      <c r="C171" s="24" t="s">
        <v>77</v>
      </c>
      <c r="D171" s="24"/>
      <c r="E171" s="18">
        <v>1.386</v>
      </c>
      <c r="F171" s="17">
        <v>2</v>
      </c>
      <c r="G171" s="17">
        <v>1</v>
      </c>
      <c r="H171" s="18">
        <f t="shared" si="13"/>
        <v>2.772</v>
      </c>
      <c r="I171" s="27"/>
    </row>
    <row r="172" s="22" customFormat="1" ht="32" hidden="1" customHeight="1" spans="1:9">
      <c r="A172" s="17">
        <v>170</v>
      </c>
      <c r="B172" s="24" t="s">
        <v>155</v>
      </c>
      <c r="C172" s="24" t="s">
        <v>77</v>
      </c>
      <c r="D172" s="24"/>
      <c r="E172" s="18">
        <v>3.979</v>
      </c>
      <c r="F172" s="17">
        <v>2</v>
      </c>
      <c r="G172" s="17">
        <v>1</v>
      </c>
      <c r="H172" s="18">
        <f t="shared" si="13"/>
        <v>7.958</v>
      </c>
      <c r="I172" s="27"/>
    </row>
    <row r="173" s="22" customFormat="1" ht="32" hidden="1" customHeight="1" spans="1:9">
      <c r="A173" s="17">
        <v>171</v>
      </c>
      <c r="B173" s="24" t="s">
        <v>155</v>
      </c>
      <c r="C173" s="24" t="s">
        <v>77</v>
      </c>
      <c r="D173" s="24"/>
      <c r="E173" s="18">
        <v>2.679</v>
      </c>
      <c r="F173" s="17">
        <v>2</v>
      </c>
      <c r="G173" s="17">
        <v>1</v>
      </c>
      <c r="H173" s="18">
        <f t="shared" si="13"/>
        <v>5.358</v>
      </c>
      <c r="I173" s="27"/>
    </row>
    <row r="174" s="22" customFormat="1" ht="32" hidden="1" customHeight="1" spans="1:9">
      <c r="A174" s="17">
        <v>172</v>
      </c>
      <c r="B174" s="24" t="s">
        <v>155</v>
      </c>
      <c r="C174" s="24" t="s">
        <v>77</v>
      </c>
      <c r="D174" s="24"/>
      <c r="E174" s="18">
        <v>2.691</v>
      </c>
      <c r="F174" s="17">
        <v>2</v>
      </c>
      <c r="G174" s="17">
        <v>1</v>
      </c>
      <c r="H174" s="18">
        <f t="shared" si="13"/>
        <v>5.382</v>
      </c>
      <c r="I174" s="27"/>
    </row>
    <row r="175" s="22" customFormat="1" ht="32" hidden="1" customHeight="1" spans="1:9">
      <c r="A175" s="17">
        <v>173</v>
      </c>
      <c r="B175" s="24" t="s">
        <v>155</v>
      </c>
      <c r="C175" s="24" t="s">
        <v>77</v>
      </c>
      <c r="D175" s="24"/>
      <c r="E175" s="18">
        <v>2.83</v>
      </c>
      <c r="F175" s="17">
        <v>2</v>
      </c>
      <c r="G175" s="17">
        <v>1</v>
      </c>
      <c r="H175" s="18">
        <f t="shared" si="13"/>
        <v>5.66</v>
      </c>
      <c r="I175" s="27"/>
    </row>
    <row r="176" s="22" customFormat="1" ht="32" hidden="1" customHeight="1" spans="1:9">
      <c r="A176" s="17">
        <v>174</v>
      </c>
      <c r="B176" s="24" t="s">
        <v>155</v>
      </c>
      <c r="C176" s="24" t="s">
        <v>77</v>
      </c>
      <c r="D176" s="24"/>
      <c r="E176" s="18">
        <v>2.679</v>
      </c>
      <c r="F176" s="17">
        <v>2</v>
      </c>
      <c r="G176" s="17">
        <v>7</v>
      </c>
      <c r="H176" s="18">
        <f t="shared" si="13"/>
        <v>37.506</v>
      </c>
      <c r="I176" s="27"/>
    </row>
    <row r="177" s="22" customFormat="1" ht="32" hidden="1" customHeight="1" spans="1:9">
      <c r="A177" s="17">
        <v>175</v>
      </c>
      <c r="B177" s="24" t="s">
        <v>155</v>
      </c>
      <c r="C177" s="24" t="s">
        <v>77</v>
      </c>
      <c r="D177" s="24"/>
      <c r="E177" s="18">
        <v>2.691</v>
      </c>
      <c r="F177" s="17">
        <v>2</v>
      </c>
      <c r="G177" s="17">
        <v>7</v>
      </c>
      <c r="H177" s="18">
        <f t="shared" si="13"/>
        <v>37.674</v>
      </c>
      <c r="I177" s="27"/>
    </row>
    <row r="178" s="22" customFormat="1" ht="32" hidden="1" customHeight="1" spans="1:9">
      <c r="A178" s="17">
        <v>176</v>
      </c>
      <c r="B178" s="24" t="s">
        <v>155</v>
      </c>
      <c r="C178" s="24" t="s">
        <v>77</v>
      </c>
      <c r="D178" s="24"/>
      <c r="E178" s="18">
        <v>2.68</v>
      </c>
      <c r="F178" s="17">
        <v>2</v>
      </c>
      <c r="G178" s="17">
        <v>1</v>
      </c>
      <c r="H178" s="18">
        <f t="shared" si="13"/>
        <v>5.36</v>
      </c>
      <c r="I178" s="27"/>
    </row>
    <row r="179" s="22" customFormat="1" ht="32" hidden="1" customHeight="1" spans="1:9">
      <c r="A179" s="17">
        <v>177</v>
      </c>
      <c r="B179" s="24" t="s">
        <v>155</v>
      </c>
      <c r="C179" s="24" t="s">
        <v>77</v>
      </c>
      <c r="D179" s="24"/>
      <c r="E179" s="18">
        <v>2.445</v>
      </c>
      <c r="F179" s="17">
        <v>2</v>
      </c>
      <c r="G179" s="17">
        <v>1</v>
      </c>
      <c r="H179" s="18">
        <f t="shared" si="13"/>
        <v>4.89</v>
      </c>
      <c r="I179" s="27"/>
    </row>
    <row r="180" s="22" customFormat="1" ht="32" hidden="1" customHeight="1" spans="1:9">
      <c r="A180" s="17">
        <v>178</v>
      </c>
      <c r="B180" s="24" t="s">
        <v>159</v>
      </c>
      <c r="C180" s="24" t="s">
        <v>163</v>
      </c>
      <c r="D180" s="24"/>
      <c r="E180" s="18">
        <v>5</v>
      </c>
      <c r="F180" s="17">
        <v>2</v>
      </c>
      <c r="G180" s="17">
        <v>1</v>
      </c>
      <c r="H180" s="18">
        <f t="shared" si="13"/>
        <v>10</v>
      </c>
      <c r="I180" s="27"/>
    </row>
    <row r="181" s="22" customFormat="1" ht="32" hidden="1" customHeight="1" spans="1:9">
      <c r="A181" s="17">
        <v>179</v>
      </c>
      <c r="B181" s="24" t="s">
        <v>159</v>
      </c>
      <c r="C181" s="24" t="s">
        <v>163</v>
      </c>
      <c r="D181" s="24"/>
      <c r="E181" s="18">
        <v>1.19</v>
      </c>
      <c r="F181" s="17">
        <v>2</v>
      </c>
      <c r="G181" s="17">
        <v>1</v>
      </c>
      <c r="H181" s="18">
        <f t="shared" si="13"/>
        <v>2.38</v>
      </c>
      <c r="I181" s="27"/>
    </row>
    <row r="182" s="22" customFormat="1" ht="32" hidden="1" customHeight="1" spans="1:9">
      <c r="A182" s="17">
        <v>180</v>
      </c>
      <c r="B182" s="24" t="s">
        <v>159</v>
      </c>
      <c r="C182" s="24" t="s">
        <v>163</v>
      </c>
      <c r="D182" s="24"/>
      <c r="E182" s="18">
        <f>0.941+1</f>
        <v>1.941</v>
      </c>
      <c r="F182" s="17">
        <v>2</v>
      </c>
      <c r="G182" s="17">
        <v>1</v>
      </c>
      <c r="H182" s="18">
        <f t="shared" si="13"/>
        <v>3.882</v>
      </c>
      <c r="I182" s="27"/>
    </row>
    <row r="183" s="22" customFormat="1" ht="32" hidden="1" customHeight="1" spans="1:9">
      <c r="A183" s="17">
        <v>181</v>
      </c>
      <c r="B183" s="24" t="s">
        <v>159</v>
      </c>
      <c r="C183" s="24" t="s">
        <v>163</v>
      </c>
      <c r="D183" s="24"/>
      <c r="E183" s="18">
        <v>4.064</v>
      </c>
      <c r="F183" s="17">
        <v>2</v>
      </c>
      <c r="G183" s="17">
        <v>1</v>
      </c>
      <c r="H183" s="18">
        <f t="shared" si="13"/>
        <v>8.128</v>
      </c>
      <c r="I183" s="27"/>
    </row>
    <row r="184" s="22" customFormat="1" ht="32" hidden="1" customHeight="1" spans="1:9">
      <c r="A184" s="17">
        <v>182</v>
      </c>
      <c r="B184" s="24" t="s">
        <v>159</v>
      </c>
      <c r="C184" s="24" t="s">
        <v>77</v>
      </c>
      <c r="D184" s="24"/>
      <c r="E184" s="18">
        <v>1.386</v>
      </c>
      <c r="F184" s="17">
        <v>2</v>
      </c>
      <c r="G184" s="17">
        <v>1</v>
      </c>
      <c r="H184" s="18">
        <f t="shared" si="13"/>
        <v>2.772</v>
      </c>
      <c r="I184" s="27"/>
    </row>
    <row r="185" s="22" customFormat="1" ht="32" hidden="1" customHeight="1" spans="1:9">
      <c r="A185" s="17">
        <v>183</v>
      </c>
      <c r="B185" s="24" t="s">
        <v>159</v>
      </c>
      <c r="C185" s="24" t="s">
        <v>77</v>
      </c>
      <c r="D185" s="24"/>
      <c r="E185" s="18">
        <v>3.979</v>
      </c>
      <c r="F185" s="17">
        <v>2</v>
      </c>
      <c r="G185" s="17">
        <v>1</v>
      </c>
      <c r="H185" s="18">
        <f t="shared" si="13"/>
        <v>7.958</v>
      </c>
      <c r="I185" s="27"/>
    </row>
    <row r="186" s="22" customFormat="1" ht="32" hidden="1" customHeight="1" spans="1:9">
      <c r="A186" s="17">
        <v>184</v>
      </c>
      <c r="B186" s="24" t="s">
        <v>159</v>
      </c>
      <c r="C186" s="24" t="s">
        <v>77</v>
      </c>
      <c r="D186" s="24"/>
      <c r="E186" s="18">
        <v>2.679</v>
      </c>
      <c r="F186" s="17">
        <v>2</v>
      </c>
      <c r="G186" s="17">
        <v>1</v>
      </c>
      <c r="H186" s="18">
        <f t="shared" si="13"/>
        <v>5.358</v>
      </c>
      <c r="I186" s="27"/>
    </row>
    <row r="187" s="22" customFormat="1" ht="32" hidden="1" customHeight="1" spans="1:9">
      <c r="A187" s="17">
        <v>185</v>
      </c>
      <c r="B187" s="24" t="s">
        <v>159</v>
      </c>
      <c r="C187" s="24" t="s">
        <v>77</v>
      </c>
      <c r="D187" s="24"/>
      <c r="E187" s="18">
        <v>2.691</v>
      </c>
      <c r="F187" s="17">
        <v>2</v>
      </c>
      <c r="G187" s="17">
        <v>1</v>
      </c>
      <c r="H187" s="18">
        <f t="shared" si="13"/>
        <v>5.382</v>
      </c>
      <c r="I187" s="27"/>
    </row>
    <row r="188" s="22" customFormat="1" ht="32" hidden="1" customHeight="1" spans="1:9">
      <c r="A188" s="17">
        <v>186</v>
      </c>
      <c r="B188" s="24" t="s">
        <v>159</v>
      </c>
      <c r="C188" s="24" t="s">
        <v>77</v>
      </c>
      <c r="D188" s="24"/>
      <c r="E188" s="18">
        <v>2.83</v>
      </c>
      <c r="F188" s="17">
        <v>2</v>
      </c>
      <c r="G188" s="17">
        <v>1</v>
      </c>
      <c r="H188" s="18">
        <f t="shared" si="13"/>
        <v>5.66</v>
      </c>
      <c r="I188" s="27"/>
    </row>
    <row r="189" s="22" customFormat="1" ht="32" hidden="1" customHeight="1" spans="1:9">
      <c r="A189" s="17">
        <v>187</v>
      </c>
      <c r="B189" s="24" t="s">
        <v>159</v>
      </c>
      <c r="C189" s="24" t="s">
        <v>77</v>
      </c>
      <c r="D189" s="24"/>
      <c r="E189" s="18">
        <v>2.679</v>
      </c>
      <c r="F189" s="17">
        <v>2</v>
      </c>
      <c r="G189" s="17">
        <v>7</v>
      </c>
      <c r="H189" s="18">
        <f t="shared" si="13"/>
        <v>37.506</v>
      </c>
      <c r="I189" s="27"/>
    </row>
    <row r="190" s="22" customFormat="1" ht="32" hidden="1" customHeight="1" spans="1:9">
      <c r="A190" s="17">
        <v>188</v>
      </c>
      <c r="B190" s="24" t="s">
        <v>159</v>
      </c>
      <c r="C190" s="24" t="s">
        <v>77</v>
      </c>
      <c r="D190" s="24"/>
      <c r="E190" s="18">
        <v>2.691</v>
      </c>
      <c r="F190" s="17">
        <v>2</v>
      </c>
      <c r="G190" s="17">
        <v>7</v>
      </c>
      <c r="H190" s="18">
        <f t="shared" si="13"/>
        <v>37.674</v>
      </c>
      <c r="I190" s="27"/>
    </row>
    <row r="191" s="22" customFormat="1" ht="32" hidden="1" customHeight="1" spans="1:9">
      <c r="A191" s="17">
        <v>189</v>
      </c>
      <c r="B191" s="24" t="s">
        <v>159</v>
      </c>
      <c r="C191" s="24" t="s">
        <v>77</v>
      </c>
      <c r="D191" s="24"/>
      <c r="E191" s="18">
        <v>2.68</v>
      </c>
      <c r="F191" s="17">
        <v>2</v>
      </c>
      <c r="G191" s="17">
        <v>1</v>
      </c>
      <c r="H191" s="18">
        <f t="shared" si="13"/>
        <v>5.36</v>
      </c>
      <c r="I191" s="27"/>
    </row>
    <row r="192" s="22" customFormat="1" ht="32" hidden="1" customHeight="1" spans="1:9">
      <c r="A192" s="17">
        <v>190</v>
      </c>
      <c r="B192" s="24" t="s">
        <v>159</v>
      </c>
      <c r="C192" s="24" t="s">
        <v>77</v>
      </c>
      <c r="D192" s="24"/>
      <c r="E192" s="18">
        <v>2.445</v>
      </c>
      <c r="F192" s="17">
        <v>2</v>
      </c>
      <c r="G192" s="17">
        <v>1</v>
      </c>
      <c r="H192" s="18">
        <f t="shared" si="13"/>
        <v>4.89</v>
      </c>
      <c r="I192" s="27"/>
    </row>
    <row r="193" s="22" customFormat="1" ht="32" hidden="1" customHeight="1" spans="1:9">
      <c r="A193" s="17">
        <v>191</v>
      </c>
      <c r="B193" s="24" t="s">
        <v>160</v>
      </c>
      <c r="C193" s="24" t="s">
        <v>163</v>
      </c>
      <c r="D193" s="24"/>
      <c r="E193" s="18">
        <v>5</v>
      </c>
      <c r="F193" s="17">
        <v>2</v>
      </c>
      <c r="G193" s="17">
        <v>1</v>
      </c>
      <c r="H193" s="18">
        <f t="shared" si="13"/>
        <v>10</v>
      </c>
      <c r="I193" s="27"/>
    </row>
    <row r="194" s="22" customFormat="1" ht="32" hidden="1" customHeight="1" spans="1:9">
      <c r="A194" s="17">
        <v>192</v>
      </c>
      <c r="B194" s="24" t="s">
        <v>160</v>
      </c>
      <c r="C194" s="24" t="s">
        <v>163</v>
      </c>
      <c r="D194" s="24"/>
      <c r="E194" s="18">
        <v>1.19</v>
      </c>
      <c r="F194" s="17">
        <v>2</v>
      </c>
      <c r="G194" s="17">
        <v>1</v>
      </c>
      <c r="H194" s="18">
        <f t="shared" si="13"/>
        <v>2.38</v>
      </c>
      <c r="I194" s="27"/>
    </row>
    <row r="195" s="22" customFormat="1" ht="32" hidden="1" customHeight="1" spans="1:9">
      <c r="A195" s="17">
        <v>193</v>
      </c>
      <c r="B195" s="24" t="s">
        <v>160</v>
      </c>
      <c r="C195" s="24" t="s">
        <v>163</v>
      </c>
      <c r="D195" s="24"/>
      <c r="E195" s="18">
        <f>1+0.941</f>
        <v>1.941</v>
      </c>
      <c r="F195" s="17">
        <v>2</v>
      </c>
      <c r="G195" s="17">
        <v>1</v>
      </c>
      <c r="H195" s="18">
        <f t="shared" si="13"/>
        <v>3.882</v>
      </c>
      <c r="I195" s="27"/>
    </row>
    <row r="196" s="22" customFormat="1" ht="32" hidden="1" customHeight="1" spans="1:9">
      <c r="A196" s="17">
        <v>194</v>
      </c>
      <c r="B196" s="24" t="s">
        <v>160</v>
      </c>
      <c r="C196" s="24" t="s">
        <v>163</v>
      </c>
      <c r="D196" s="24"/>
      <c r="E196" s="18">
        <v>4.064</v>
      </c>
      <c r="F196" s="17">
        <v>2</v>
      </c>
      <c r="G196" s="17">
        <v>1</v>
      </c>
      <c r="H196" s="18">
        <f t="shared" si="13"/>
        <v>8.128</v>
      </c>
      <c r="I196" s="27"/>
    </row>
    <row r="197" s="22" customFormat="1" ht="32" hidden="1" customHeight="1" spans="1:9">
      <c r="A197" s="17">
        <v>195</v>
      </c>
      <c r="B197" s="24" t="s">
        <v>160</v>
      </c>
      <c r="C197" s="24" t="s">
        <v>77</v>
      </c>
      <c r="D197" s="24"/>
      <c r="E197" s="18">
        <v>1.386</v>
      </c>
      <c r="F197" s="17">
        <v>2</v>
      </c>
      <c r="G197" s="17">
        <v>1</v>
      </c>
      <c r="H197" s="18">
        <f t="shared" si="13"/>
        <v>2.772</v>
      </c>
      <c r="I197" s="27"/>
    </row>
    <row r="198" s="22" customFormat="1" ht="32" hidden="1" customHeight="1" spans="1:9">
      <c r="A198" s="17">
        <v>196</v>
      </c>
      <c r="B198" s="24" t="s">
        <v>160</v>
      </c>
      <c r="C198" s="24" t="s">
        <v>77</v>
      </c>
      <c r="D198" s="24"/>
      <c r="E198" s="18">
        <v>3.979</v>
      </c>
      <c r="F198" s="17">
        <v>2</v>
      </c>
      <c r="G198" s="17">
        <v>1</v>
      </c>
      <c r="H198" s="18">
        <f t="shared" si="13"/>
        <v>7.958</v>
      </c>
      <c r="I198" s="27"/>
    </row>
    <row r="199" s="22" customFormat="1" ht="32" hidden="1" customHeight="1" spans="1:9">
      <c r="A199" s="17">
        <v>197</v>
      </c>
      <c r="B199" s="24" t="s">
        <v>160</v>
      </c>
      <c r="C199" s="24" t="s">
        <v>77</v>
      </c>
      <c r="D199" s="24"/>
      <c r="E199" s="18">
        <v>2.679</v>
      </c>
      <c r="F199" s="17">
        <v>2</v>
      </c>
      <c r="G199" s="17">
        <v>1</v>
      </c>
      <c r="H199" s="18">
        <f t="shared" si="13"/>
        <v>5.358</v>
      </c>
      <c r="I199" s="27"/>
    </row>
    <row r="200" s="22" customFormat="1" ht="32" hidden="1" customHeight="1" spans="1:9">
      <c r="A200" s="17">
        <v>198</v>
      </c>
      <c r="B200" s="24" t="s">
        <v>160</v>
      </c>
      <c r="C200" s="24" t="s">
        <v>77</v>
      </c>
      <c r="D200" s="24"/>
      <c r="E200" s="18">
        <v>2.691</v>
      </c>
      <c r="F200" s="17">
        <v>2</v>
      </c>
      <c r="G200" s="17">
        <v>1</v>
      </c>
      <c r="H200" s="18">
        <f t="shared" si="13"/>
        <v>5.382</v>
      </c>
      <c r="I200" s="27"/>
    </row>
    <row r="201" s="22" customFormat="1" ht="32" hidden="1" customHeight="1" spans="1:9">
      <c r="A201" s="17">
        <v>199</v>
      </c>
      <c r="B201" s="24" t="s">
        <v>160</v>
      </c>
      <c r="C201" s="24" t="s">
        <v>77</v>
      </c>
      <c r="D201" s="24"/>
      <c r="E201" s="18">
        <v>2.83</v>
      </c>
      <c r="F201" s="17">
        <v>2</v>
      </c>
      <c r="G201" s="17">
        <v>1</v>
      </c>
      <c r="H201" s="18">
        <f t="shared" si="13"/>
        <v>5.66</v>
      </c>
      <c r="I201" s="27"/>
    </row>
    <row r="202" s="22" customFormat="1" ht="32" hidden="1" customHeight="1" spans="1:9">
      <c r="A202" s="17">
        <v>200</v>
      </c>
      <c r="B202" s="24" t="s">
        <v>160</v>
      </c>
      <c r="C202" s="24" t="s">
        <v>77</v>
      </c>
      <c r="D202" s="24"/>
      <c r="E202" s="18">
        <v>2.679</v>
      </c>
      <c r="F202" s="17">
        <v>2</v>
      </c>
      <c r="G202" s="17">
        <v>7</v>
      </c>
      <c r="H202" s="18">
        <f t="shared" si="13"/>
        <v>37.506</v>
      </c>
      <c r="I202" s="27"/>
    </row>
    <row r="203" s="22" customFormat="1" ht="32" hidden="1" customHeight="1" spans="1:9">
      <c r="A203" s="17">
        <v>201</v>
      </c>
      <c r="B203" s="24" t="s">
        <v>160</v>
      </c>
      <c r="C203" s="24" t="s">
        <v>77</v>
      </c>
      <c r="D203" s="24"/>
      <c r="E203" s="18">
        <v>2.691</v>
      </c>
      <c r="F203" s="17">
        <v>2</v>
      </c>
      <c r="G203" s="17">
        <v>7</v>
      </c>
      <c r="H203" s="18">
        <f t="shared" si="13"/>
        <v>37.674</v>
      </c>
      <c r="I203" s="27"/>
    </row>
    <row r="204" s="22" customFormat="1" ht="32" hidden="1" customHeight="1" spans="1:9">
      <c r="A204" s="17">
        <v>202</v>
      </c>
      <c r="B204" s="24" t="s">
        <v>160</v>
      </c>
      <c r="C204" s="24" t="s">
        <v>77</v>
      </c>
      <c r="D204" s="24"/>
      <c r="E204" s="18">
        <v>2.68</v>
      </c>
      <c r="F204" s="17">
        <v>2</v>
      </c>
      <c r="G204" s="17">
        <v>1</v>
      </c>
      <c r="H204" s="18">
        <f t="shared" si="13"/>
        <v>5.36</v>
      </c>
      <c r="I204" s="27"/>
    </row>
    <row r="205" s="22" customFormat="1" ht="32" hidden="1" customHeight="1" spans="1:10">
      <c r="A205" s="17">
        <v>203</v>
      </c>
      <c r="B205" s="24" t="s">
        <v>160</v>
      </c>
      <c r="C205" s="24" t="s">
        <v>77</v>
      </c>
      <c r="D205" s="24"/>
      <c r="E205" s="18">
        <v>2.445</v>
      </c>
      <c r="F205" s="17">
        <v>2</v>
      </c>
      <c r="G205" s="17">
        <v>1</v>
      </c>
      <c r="H205" s="18">
        <f t="shared" si="13"/>
        <v>4.89</v>
      </c>
      <c r="I205" s="27"/>
      <c r="J205" s="30">
        <f>SUM(H124:H205)</f>
        <v>1654.0152</v>
      </c>
    </row>
    <row r="206" s="22" customFormat="1" ht="30" hidden="1" customHeight="1" spans="1:9">
      <c r="A206" s="29" t="s">
        <v>51</v>
      </c>
      <c r="B206" s="29"/>
      <c r="C206" s="29"/>
      <c r="D206" s="29"/>
      <c r="E206" s="30"/>
      <c r="F206" s="29"/>
      <c r="G206" s="29"/>
      <c r="H206" s="30">
        <f>SUM(H3:H123)</f>
        <v>9668.88</v>
      </c>
      <c r="I206" s="31"/>
    </row>
  </sheetData>
  <autoFilter xmlns:etc="http://www.wps.cn/officeDocument/2017/etCustomData" ref="A2:I206" etc:filterBottomFollowUsedRange="0">
    <filterColumn colId="2">
      <filters>
        <filter val="阳台栏杆900mm高，总长度9.1m"/>
        <filter val="阳台栏杆900mm高，总长度8.5m"/>
        <filter val="阳台栏杆900mm高，总长度6.5m"/>
        <filter val="阳台栏杆900mm高，总长度5.1m"/>
        <filter val="阳台栏杆900mm高，总长度5.4m"/>
        <filter val="阳台栏杆900mm高，总长度4.8m"/>
        <filter val="阳台栏杆900mm高，总长度4.4m"/>
        <filter val="阳台栏杆900mm高，总长度4.6m"/>
        <filter val="阳台栏杆900mm高，总长度4.7m"/>
      </filters>
    </filterColumn>
    <extLst/>
  </autoFilter>
  <mergeCells count="1">
    <mergeCell ref="A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opLeftCell="A33" workbookViewId="0">
      <selection activeCell="F42" sqref="F42"/>
    </sheetView>
  </sheetViews>
  <sheetFormatPr defaultColWidth="9" defaultRowHeight="14.4"/>
  <cols>
    <col min="1" max="1" width="5" style="11" customWidth="1"/>
    <col min="2" max="2" width="9" style="11"/>
    <col min="3" max="3" width="14.75" style="11" customWidth="1"/>
    <col min="4" max="4" width="9.37962962962963" style="11" customWidth="1"/>
    <col min="5" max="5" width="10" style="11" customWidth="1"/>
    <col min="6" max="6" width="9" style="11"/>
    <col min="7" max="7" width="9.44444444444444" style="11"/>
    <col min="8" max="8" width="14.6296296296296" style="13" customWidth="1"/>
    <col min="9" max="9" width="15.25" style="14" customWidth="1"/>
    <col min="10" max="16384" width="9" style="11"/>
  </cols>
  <sheetData>
    <row r="1" s="11" customFormat="1" ht="36" customHeight="1" spans="1:9">
      <c r="A1" s="11" t="s">
        <v>170</v>
      </c>
      <c r="H1" s="13"/>
      <c r="I1" s="14"/>
    </row>
    <row r="2" s="11" customFormat="1" ht="28" customHeight="1" spans="1:9">
      <c r="A2" s="15" t="s">
        <v>0</v>
      </c>
      <c r="B2" s="15" t="s">
        <v>171</v>
      </c>
      <c r="C2" s="15" t="s">
        <v>122</v>
      </c>
      <c r="D2" s="15" t="s">
        <v>172</v>
      </c>
      <c r="E2" s="15" t="s">
        <v>173</v>
      </c>
      <c r="F2" s="15" t="s">
        <v>124</v>
      </c>
      <c r="G2" s="15" t="s">
        <v>125</v>
      </c>
      <c r="H2" s="16" t="s">
        <v>174</v>
      </c>
      <c r="I2" s="19" t="s">
        <v>7</v>
      </c>
    </row>
    <row r="3" s="12" customFormat="1" ht="22" customHeight="1" spans="1:9">
      <c r="A3" s="17">
        <v>1</v>
      </c>
      <c r="B3" s="17" t="s">
        <v>127</v>
      </c>
      <c r="C3" s="17" t="s">
        <v>175</v>
      </c>
      <c r="D3" s="17">
        <v>2.06</v>
      </c>
      <c r="E3" s="17">
        <v>0.76</v>
      </c>
      <c r="F3" s="17">
        <v>2</v>
      </c>
      <c r="G3" s="17">
        <v>1</v>
      </c>
      <c r="H3" s="18">
        <f t="shared" ref="H3:H13" si="0">D3*E3*F3*G3</f>
        <v>3.1312</v>
      </c>
      <c r="I3" s="20" t="s">
        <v>176</v>
      </c>
    </row>
    <row r="4" s="12" customFormat="1" ht="22" customHeight="1" spans="1:9">
      <c r="A4" s="17">
        <v>2</v>
      </c>
      <c r="B4" s="17" t="s">
        <v>127</v>
      </c>
      <c r="C4" s="17" t="s">
        <v>175</v>
      </c>
      <c r="D4" s="17">
        <v>2.06</v>
      </c>
      <c r="E4" s="17">
        <v>0.76</v>
      </c>
      <c r="F4" s="17">
        <v>3</v>
      </c>
      <c r="G4" s="17">
        <v>25</v>
      </c>
      <c r="H4" s="18">
        <f t="shared" si="0"/>
        <v>117.42</v>
      </c>
      <c r="I4" s="20" t="s">
        <v>176</v>
      </c>
    </row>
    <row r="5" s="12" customFormat="1" ht="22" customHeight="1" spans="1:9">
      <c r="A5" s="17">
        <v>3</v>
      </c>
      <c r="B5" s="17" t="s">
        <v>127</v>
      </c>
      <c r="C5" s="17" t="s">
        <v>177</v>
      </c>
      <c r="D5" s="17">
        <v>2.06</v>
      </c>
      <c r="E5" s="17">
        <v>0.96</v>
      </c>
      <c r="F5" s="17">
        <v>2</v>
      </c>
      <c r="G5" s="17">
        <v>26</v>
      </c>
      <c r="H5" s="18">
        <f t="shared" si="0"/>
        <v>102.8352</v>
      </c>
      <c r="I5" s="20" t="s">
        <v>176</v>
      </c>
    </row>
    <row r="6" s="12" customFormat="1" ht="22" customHeight="1" spans="1:9">
      <c r="A6" s="17">
        <v>4</v>
      </c>
      <c r="B6" s="17" t="s">
        <v>127</v>
      </c>
      <c r="C6" s="17" t="s">
        <v>178</v>
      </c>
      <c r="D6" s="17">
        <v>2.06</v>
      </c>
      <c r="E6" s="17">
        <v>0.91</v>
      </c>
      <c r="F6" s="17">
        <v>2</v>
      </c>
      <c r="G6" s="17">
        <v>25</v>
      </c>
      <c r="H6" s="18">
        <f t="shared" si="0"/>
        <v>93.73</v>
      </c>
      <c r="I6" s="20" t="s">
        <v>176</v>
      </c>
    </row>
    <row r="7" s="12" customFormat="1" ht="22" customHeight="1" spans="1:9">
      <c r="A7" s="17">
        <v>5</v>
      </c>
      <c r="B7" s="17" t="s">
        <v>127</v>
      </c>
      <c r="C7" s="17" t="s">
        <v>179</v>
      </c>
      <c r="D7" s="17">
        <v>0.31</v>
      </c>
      <c r="E7" s="17">
        <v>0.41</v>
      </c>
      <c r="F7" s="17">
        <v>2</v>
      </c>
      <c r="G7" s="17">
        <v>13</v>
      </c>
      <c r="H7" s="18">
        <f t="shared" si="0"/>
        <v>3.3046</v>
      </c>
      <c r="I7" s="20" t="s">
        <v>180</v>
      </c>
    </row>
    <row r="8" s="12" customFormat="1" ht="22" customHeight="1" spans="1:9">
      <c r="A8" s="17">
        <v>6</v>
      </c>
      <c r="B8" s="17" t="s">
        <v>127</v>
      </c>
      <c r="C8" s="17" t="s">
        <v>181</v>
      </c>
      <c r="D8" s="17">
        <v>0.41</v>
      </c>
      <c r="E8" s="17">
        <v>0.31</v>
      </c>
      <c r="F8" s="17">
        <v>2</v>
      </c>
      <c r="G8" s="17">
        <v>13</v>
      </c>
      <c r="H8" s="18">
        <f t="shared" si="0"/>
        <v>3.3046</v>
      </c>
      <c r="I8" s="20" t="s">
        <v>180</v>
      </c>
    </row>
    <row r="9" s="12" customFormat="1" ht="22" customHeight="1" spans="1:9">
      <c r="A9" s="17">
        <v>7</v>
      </c>
      <c r="B9" s="17" t="s">
        <v>127</v>
      </c>
      <c r="C9" s="17" t="s">
        <v>182</v>
      </c>
      <c r="D9" s="17">
        <v>0.96</v>
      </c>
      <c r="E9" s="17">
        <v>0.66</v>
      </c>
      <c r="F9" s="17">
        <v>2</v>
      </c>
      <c r="G9" s="17">
        <v>26</v>
      </c>
      <c r="H9" s="18">
        <f t="shared" si="0"/>
        <v>32.9472</v>
      </c>
      <c r="I9" s="20" t="s">
        <v>180</v>
      </c>
    </row>
    <row r="10" s="12" customFormat="1" ht="22" customHeight="1" spans="1:9">
      <c r="A10" s="17">
        <v>8</v>
      </c>
      <c r="B10" s="17" t="s">
        <v>127</v>
      </c>
      <c r="C10" s="17" t="s">
        <v>183</v>
      </c>
      <c r="D10" s="17">
        <v>0.7</v>
      </c>
      <c r="E10" s="17">
        <v>0.66</v>
      </c>
      <c r="F10" s="17">
        <v>9</v>
      </c>
      <c r="G10" s="17">
        <v>1</v>
      </c>
      <c r="H10" s="18">
        <f t="shared" si="0"/>
        <v>4.158</v>
      </c>
      <c r="I10" s="20" t="s">
        <v>176</v>
      </c>
    </row>
    <row r="11" s="12" customFormat="1" ht="22" customHeight="1" spans="1:9">
      <c r="A11" s="17">
        <v>9</v>
      </c>
      <c r="B11" s="17" t="s">
        <v>127</v>
      </c>
      <c r="C11" s="17" t="s">
        <v>180</v>
      </c>
      <c r="D11" s="17">
        <v>0.96</v>
      </c>
      <c r="E11" s="17">
        <v>2.46</v>
      </c>
      <c r="F11" s="17">
        <v>2</v>
      </c>
      <c r="G11" s="17">
        <v>1</v>
      </c>
      <c r="H11" s="18">
        <f t="shared" si="0"/>
        <v>4.7232</v>
      </c>
      <c r="I11" s="20" t="s">
        <v>180</v>
      </c>
    </row>
    <row r="12" s="12" customFormat="1" ht="22" customHeight="1" spans="1:9">
      <c r="A12" s="17">
        <v>10</v>
      </c>
      <c r="B12" s="17" t="s">
        <v>127</v>
      </c>
      <c r="C12" s="17" t="s">
        <v>180</v>
      </c>
      <c r="D12" s="17">
        <v>0.96</v>
      </c>
      <c r="E12" s="17">
        <v>0.96</v>
      </c>
      <c r="F12" s="17">
        <v>3</v>
      </c>
      <c r="G12" s="17">
        <v>1</v>
      </c>
      <c r="H12" s="18">
        <f t="shared" si="0"/>
        <v>2.7648</v>
      </c>
      <c r="I12" s="20" t="s">
        <v>180</v>
      </c>
    </row>
    <row r="13" s="12" customFormat="1" ht="22" customHeight="1" spans="1:9">
      <c r="A13" s="17">
        <v>11</v>
      </c>
      <c r="B13" s="17" t="s">
        <v>127</v>
      </c>
      <c r="C13" s="17" t="s">
        <v>180</v>
      </c>
      <c r="D13" s="17">
        <v>0.96</v>
      </c>
      <c r="E13" s="17">
        <v>2.16</v>
      </c>
      <c r="F13" s="17">
        <v>2</v>
      </c>
      <c r="G13" s="17">
        <v>1</v>
      </c>
      <c r="H13" s="18">
        <f t="shared" si="0"/>
        <v>4.1472</v>
      </c>
      <c r="I13" s="20" t="s">
        <v>180</v>
      </c>
    </row>
    <row r="14" s="12" customFormat="1" ht="29.1" customHeight="1" spans="1:9">
      <c r="A14" s="17">
        <v>12</v>
      </c>
      <c r="B14" s="17" t="s">
        <v>134</v>
      </c>
      <c r="C14" s="17" t="s">
        <v>182</v>
      </c>
      <c r="D14" s="17">
        <v>0.96</v>
      </c>
      <c r="E14" s="17">
        <v>0.66</v>
      </c>
      <c r="F14" s="17">
        <v>3</v>
      </c>
      <c r="G14" s="17">
        <v>26</v>
      </c>
      <c r="H14" s="18">
        <f t="shared" ref="H14:H21" si="1">D14*E14*F14*G14</f>
        <v>49.4208</v>
      </c>
      <c r="I14" s="20" t="s">
        <v>180</v>
      </c>
    </row>
    <row r="15" s="12" customFormat="1" ht="29.1" customHeight="1" spans="1:9">
      <c r="A15" s="17">
        <v>13</v>
      </c>
      <c r="B15" s="17" t="s">
        <v>134</v>
      </c>
      <c r="C15" s="17" t="s">
        <v>175</v>
      </c>
      <c r="D15" s="17">
        <v>2.06</v>
      </c>
      <c r="E15" s="17">
        <v>0.76</v>
      </c>
      <c r="F15" s="17">
        <v>7</v>
      </c>
      <c r="G15" s="17">
        <v>1</v>
      </c>
      <c r="H15" s="18">
        <f t="shared" si="1"/>
        <v>10.9592</v>
      </c>
      <c r="I15" s="20" t="s">
        <v>176</v>
      </c>
    </row>
    <row r="16" s="12" customFormat="1" ht="29.1" customHeight="1" spans="1:9">
      <c r="A16" s="17">
        <v>14</v>
      </c>
      <c r="B16" s="17" t="s">
        <v>134</v>
      </c>
      <c r="C16" s="17" t="s">
        <v>175</v>
      </c>
      <c r="D16" s="17">
        <v>2.06</v>
      </c>
      <c r="E16" s="17">
        <v>0.76</v>
      </c>
      <c r="F16" s="17">
        <v>9</v>
      </c>
      <c r="G16" s="17">
        <v>25</v>
      </c>
      <c r="H16" s="18">
        <f t="shared" si="1"/>
        <v>352.26</v>
      </c>
      <c r="I16" s="20" t="s">
        <v>176</v>
      </c>
    </row>
    <row r="17" s="12" customFormat="1" ht="29.1" customHeight="1" spans="1:9">
      <c r="A17" s="17">
        <v>15</v>
      </c>
      <c r="B17" s="17" t="s">
        <v>134</v>
      </c>
      <c r="C17" s="17" t="s">
        <v>177</v>
      </c>
      <c r="D17" s="17">
        <v>2.06</v>
      </c>
      <c r="E17" s="17">
        <v>1.36</v>
      </c>
      <c r="F17" s="17">
        <v>3</v>
      </c>
      <c r="G17" s="17">
        <v>26</v>
      </c>
      <c r="H17" s="18">
        <f t="shared" si="1"/>
        <v>218.5248</v>
      </c>
      <c r="I17" s="20" t="s">
        <v>176</v>
      </c>
    </row>
    <row r="18" s="12" customFormat="1" ht="29.1" customHeight="1" spans="1:9">
      <c r="A18" s="17">
        <v>16</v>
      </c>
      <c r="B18" s="17" t="s">
        <v>134</v>
      </c>
      <c r="C18" s="17" t="s">
        <v>184</v>
      </c>
      <c r="D18" s="17">
        <v>2.06</v>
      </c>
      <c r="E18" s="17">
        <v>1.16</v>
      </c>
      <c r="F18" s="17">
        <v>3</v>
      </c>
      <c r="G18" s="17">
        <v>25</v>
      </c>
      <c r="H18" s="18">
        <f t="shared" si="1"/>
        <v>179.22</v>
      </c>
      <c r="I18" s="20" t="s">
        <v>176</v>
      </c>
    </row>
    <row r="19" s="12" customFormat="1" ht="29.1" customHeight="1" spans="1:9">
      <c r="A19" s="17">
        <v>17</v>
      </c>
      <c r="B19" s="17" t="s">
        <v>134</v>
      </c>
      <c r="C19" s="17" t="s">
        <v>178</v>
      </c>
      <c r="D19" s="17">
        <v>2.06</v>
      </c>
      <c r="E19" s="17">
        <v>0.76</v>
      </c>
      <c r="F19" s="17">
        <v>3</v>
      </c>
      <c r="G19" s="17">
        <v>26</v>
      </c>
      <c r="H19" s="18">
        <f t="shared" si="1"/>
        <v>122.1168</v>
      </c>
      <c r="I19" s="20" t="s">
        <v>176</v>
      </c>
    </row>
    <row r="20" s="12" customFormat="1" ht="29.1" customHeight="1" spans="1:9">
      <c r="A20" s="17">
        <v>18</v>
      </c>
      <c r="B20" s="17" t="s">
        <v>134</v>
      </c>
      <c r="C20" s="17" t="s">
        <v>179</v>
      </c>
      <c r="D20" s="17">
        <v>0.31</v>
      </c>
      <c r="E20" s="17">
        <v>0.41</v>
      </c>
      <c r="F20" s="17">
        <v>3</v>
      </c>
      <c r="G20" s="17">
        <v>26</v>
      </c>
      <c r="H20" s="18">
        <f t="shared" si="1"/>
        <v>9.9138</v>
      </c>
      <c r="I20" s="20" t="s">
        <v>22</v>
      </c>
    </row>
    <row r="21" s="12" customFormat="1" ht="29.1" customHeight="1" spans="1:9">
      <c r="A21" s="17">
        <v>19</v>
      </c>
      <c r="B21" s="17" t="s">
        <v>134</v>
      </c>
      <c r="C21" s="17" t="s">
        <v>180</v>
      </c>
      <c r="D21" s="17">
        <v>0.96</v>
      </c>
      <c r="E21" s="17">
        <v>0.76</v>
      </c>
      <c r="F21" s="17">
        <v>3</v>
      </c>
      <c r="G21" s="17">
        <v>1</v>
      </c>
      <c r="H21" s="18">
        <f t="shared" si="1"/>
        <v>2.1888</v>
      </c>
      <c r="I21" s="20" t="s">
        <v>22</v>
      </c>
    </row>
    <row r="22" s="12" customFormat="1" ht="29.1" customHeight="1" spans="1:9">
      <c r="A22" s="17">
        <v>20</v>
      </c>
      <c r="B22" s="17" t="s">
        <v>134</v>
      </c>
      <c r="C22" s="17" t="s">
        <v>180</v>
      </c>
      <c r="D22" s="17">
        <v>0.96</v>
      </c>
      <c r="E22" s="17">
        <v>1.16</v>
      </c>
      <c r="F22" s="17">
        <v>3</v>
      </c>
      <c r="G22" s="17">
        <v>1</v>
      </c>
      <c r="H22" s="18">
        <f t="shared" ref="H22:H32" si="2">D22*E22*F22*G22</f>
        <v>3.3408</v>
      </c>
      <c r="I22" s="20" t="s">
        <v>22</v>
      </c>
    </row>
    <row r="23" s="12" customFormat="1" ht="29.1" customHeight="1" spans="1:9">
      <c r="A23" s="17">
        <v>21</v>
      </c>
      <c r="B23" s="17" t="s">
        <v>134</v>
      </c>
      <c r="C23" s="17" t="s">
        <v>180</v>
      </c>
      <c r="D23" s="17">
        <v>0.96</v>
      </c>
      <c r="E23" s="17">
        <v>2.36</v>
      </c>
      <c r="F23" s="17">
        <v>3</v>
      </c>
      <c r="G23" s="17">
        <v>1</v>
      </c>
      <c r="H23" s="18">
        <f t="shared" si="2"/>
        <v>6.7968</v>
      </c>
      <c r="I23" s="20" t="s">
        <v>180</v>
      </c>
    </row>
    <row r="24" s="12" customFormat="1" ht="29.1" customHeight="1" spans="1:9">
      <c r="A24" s="17">
        <v>22</v>
      </c>
      <c r="B24" s="17" t="s">
        <v>134</v>
      </c>
      <c r="C24" s="17" t="s">
        <v>180</v>
      </c>
      <c r="D24" s="17">
        <v>0.96</v>
      </c>
      <c r="E24" s="17">
        <v>2.26</v>
      </c>
      <c r="F24" s="17">
        <v>3</v>
      </c>
      <c r="G24" s="17">
        <v>1</v>
      </c>
      <c r="H24" s="18">
        <f t="shared" si="2"/>
        <v>6.5088</v>
      </c>
      <c r="I24" s="20" t="s">
        <v>180</v>
      </c>
    </row>
    <row r="25" s="12" customFormat="1" ht="29.1" customHeight="1" spans="1:9">
      <c r="A25" s="17">
        <v>23</v>
      </c>
      <c r="B25" s="17" t="s">
        <v>134</v>
      </c>
      <c r="C25" s="17" t="s">
        <v>180</v>
      </c>
      <c r="D25" s="17">
        <v>0.96</v>
      </c>
      <c r="E25" s="17">
        <v>1.06</v>
      </c>
      <c r="F25" s="17">
        <v>3</v>
      </c>
      <c r="G25" s="17">
        <v>1</v>
      </c>
      <c r="H25" s="18">
        <f t="shared" si="2"/>
        <v>3.0528</v>
      </c>
      <c r="I25" s="20" t="s">
        <v>22</v>
      </c>
    </row>
    <row r="26" s="12" customFormat="1" ht="29.1" customHeight="1" spans="1:9">
      <c r="A26" s="17">
        <v>24</v>
      </c>
      <c r="B26" s="17" t="s">
        <v>134</v>
      </c>
      <c r="C26" s="17" t="s">
        <v>180</v>
      </c>
      <c r="D26" s="17">
        <v>0.96</v>
      </c>
      <c r="E26" s="17">
        <v>2.56</v>
      </c>
      <c r="F26" s="17">
        <v>3</v>
      </c>
      <c r="G26" s="17">
        <v>1</v>
      </c>
      <c r="H26" s="18">
        <f t="shared" si="2"/>
        <v>7.3728</v>
      </c>
      <c r="I26" s="20" t="s">
        <v>180</v>
      </c>
    </row>
    <row r="27" s="12" customFormat="1" ht="29.1" customHeight="1" spans="1:9">
      <c r="A27" s="17">
        <v>25</v>
      </c>
      <c r="B27" s="17" t="s">
        <v>165</v>
      </c>
      <c r="C27" s="17" t="s">
        <v>175</v>
      </c>
      <c r="D27" s="17">
        <v>2.06</v>
      </c>
      <c r="E27" s="17">
        <v>0.76</v>
      </c>
      <c r="F27" s="17">
        <v>6</v>
      </c>
      <c r="G27" s="17">
        <v>23</v>
      </c>
      <c r="H27" s="18">
        <f t="shared" si="2"/>
        <v>216.0528</v>
      </c>
      <c r="I27" s="20" t="s">
        <v>176</v>
      </c>
    </row>
    <row r="28" s="12" customFormat="1" ht="29.1" customHeight="1" spans="1:9">
      <c r="A28" s="17">
        <v>26</v>
      </c>
      <c r="B28" s="17" t="s">
        <v>165</v>
      </c>
      <c r="C28" s="17" t="s">
        <v>177</v>
      </c>
      <c r="D28" s="17">
        <v>2.06</v>
      </c>
      <c r="E28" s="17">
        <v>1.36</v>
      </c>
      <c r="F28" s="17">
        <v>3</v>
      </c>
      <c r="G28" s="17">
        <v>23</v>
      </c>
      <c r="H28" s="18">
        <f t="shared" ref="H28:H36" si="3">D28*E28*F28*G28</f>
        <v>193.3104</v>
      </c>
      <c r="I28" s="20" t="s">
        <v>176</v>
      </c>
    </row>
    <row r="29" s="12" customFormat="1" ht="29.1" customHeight="1" spans="1:9">
      <c r="A29" s="17">
        <v>27</v>
      </c>
      <c r="B29" s="17" t="s">
        <v>165</v>
      </c>
      <c r="C29" s="17" t="s">
        <v>182</v>
      </c>
      <c r="D29" s="17">
        <v>2.06</v>
      </c>
      <c r="E29" s="17">
        <v>0.96</v>
      </c>
      <c r="F29" s="17">
        <v>3</v>
      </c>
      <c r="G29" s="17">
        <v>22</v>
      </c>
      <c r="H29" s="18">
        <f t="shared" si="3"/>
        <v>130.5216</v>
      </c>
      <c r="I29" s="20" t="s">
        <v>176</v>
      </c>
    </row>
    <row r="30" s="12" customFormat="1" ht="29.1" customHeight="1" spans="1:9">
      <c r="A30" s="17">
        <v>28</v>
      </c>
      <c r="B30" s="17" t="s">
        <v>165</v>
      </c>
      <c r="C30" s="17" t="s">
        <v>178</v>
      </c>
      <c r="D30" s="17">
        <v>0.96</v>
      </c>
      <c r="E30" s="17">
        <v>0.66</v>
      </c>
      <c r="F30" s="17">
        <v>3</v>
      </c>
      <c r="G30" s="17">
        <v>22</v>
      </c>
      <c r="H30" s="18">
        <f t="shared" si="3"/>
        <v>41.8176</v>
      </c>
      <c r="I30" s="20" t="s">
        <v>22</v>
      </c>
    </row>
    <row r="31" s="12" customFormat="1" ht="29.1" customHeight="1" spans="1:9">
      <c r="A31" s="17">
        <v>29</v>
      </c>
      <c r="B31" s="17" t="s">
        <v>165</v>
      </c>
      <c r="C31" s="17" t="s">
        <v>179</v>
      </c>
      <c r="D31" s="17">
        <v>0.31</v>
      </c>
      <c r="E31" s="17">
        <v>0.41</v>
      </c>
      <c r="F31" s="17">
        <v>3</v>
      </c>
      <c r="G31" s="17">
        <v>11</v>
      </c>
      <c r="H31" s="18">
        <f t="shared" si="3"/>
        <v>4.1943</v>
      </c>
      <c r="I31" s="20" t="s">
        <v>22</v>
      </c>
    </row>
    <row r="32" s="12" customFormat="1" ht="29.1" customHeight="1" spans="1:9">
      <c r="A32" s="17">
        <v>30</v>
      </c>
      <c r="B32" s="17" t="s">
        <v>165</v>
      </c>
      <c r="C32" s="17" t="s">
        <v>181</v>
      </c>
      <c r="D32" s="17">
        <v>0.41</v>
      </c>
      <c r="E32" s="17">
        <v>0.31</v>
      </c>
      <c r="F32" s="17">
        <v>3</v>
      </c>
      <c r="G32" s="17">
        <v>12</v>
      </c>
      <c r="H32" s="18">
        <f t="shared" si="3"/>
        <v>4.5756</v>
      </c>
      <c r="I32" s="20" t="s">
        <v>22</v>
      </c>
    </row>
    <row r="33" s="12" customFormat="1" ht="29.1" customHeight="1" spans="1:9">
      <c r="A33" s="17">
        <v>31</v>
      </c>
      <c r="B33" s="17" t="s">
        <v>165</v>
      </c>
      <c r="C33" s="17" t="s">
        <v>180</v>
      </c>
      <c r="D33" s="17">
        <v>0.96</v>
      </c>
      <c r="E33" s="17">
        <v>0.66</v>
      </c>
      <c r="F33" s="17">
        <v>8</v>
      </c>
      <c r="G33" s="17">
        <v>1</v>
      </c>
      <c r="H33" s="18">
        <f t="shared" si="3"/>
        <v>5.0688</v>
      </c>
      <c r="I33" s="20" t="s">
        <v>22</v>
      </c>
    </row>
    <row r="34" s="12" customFormat="1" ht="29.1" customHeight="1" spans="1:9">
      <c r="A34" s="17">
        <v>32</v>
      </c>
      <c r="B34" s="17" t="s">
        <v>165</v>
      </c>
      <c r="C34" s="17" t="s">
        <v>180</v>
      </c>
      <c r="D34" s="17">
        <v>0.96</v>
      </c>
      <c r="E34" s="17">
        <v>1.86</v>
      </c>
      <c r="F34" s="17">
        <v>1</v>
      </c>
      <c r="G34" s="17">
        <v>1</v>
      </c>
      <c r="H34" s="18">
        <f t="shared" si="3"/>
        <v>1.7856</v>
      </c>
      <c r="I34" s="20" t="s">
        <v>22</v>
      </c>
    </row>
    <row r="35" s="12" customFormat="1" ht="29.1" customHeight="1" spans="1:9">
      <c r="A35" s="17">
        <v>33</v>
      </c>
      <c r="B35" s="17" t="s">
        <v>165</v>
      </c>
      <c r="C35" s="17" t="s">
        <v>180</v>
      </c>
      <c r="D35" s="17">
        <v>0.96</v>
      </c>
      <c r="E35" s="17">
        <v>2.36</v>
      </c>
      <c r="F35" s="17">
        <v>1</v>
      </c>
      <c r="G35" s="17">
        <v>1</v>
      </c>
      <c r="H35" s="18">
        <f t="shared" si="3"/>
        <v>2.2656</v>
      </c>
      <c r="I35" s="20" t="s">
        <v>22</v>
      </c>
    </row>
    <row r="36" s="12" customFormat="1" ht="29.1" customHeight="1" spans="1:9">
      <c r="A36" s="17">
        <v>34</v>
      </c>
      <c r="B36" s="17" t="s">
        <v>145</v>
      </c>
      <c r="C36" s="17" t="s">
        <v>175</v>
      </c>
      <c r="D36" s="17">
        <v>2.11</v>
      </c>
      <c r="E36" s="17">
        <v>0.76</v>
      </c>
      <c r="F36" s="17">
        <v>7</v>
      </c>
      <c r="G36" s="17">
        <v>13</v>
      </c>
      <c r="H36" s="18">
        <f t="shared" si="3"/>
        <v>145.9276</v>
      </c>
      <c r="I36" s="20" t="s">
        <v>176</v>
      </c>
    </row>
    <row r="37" s="12" customFormat="1" ht="29.1" customHeight="1" spans="1:9">
      <c r="A37" s="17">
        <v>35</v>
      </c>
      <c r="B37" s="17" t="s">
        <v>145</v>
      </c>
      <c r="C37" s="17" t="s">
        <v>177</v>
      </c>
      <c r="D37" s="17">
        <v>2.11</v>
      </c>
      <c r="E37" s="17">
        <v>0.81</v>
      </c>
      <c r="F37" s="17">
        <v>1</v>
      </c>
      <c r="G37" s="17">
        <v>13</v>
      </c>
      <c r="H37" s="18">
        <f t="shared" ref="H37:H60" si="4">D37*E37*F37*G37</f>
        <v>22.2183</v>
      </c>
      <c r="I37" s="20" t="s">
        <v>176</v>
      </c>
    </row>
    <row r="38" s="12" customFormat="1" ht="29.1" customHeight="1" spans="1:9">
      <c r="A38" s="17">
        <v>36</v>
      </c>
      <c r="B38" s="17" t="s">
        <v>145</v>
      </c>
      <c r="C38" s="17" t="s">
        <v>178</v>
      </c>
      <c r="D38" s="17">
        <v>2.11</v>
      </c>
      <c r="E38" s="17">
        <v>0.96</v>
      </c>
      <c r="F38" s="17">
        <v>7</v>
      </c>
      <c r="G38" s="17">
        <v>13</v>
      </c>
      <c r="H38" s="18">
        <f t="shared" si="4"/>
        <v>184.3296</v>
      </c>
      <c r="I38" s="20" t="s">
        <v>176</v>
      </c>
    </row>
    <row r="39" s="12" customFormat="1" ht="29.1" customHeight="1" spans="1:9">
      <c r="A39" s="17">
        <v>37</v>
      </c>
      <c r="B39" s="17" t="s">
        <v>145</v>
      </c>
      <c r="C39" s="17" t="s">
        <v>179</v>
      </c>
      <c r="D39" s="17">
        <v>2.11</v>
      </c>
      <c r="E39" s="17">
        <v>1.06</v>
      </c>
      <c r="F39" s="17">
        <v>1</v>
      </c>
      <c r="G39" s="17">
        <v>13</v>
      </c>
      <c r="H39" s="18">
        <f t="shared" si="4"/>
        <v>29.0758</v>
      </c>
      <c r="I39" s="20" t="s">
        <v>176</v>
      </c>
    </row>
    <row r="40" s="12" customFormat="1" ht="29.1" customHeight="1" spans="1:9">
      <c r="A40" s="17">
        <v>38</v>
      </c>
      <c r="B40" s="17" t="s">
        <v>145</v>
      </c>
      <c r="C40" s="17" t="s">
        <v>181</v>
      </c>
      <c r="D40" s="17">
        <v>0.61</v>
      </c>
      <c r="E40" s="17">
        <v>0.36</v>
      </c>
      <c r="F40" s="17">
        <v>1</v>
      </c>
      <c r="G40" s="17">
        <v>7</v>
      </c>
      <c r="H40" s="18">
        <f t="shared" si="4"/>
        <v>1.5372</v>
      </c>
      <c r="I40" s="20" t="s">
        <v>22</v>
      </c>
    </row>
    <row r="41" s="12" customFormat="1" ht="29.1" customHeight="1" spans="1:9">
      <c r="A41" s="17">
        <v>39</v>
      </c>
      <c r="B41" s="17" t="s">
        <v>145</v>
      </c>
      <c r="C41" s="17" t="s">
        <v>182</v>
      </c>
      <c r="D41" s="17">
        <v>1.06</v>
      </c>
      <c r="E41" s="17">
        <v>0.51</v>
      </c>
      <c r="F41" s="17">
        <v>3</v>
      </c>
      <c r="G41" s="17">
        <v>13</v>
      </c>
      <c r="H41" s="18">
        <f t="shared" si="4"/>
        <v>21.0834</v>
      </c>
      <c r="I41" s="20" t="s">
        <v>22</v>
      </c>
    </row>
    <row r="42" s="12" customFormat="1" ht="29.1" customHeight="1" spans="1:9">
      <c r="A42" s="17">
        <v>40</v>
      </c>
      <c r="B42" s="17" t="s">
        <v>151</v>
      </c>
      <c r="C42" s="17" t="s">
        <v>177</v>
      </c>
      <c r="D42" s="17">
        <v>2.06</v>
      </c>
      <c r="E42" s="17">
        <v>1.36</v>
      </c>
      <c r="F42" s="17">
        <v>2</v>
      </c>
      <c r="G42" s="17">
        <v>2</v>
      </c>
      <c r="H42" s="18">
        <f t="shared" si="4"/>
        <v>11.2064</v>
      </c>
      <c r="I42" s="20" t="s">
        <v>176</v>
      </c>
    </row>
    <row r="43" s="12" customFormat="1" ht="29.1" customHeight="1" spans="1:12">
      <c r="A43" s="17">
        <v>41</v>
      </c>
      <c r="B43" s="17" t="s">
        <v>151</v>
      </c>
      <c r="C43" s="17" t="s">
        <v>177</v>
      </c>
      <c r="D43" s="17">
        <v>2.06</v>
      </c>
      <c r="E43" s="17">
        <v>1.36</v>
      </c>
      <c r="F43" s="17">
        <v>1</v>
      </c>
      <c r="G43" s="17">
        <v>24</v>
      </c>
      <c r="H43" s="18">
        <f t="shared" si="4"/>
        <v>67.2384</v>
      </c>
      <c r="I43" s="20" t="s">
        <v>176</v>
      </c>
      <c r="L43" s="12">
        <f>24*3+2*2</f>
        <v>76</v>
      </c>
    </row>
    <row r="44" s="12" customFormat="1" ht="29.1" customHeight="1" spans="1:9">
      <c r="A44" s="17">
        <v>42</v>
      </c>
      <c r="B44" s="17" t="s">
        <v>151</v>
      </c>
      <c r="C44" s="17" t="s">
        <v>182</v>
      </c>
      <c r="D44" s="17">
        <v>2.06</v>
      </c>
      <c r="E44" s="17">
        <v>0.96</v>
      </c>
      <c r="F44" s="17">
        <v>1</v>
      </c>
      <c r="G44" s="17">
        <v>24</v>
      </c>
      <c r="H44" s="18">
        <f t="shared" si="4"/>
        <v>47.4624</v>
      </c>
      <c r="I44" s="20" t="s">
        <v>176</v>
      </c>
    </row>
    <row r="45" s="12" customFormat="1" ht="29.1" customHeight="1" spans="1:9">
      <c r="A45" s="17">
        <v>43</v>
      </c>
      <c r="B45" s="17" t="s">
        <v>151</v>
      </c>
      <c r="C45" s="17" t="s">
        <v>178</v>
      </c>
      <c r="D45" s="17">
        <v>0.96</v>
      </c>
      <c r="E45" s="17">
        <v>0.66</v>
      </c>
      <c r="F45" s="17">
        <v>1</v>
      </c>
      <c r="G45" s="17">
        <v>26</v>
      </c>
      <c r="H45" s="18">
        <f t="shared" si="4"/>
        <v>16.4736</v>
      </c>
      <c r="I45" s="20" t="s">
        <v>22</v>
      </c>
    </row>
    <row r="46" s="12" customFormat="1" ht="29.1" customHeight="1" spans="1:9">
      <c r="A46" s="17">
        <v>44</v>
      </c>
      <c r="B46" s="17" t="s">
        <v>151</v>
      </c>
      <c r="C46" s="17" t="s">
        <v>179</v>
      </c>
      <c r="D46" s="17">
        <v>0.31</v>
      </c>
      <c r="E46" s="17">
        <v>0.41</v>
      </c>
      <c r="F46" s="17">
        <v>1</v>
      </c>
      <c r="G46" s="17">
        <v>13</v>
      </c>
      <c r="H46" s="18">
        <f t="shared" si="4"/>
        <v>1.6523</v>
      </c>
      <c r="I46" s="20" t="s">
        <v>22</v>
      </c>
    </row>
    <row r="47" s="12" customFormat="1" ht="29.1" customHeight="1" spans="1:9">
      <c r="A47" s="17">
        <v>45</v>
      </c>
      <c r="B47" s="17" t="s">
        <v>151</v>
      </c>
      <c r="C47" s="17" t="s">
        <v>181</v>
      </c>
      <c r="D47" s="17">
        <v>0.41</v>
      </c>
      <c r="E47" s="17">
        <v>0.31</v>
      </c>
      <c r="F47" s="17">
        <v>1</v>
      </c>
      <c r="G47" s="17">
        <v>13</v>
      </c>
      <c r="H47" s="18">
        <f t="shared" si="4"/>
        <v>1.6523</v>
      </c>
      <c r="I47" s="20" t="s">
        <v>22</v>
      </c>
    </row>
    <row r="48" s="12" customFormat="1" ht="29.1" customHeight="1" spans="1:9">
      <c r="A48" s="17">
        <v>46</v>
      </c>
      <c r="B48" s="17" t="s">
        <v>151</v>
      </c>
      <c r="C48" s="17" t="s">
        <v>175</v>
      </c>
      <c r="D48" s="17">
        <v>2.11</v>
      </c>
      <c r="E48" s="17">
        <v>0.76</v>
      </c>
      <c r="F48" s="17">
        <v>1</v>
      </c>
      <c r="G48" s="17">
        <v>1</v>
      </c>
      <c r="H48" s="18">
        <f t="shared" si="4"/>
        <v>1.6036</v>
      </c>
      <c r="I48" s="20" t="s">
        <v>176</v>
      </c>
    </row>
    <row r="49" s="12" customFormat="1" ht="29.1" customHeight="1" spans="1:9">
      <c r="A49" s="17">
        <v>47</v>
      </c>
      <c r="B49" s="17" t="s">
        <v>151</v>
      </c>
      <c r="C49" s="17" t="s">
        <v>175</v>
      </c>
      <c r="D49" s="17">
        <v>2.11</v>
      </c>
      <c r="E49" s="17">
        <v>0.76</v>
      </c>
      <c r="F49" s="17">
        <v>5</v>
      </c>
      <c r="G49" s="17">
        <v>25</v>
      </c>
      <c r="H49" s="18">
        <f t="shared" si="4"/>
        <v>200.45</v>
      </c>
      <c r="I49" s="20" t="s">
        <v>176</v>
      </c>
    </row>
    <row r="50" s="12" customFormat="1" ht="29.1" customHeight="1" spans="1:9">
      <c r="A50" s="17">
        <v>48</v>
      </c>
      <c r="B50" s="17" t="s">
        <v>151</v>
      </c>
      <c r="C50" s="17" t="s">
        <v>185</v>
      </c>
      <c r="D50" s="17">
        <v>2.06</v>
      </c>
      <c r="E50" s="17">
        <v>0.96</v>
      </c>
      <c r="F50" s="17">
        <v>1</v>
      </c>
      <c r="G50" s="17">
        <v>2</v>
      </c>
      <c r="H50" s="18">
        <f t="shared" si="4"/>
        <v>3.9552</v>
      </c>
      <c r="I50" s="20" t="s">
        <v>176</v>
      </c>
    </row>
    <row r="51" s="12" customFormat="1" ht="29.1" customHeight="1" spans="1:9">
      <c r="A51" s="17">
        <v>49</v>
      </c>
      <c r="B51" s="17" t="s">
        <v>151</v>
      </c>
      <c r="C51" s="17" t="s">
        <v>186</v>
      </c>
      <c r="D51" s="17">
        <v>1.66</v>
      </c>
      <c r="E51" s="17">
        <v>1.36</v>
      </c>
      <c r="F51" s="17">
        <v>1</v>
      </c>
      <c r="G51" s="17">
        <v>1</v>
      </c>
      <c r="H51" s="18">
        <f t="shared" si="4"/>
        <v>2.2576</v>
      </c>
      <c r="I51" s="20" t="s">
        <v>176</v>
      </c>
    </row>
    <row r="52" s="12" customFormat="1" ht="29.1" customHeight="1" spans="1:9">
      <c r="A52" s="17">
        <v>50</v>
      </c>
      <c r="B52" s="17" t="s">
        <v>151</v>
      </c>
      <c r="C52" s="17" t="s">
        <v>187</v>
      </c>
      <c r="D52" s="17">
        <v>1.66</v>
      </c>
      <c r="E52" s="17">
        <v>0.96</v>
      </c>
      <c r="F52" s="17">
        <v>1</v>
      </c>
      <c r="G52" s="17">
        <v>2</v>
      </c>
      <c r="H52" s="18">
        <f t="shared" si="4"/>
        <v>3.1872</v>
      </c>
      <c r="I52" s="20" t="s">
        <v>176</v>
      </c>
    </row>
    <row r="53" s="12" customFormat="1" ht="29.1" customHeight="1" spans="1:9">
      <c r="A53" s="17">
        <v>51</v>
      </c>
      <c r="B53" s="17" t="s">
        <v>151</v>
      </c>
      <c r="C53" s="17" t="s">
        <v>183</v>
      </c>
      <c r="D53" s="17">
        <v>0.86</v>
      </c>
      <c r="E53" s="17">
        <v>0.56</v>
      </c>
      <c r="F53" s="17">
        <v>5</v>
      </c>
      <c r="G53" s="17">
        <v>1</v>
      </c>
      <c r="H53" s="18">
        <f t="shared" si="4"/>
        <v>2.408</v>
      </c>
      <c r="I53" s="20" t="s">
        <v>22</v>
      </c>
    </row>
    <row r="54" s="12" customFormat="1" ht="29.1" customHeight="1" spans="1:9">
      <c r="A54" s="17">
        <v>52</v>
      </c>
      <c r="B54" s="17" t="s">
        <v>151</v>
      </c>
      <c r="C54" s="17" t="s">
        <v>188</v>
      </c>
      <c r="D54" s="17">
        <v>0.86</v>
      </c>
      <c r="E54" s="17">
        <v>1.26</v>
      </c>
      <c r="F54" s="17">
        <v>1</v>
      </c>
      <c r="G54" s="17">
        <v>1</v>
      </c>
      <c r="H54" s="18">
        <f t="shared" si="4"/>
        <v>1.0836</v>
      </c>
      <c r="I54" s="20" t="s">
        <v>22</v>
      </c>
    </row>
    <row r="55" s="12" customFormat="1" ht="29.1" customHeight="1" spans="1:9">
      <c r="A55" s="17">
        <v>53</v>
      </c>
      <c r="B55" s="17" t="s">
        <v>151</v>
      </c>
      <c r="C55" s="17" t="s">
        <v>189</v>
      </c>
      <c r="D55" s="17">
        <v>0.86</v>
      </c>
      <c r="E55" s="17">
        <v>0.51</v>
      </c>
      <c r="F55" s="17">
        <v>1</v>
      </c>
      <c r="G55" s="17">
        <v>2</v>
      </c>
      <c r="H55" s="18">
        <f t="shared" si="4"/>
        <v>0.8772</v>
      </c>
      <c r="I55" s="20" t="s">
        <v>22</v>
      </c>
    </row>
    <row r="56" s="12" customFormat="1" ht="29.1" customHeight="1" spans="1:9">
      <c r="A56" s="17">
        <v>54</v>
      </c>
      <c r="B56" s="17" t="s">
        <v>151</v>
      </c>
      <c r="C56" s="17" t="s">
        <v>190</v>
      </c>
      <c r="D56" s="17">
        <v>1.76</v>
      </c>
      <c r="E56" s="17">
        <v>0.71</v>
      </c>
      <c r="F56" s="17">
        <v>1</v>
      </c>
      <c r="G56" s="17">
        <v>1</v>
      </c>
      <c r="H56" s="18">
        <f t="shared" si="4"/>
        <v>1.2496</v>
      </c>
      <c r="I56" s="20" t="s">
        <v>22</v>
      </c>
    </row>
    <row r="57" s="12" customFormat="1" ht="29.1" customHeight="1" spans="1:9">
      <c r="A57" s="17">
        <v>55</v>
      </c>
      <c r="B57" s="17" t="s">
        <v>151</v>
      </c>
      <c r="C57" s="17" t="s">
        <v>191</v>
      </c>
      <c r="D57" s="17">
        <v>0.66</v>
      </c>
      <c r="E57" s="17">
        <v>0.71</v>
      </c>
      <c r="F57" s="17">
        <v>1</v>
      </c>
      <c r="G57" s="17">
        <v>1</v>
      </c>
      <c r="H57" s="18">
        <f t="shared" si="4"/>
        <v>0.4686</v>
      </c>
      <c r="I57" s="20" t="s">
        <v>22</v>
      </c>
    </row>
    <row r="58" s="12" customFormat="1" ht="29.1" customHeight="1" spans="1:9">
      <c r="A58" s="17">
        <v>56</v>
      </c>
      <c r="B58" s="17" t="s">
        <v>151</v>
      </c>
      <c r="C58" s="17" t="s">
        <v>192</v>
      </c>
      <c r="D58" s="17">
        <v>0.66</v>
      </c>
      <c r="E58" s="17">
        <v>1.46</v>
      </c>
      <c r="F58" s="17">
        <v>1</v>
      </c>
      <c r="G58" s="17">
        <v>1</v>
      </c>
      <c r="H58" s="18">
        <f t="shared" si="4"/>
        <v>0.9636</v>
      </c>
      <c r="I58" s="20" t="s">
        <v>22</v>
      </c>
    </row>
    <row r="59" s="12" customFormat="1" ht="29.1" customHeight="1" spans="1:9">
      <c r="A59" s="17">
        <v>57</v>
      </c>
      <c r="B59" s="17" t="s">
        <v>151</v>
      </c>
      <c r="C59" s="17" t="s">
        <v>193</v>
      </c>
      <c r="D59" s="17">
        <v>0.86</v>
      </c>
      <c r="E59" s="17">
        <v>0.46</v>
      </c>
      <c r="F59" s="17">
        <v>2</v>
      </c>
      <c r="G59" s="17">
        <v>1</v>
      </c>
      <c r="H59" s="18">
        <f t="shared" si="4"/>
        <v>0.7912</v>
      </c>
      <c r="I59" s="20" t="s">
        <v>22</v>
      </c>
    </row>
    <row r="60" s="12" customFormat="1" ht="29.1" customHeight="1" spans="1:9">
      <c r="A60" s="17">
        <v>58</v>
      </c>
      <c r="B60" s="17" t="s">
        <v>151</v>
      </c>
      <c r="C60" s="17" t="s">
        <v>194</v>
      </c>
      <c r="D60" s="17">
        <v>0.86</v>
      </c>
      <c r="E60" s="17">
        <v>1.46</v>
      </c>
      <c r="F60" s="17">
        <v>1</v>
      </c>
      <c r="G60" s="17">
        <v>1</v>
      </c>
      <c r="H60" s="18">
        <f t="shared" si="4"/>
        <v>1.2556</v>
      </c>
      <c r="I60" s="20" t="s">
        <v>22</v>
      </c>
    </row>
    <row r="61" s="12" customFormat="1" ht="29.1" customHeight="1" spans="1:9">
      <c r="A61" s="17">
        <v>59</v>
      </c>
      <c r="B61" s="17" t="s">
        <v>151</v>
      </c>
      <c r="C61" s="17" t="s">
        <v>180</v>
      </c>
      <c r="D61" s="17">
        <v>0.96</v>
      </c>
      <c r="E61" s="17">
        <v>0.66</v>
      </c>
      <c r="F61" s="17">
        <v>4</v>
      </c>
      <c r="G61" s="17">
        <v>1</v>
      </c>
      <c r="H61" s="18">
        <f t="shared" ref="H61:H79" si="5">D61*E61*F61*G61</f>
        <v>2.5344</v>
      </c>
      <c r="I61" s="20" t="s">
        <v>22</v>
      </c>
    </row>
    <row r="62" s="12" customFormat="1" ht="29.1" customHeight="1" spans="1:9">
      <c r="A62" s="17">
        <v>60</v>
      </c>
      <c r="B62" s="17" t="s">
        <v>151</v>
      </c>
      <c r="C62" s="17" t="s">
        <v>180</v>
      </c>
      <c r="D62" s="17">
        <v>0.86</v>
      </c>
      <c r="E62" s="17">
        <v>1.56</v>
      </c>
      <c r="F62" s="17">
        <v>1</v>
      </c>
      <c r="G62" s="17">
        <v>1</v>
      </c>
      <c r="H62" s="18">
        <f t="shared" si="5"/>
        <v>1.3416</v>
      </c>
      <c r="I62" s="20" t="s">
        <v>22</v>
      </c>
    </row>
    <row r="63" s="12" customFormat="1" ht="29.1" customHeight="1" spans="1:9">
      <c r="A63" s="17">
        <v>61</v>
      </c>
      <c r="B63" s="17" t="s">
        <v>151</v>
      </c>
      <c r="C63" s="17" t="s">
        <v>180</v>
      </c>
      <c r="D63" s="17">
        <v>0.96</v>
      </c>
      <c r="E63" s="17">
        <v>0.76</v>
      </c>
      <c r="F63" s="17">
        <v>2</v>
      </c>
      <c r="G63" s="17">
        <v>1</v>
      </c>
      <c r="H63" s="18">
        <f t="shared" si="5"/>
        <v>1.4592</v>
      </c>
      <c r="I63" s="20" t="s">
        <v>22</v>
      </c>
    </row>
    <row r="64" s="12" customFormat="1" ht="29.1" customHeight="1" spans="1:9">
      <c r="A64" s="17">
        <v>62</v>
      </c>
      <c r="B64" s="17" t="s">
        <v>151</v>
      </c>
      <c r="C64" s="17" t="s">
        <v>180</v>
      </c>
      <c r="D64" s="17">
        <v>0.86</v>
      </c>
      <c r="E64" s="17">
        <v>1.46</v>
      </c>
      <c r="F64" s="17">
        <v>3</v>
      </c>
      <c r="G64" s="17">
        <v>1</v>
      </c>
      <c r="H64" s="18">
        <f t="shared" si="5"/>
        <v>3.7668</v>
      </c>
      <c r="I64" s="20" t="s">
        <v>22</v>
      </c>
    </row>
    <row r="65" s="12" customFormat="1" ht="29.1" customHeight="1" spans="1:9">
      <c r="A65" s="17">
        <v>63</v>
      </c>
      <c r="B65" s="17" t="s">
        <v>151</v>
      </c>
      <c r="C65" s="17" t="s">
        <v>180</v>
      </c>
      <c r="D65" s="17">
        <v>0.96</v>
      </c>
      <c r="E65" s="17">
        <v>0.56</v>
      </c>
      <c r="F65" s="17">
        <v>2</v>
      </c>
      <c r="G65" s="17">
        <v>1</v>
      </c>
      <c r="H65" s="18">
        <f t="shared" si="5"/>
        <v>1.0752</v>
      </c>
      <c r="I65" s="20" t="s">
        <v>22</v>
      </c>
    </row>
    <row r="66" s="12" customFormat="1" ht="29.1" customHeight="1" spans="1:9">
      <c r="A66" s="17">
        <v>64</v>
      </c>
      <c r="B66" s="17" t="s">
        <v>155</v>
      </c>
      <c r="C66" s="17" t="s">
        <v>175</v>
      </c>
      <c r="D66" s="17">
        <v>2.11</v>
      </c>
      <c r="E66" s="17">
        <v>0.76</v>
      </c>
      <c r="F66" s="17">
        <v>4</v>
      </c>
      <c r="G66" s="17">
        <v>11</v>
      </c>
      <c r="H66" s="18">
        <f t="shared" si="5"/>
        <v>70.5584</v>
      </c>
      <c r="I66" s="20" t="s">
        <v>176</v>
      </c>
    </row>
    <row r="67" s="12" customFormat="1" ht="29.1" customHeight="1" spans="1:9">
      <c r="A67" s="17">
        <v>65</v>
      </c>
      <c r="B67" s="17" t="s">
        <v>155</v>
      </c>
      <c r="C67" s="17" t="s">
        <v>177</v>
      </c>
      <c r="D67" s="17">
        <v>2.11</v>
      </c>
      <c r="E67" s="17">
        <v>0.81</v>
      </c>
      <c r="F67" s="17">
        <v>1</v>
      </c>
      <c r="G67" s="17">
        <v>11</v>
      </c>
      <c r="H67" s="18">
        <f t="shared" si="5"/>
        <v>18.8001</v>
      </c>
      <c r="I67" s="20" t="s">
        <v>176</v>
      </c>
    </row>
    <row r="68" s="12" customFormat="1" ht="29.1" customHeight="1" spans="1:9">
      <c r="A68" s="17">
        <v>66</v>
      </c>
      <c r="B68" s="17" t="s">
        <v>155</v>
      </c>
      <c r="C68" s="17" t="s">
        <v>178</v>
      </c>
      <c r="D68" s="17">
        <v>2.11</v>
      </c>
      <c r="E68" s="17">
        <v>0.96</v>
      </c>
      <c r="F68" s="17">
        <v>4</v>
      </c>
      <c r="G68" s="17">
        <v>11</v>
      </c>
      <c r="H68" s="18">
        <f t="shared" si="5"/>
        <v>89.1264</v>
      </c>
      <c r="I68" s="20" t="s">
        <v>176</v>
      </c>
    </row>
    <row r="69" s="12" customFormat="1" ht="29.1" customHeight="1" spans="1:9">
      <c r="A69" s="17">
        <v>67</v>
      </c>
      <c r="B69" s="17" t="s">
        <v>155</v>
      </c>
      <c r="C69" s="17" t="s">
        <v>179</v>
      </c>
      <c r="D69" s="17">
        <v>2.11</v>
      </c>
      <c r="E69" s="17">
        <v>1.06</v>
      </c>
      <c r="F69" s="17">
        <v>1</v>
      </c>
      <c r="G69" s="17">
        <v>11</v>
      </c>
      <c r="H69" s="18">
        <f t="shared" si="5"/>
        <v>24.6026</v>
      </c>
      <c r="I69" s="20" t="s">
        <v>176</v>
      </c>
    </row>
    <row r="70" s="12" customFormat="1" ht="29.1" customHeight="1" spans="1:9">
      <c r="A70" s="17">
        <v>68</v>
      </c>
      <c r="B70" s="17" t="s">
        <v>155</v>
      </c>
      <c r="C70" s="17" t="s">
        <v>180</v>
      </c>
      <c r="D70" s="17">
        <v>0.96</v>
      </c>
      <c r="E70" s="17">
        <v>1.26</v>
      </c>
      <c r="F70" s="17">
        <v>1</v>
      </c>
      <c r="G70" s="17">
        <v>1</v>
      </c>
      <c r="H70" s="18">
        <f t="shared" si="5"/>
        <v>1.2096</v>
      </c>
      <c r="I70" s="20" t="s">
        <v>22</v>
      </c>
    </row>
    <row r="71" s="12" customFormat="1" ht="29.1" customHeight="1" spans="1:9">
      <c r="A71" s="17">
        <v>69</v>
      </c>
      <c r="B71" s="17" t="s">
        <v>155</v>
      </c>
      <c r="C71" s="17" t="s">
        <v>180</v>
      </c>
      <c r="D71" s="17">
        <v>0.96</v>
      </c>
      <c r="E71" s="17">
        <v>1.16</v>
      </c>
      <c r="F71" s="17">
        <v>1</v>
      </c>
      <c r="G71" s="17">
        <v>1</v>
      </c>
      <c r="H71" s="18">
        <f t="shared" si="5"/>
        <v>1.1136</v>
      </c>
      <c r="I71" s="20" t="s">
        <v>22</v>
      </c>
    </row>
    <row r="72" s="12" customFormat="1" ht="29.1" customHeight="1" spans="1:9">
      <c r="A72" s="17">
        <v>70</v>
      </c>
      <c r="B72" s="17" t="s">
        <v>159</v>
      </c>
      <c r="C72" s="17" t="s">
        <v>175</v>
      </c>
      <c r="D72" s="17">
        <v>2.11</v>
      </c>
      <c r="E72" s="17">
        <v>0.76</v>
      </c>
      <c r="F72" s="17">
        <v>4</v>
      </c>
      <c r="G72" s="17">
        <v>11</v>
      </c>
      <c r="H72" s="18">
        <f t="shared" si="5"/>
        <v>70.5584</v>
      </c>
      <c r="I72" s="20" t="s">
        <v>176</v>
      </c>
    </row>
    <row r="73" s="12" customFormat="1" ht="29.1" customHeight="1" spans="1:9">
      <c r="A73" s="17">
        <v>71</v>
      </c>
      <c r="B73" s="17" t="s">
        <v>159</v>
      </c>
      <c r="C73" s="17" t="s">
        <v>177</v>
      </c>
      <c r="D73" s="17">
        <v>2.11</v>
      </c>
      <c r="E73" s="17">
        <v>0.81</v>
      </c>
      <c r="F73" s="17">
        <v>1</v>
      </c>
      <c r="G73" s="17">
        <v>11</v>
      </c>
      <c r="H73" s="18">
        <f t="shared" si="5"/>
        <v>18.8001</v>
      </c>
      <c r="I73" s="20" t="s">
        <v>176</v>
      </c>
    </row>
    <row r="74" s="12" customFormat="1" ht="29.1" customHeight="1" spans="1:9">
      <c r="A74" s="17">
        <v>72</v>
      </c>
      <c r="B74" s="17" t="s">
        <v>159</v>
      </c>
      <c r="C74" s="17" t="s">
        <v>178</v>
      </c>
      <c r="D74" s="17">
        <v>2.11</v>
      </c>
      <c r="E74" s="17">
        <v>0.96</v>
      </c>
      <c r="F74" s="17">
        <v>4</v>
      </c>
      <c r="G74" s="17">
        <v>11</v>
      </c>
      <c r="H74" s="18">
        <f t="shared" si="5"/>
        <v>89.1264</v>
      </c>
      <c r="I74" s="20" t="s">
        <v>176</v>
      </c>
    </row>
    <row r="75" s="12" customFormat="1" ht="29.1" customHeight="1" spans="1:9">
      <c r="A75" s="17">
        <v>73</v>
      </c>
      <c r="B75" s="17" t="s">
        <v>159</v>
      </c>
      <c r="C75" s="17" t="s">
        <v>179</v>
      </c>
      <c r="D75" s="17">
        <v>2.11</v>
      </c>
      <c r="E75" s="17">
        <v>1.06</v>
      </c>
      <c r="F75" s="17">
        <v>1</v>
      </c>
      <c r="G75" s="17">
        <v>11</v>
      </c>
      <c r="H75" s="18">
        <f t="shared" si="5"/>
        <v>24.6026</v>
      </c>
      <c r="I75" s="20" t="s">
        <v>176</v>
      </c>
    </row>
    <row r="76" s="12" customFormat="1" ht="29.1" customHeight="1" spans="1:9">
      <c r="A76" s="17">
        <v>74</v>
      </c>
      <c r="B76" s="17" t="s">
        <v>160</v>
      </c>
      <c r="C76" s="17" t="s">
        <v>175</v>
      </c>
      <c r="D76" s="17">
        <v>2.11</v>
      </c>
      <c r="E76" s="17">
        <v>0.76</v>
      </c>
      <c r="F76" s="17">
        <v>4</v>
      </c>
      <c r="G76" s="17">
        <v>11</v>
      </c>
      <c r="H76" s="18">
        <f t="shared" si="5"/>
        <v>70.5584</v>
      </c>
      <c r="I76" s="20" t="s">
        <v>176</v>
      </c>
    </row>
    <row r="77" s="12" customFormat="1" ht="29.1" customHeight="1" spans="1:9">
      <c r="A77" s="17">
        <v>75</v>
      </c>
      <c r="B77" s="17" t="s">
        <v>160</v>
      </c>
      <c r="C77" s="17" t="s">
        <v>178</v>
      </c>
      <c r="D77" s="17">
        <v>2.11</v>
      </c>
      <c r="E77" s="17">
        <v>0.81</v>
      </c>
      <c r="F77" s="17">
        <v>4</v>
      </c>
      <c r="G77" s="17">
        <v>11</v>
      </c>
      <c r="H77" s="18">
        <f t="shared" si="5"/>
        <v>75.2004</v>
      </c>
      <c r="I77" s="20" t="s">
        <v>176</v>
      </c>
    </row>
    <row r="78" s="12" customFormat="1" ht="29.1" customHeight="1" spans="1:9">
      <c r="A78" s="17">
        <v>76</v>
      </c>
      <c r="B78" s="17" t="s">
        <v>160</v>
      </c>
      <c r="C78" s="17" t="s">
        <v>180</v>
      </c>
      <c r="D78" s="17">
        <v>0.86</v>
      </c>
      <c r="E78" s="17">
        <v>1.46</v>
      </c>
      <c r="F78" s="17">
        <v>1</v>
      </c>
      <c r="G78" s="17">
        <v>1</v>
      </c>
      <c r="H78" s="18">
        <f t="shared" si="5"/>
        <v>1.2556</v>
      </c>
      <c r="I78" s="20" t="s">
        <v>22</v>
      </c>
    </row>
    <row r="79" s="12" customFormat="1" ht="29.1" customHeight="1" spans="1:9">
      <c r="A79" s="17">
        <v>77</v>
      </c>
      <c r="B79" s="17" t="s">
        <v>160</v>
      </c>
      <c r="C79" s="17" t="s">
        <v>180</v>
      </c>
      <c r="D79" s="17">
        <v>0.96</v>
      </c>
      <c r="E79" s="17">
        <v>0.56</v>
      </c>
      <c r="F79" s="17">
        <v>1</v>
      </c>
      <c r="G79" s="17">
        <v>1</v>
      </c>
      <c r="H79" s="18">
        <f t="shared" si="5"/>
        <v>0.5376</v>
      </c>
      <c r="I79" s="20" t="s">
        <v>22</v>
      </c>
    </row>
    <row r="80" s="11" customFormat="1" ht="27" customHeight="1" spans="1:9">
      <c r="A80" s="17">
        <v>78</v>
      </c>
      <c r="B80" s="15" t="s">
        <v>51</v>
      </c>
      <c r="C80" s="15"/>
      <c r="D80" s="15"/>
      <c r="E80" s="15"/>
      <c r="F80" s="15"/>
      <c r="G80" s="15"/>
      <c r="H80" s="16">
        <f>SUM(H3:H79)</f>
        <v>3280.3702</v>
      </c>
      <c r="I80" s="19"/>
    </row>
  </sheetData>
  <autoFilter xmlns:etc="http://www.wps.cn/officeDocument/2017/etCustomData" ref="A1:L80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workbookViewId="0">
      <selection activeCell="B24" sqref="B24"/>
    </sheetView>
  </sheetViews>
  <sheetFormatPr defaultColWidth="9" defaultRowHeight="14.4"/>
  <cols>
    <col min="1" max="1" width="23.1296296296296" customWidth="1"/>
    <col min="2" max="2" width="5.37962962962963" customWidth="1"/>
    <col min="3" max="3" width="5.12962962962963" customWidth="1"/>
    <col min="4" max="4" width="12.6296296296296" style="1"/>
  </cols>
  <sheetData>
    <row r="1" spans="1:11">
      <c r="A1" s="2" t="s">
        <v>195</v>
      </c>
      <c r="B1" s="2" t="s">
        <v>196</v>
      </c>
      <c r="C1" s="2" t="s">
        <v>2</v>
      </c>
      <c r="D1" s="1" t="s">
        <v>197</v>
      </c>
      <c r="F1" s="3">
        <v>2.1</v>
      </c>
      <c r="G1" s="3">
        <v>2.1</v>
      </c>
      <c r="H1" s="3">
        <v>2</v>
      </c>
      <c r="I1" s="3">
        <v>1.9</v>
      </c>
      <c r="J1" s="10">
        <v>2.1</v>
      </c>
      <c r="K1" s="10">
        <v>1</v>
      </c>
    </row>
    <row r="2" spans="1:11">
      <c r="A2" s="4" t="s">
        <v>45</v>
      </c>
      <c r="B2" s="2">
        <v>6.68</v>
      </c>
      <c r="C2" s="2" t="s">
        <v>198</v>
      </c>
      <c r="D2" s="1">
        <v>1.484</v>
      </c>
      <c r="F2" s="3">
        <v>2</v>
      </c>
      <c r="G2" s="3">
        <v>2</v>
      </c>
      <c r="H2" s="3">
        <v>4</v>
      </c>
      <c r="I2" s="3">
        <v>3.6</v>
      </c>
      <c r="J2" s="3">
        <v>2</v>
      </c>
      <c r="K2" s="10">
        <v>1</v>
      </c>
    </row>
    <row r="3" spans="1:11">
      <c r="A3" s="4" t="s">
        <v>48</v>
      </c>
      <c r="B3" s="2">
        <v>4.45</v>
      </c>
      <c r="C3" s="2" t="s">
        <v>198</v>
      </c>
      <c r="D3" s="1">
        <v>0.989</v>
      </c>
      <c r="F3" s="3">
        <v>4.7</v>
      </c>
      <c r="G3" s="3">
        <v>4.7</v>
      </c>
      <c r="H3" s="3">
        <v>0.1</v>
      </c>
      <c r="I3" s="3">
        <v>0.1</v>
      </c>
      <c r="J3" s="3">
        <v>6</v>
      </c>
      <c r="K3" s="3">
        <v>2</v>
      </c>
    </row>
    <row r="4" spans="1:11">
      <c r="A4" s="4" t="s">
        <v>49</v>
      </c>
      <c r="B4" s="2">
        <v>2.1</v>
      </c>
      <c r="C4" s="2" t="s">
        <v>198</v>
      </c>
      <c r="D4" s="1">
        <v>0.467</v>
      </c>
      <c r="F4" s="3">
        <v>0.1</v>
      </c>
      <c r="G4" s="3">
        <v>0.1</v>
      </c>
      <c r="J4" s="3">
        <v>0.1</v>
      </c>
      <c r="K4" s="3">
        <v>4.8</v>
      </c>
    </row>
    <row r="5" spans="1:11">
      <c r="A5" s="4" t="s">
        <v>73</v>
      </c>
      <c r="B5" s="2">
        <v>3.46</v>
      </c>
      <c r="C5" s="2" t="s">
        <v>198</v>
      </c>
      <c r="D5" s="1">
        <v>0.769</v>
      </c>
      <c r="K5" s="3">
        <v>0.1</v>
      </c>
    </row>
    <row r="6" spans="1:4">
      <c r="A6" s="4" t="s">
        <v>74</v>
      </c>
      <c r="B6" s="2">
        <v>1.76</v>
      </c>
      <c r="C6" s="2" t="s">
        <v>198</v>
      </c>
      <c r="D6" s="1">
        <v>0.391</v>
      </c>
    </row>
    <row r="7" spans="1:4">
      <c r="A7" s="4" t="s">
        <v>78</v>
      </c>
      <c r="B7" s="2">
        <v>8.32</v>
      </c>
      <c r="C7" s="2" t="s">
        <v>198</v>
      </c>
      <c r="D7" s="1">
        <v>1.849</v>
      </c>
    </row>
    <row r="8" spans="1:4">
      <c r="A8" s="4" t="s">
        <v>79</v>
      </c>
      <c r="B8" s="2">
        <v>4.99</v>
      </c>
      <c r="C8" s="2" t="s">
        <v>198</v>
      </c>
      <c r="D8" s="1">
        <v>1.109</v>
      </c>
    </row>
    <row r="9" spans="1:4">
      <c r="A9" s="4" t="s">
        <v>84</v>
      </c>
      <c r="B9" s="2">
        <v>2.66</v>
      </c>
      <c r="C9" s="2" t="s">
        <v>198</v>
      </c>
      <c r="D9" s="1">
        <v>0.591</v>
      </c>
    </row>
    <row r="10" spans="1:3">
      <c r="A10" s="5" t="s">
        <v>80</v>
      </c>
      <c r="B10" s="2">
        <v>1.5</v>
      </c>
      <c r="C10" s="2" t="s">
        <v>54</v>
      </c>
    </row>
    <row r="11" spans="1:3">
      <c r="A11" s="6" t="s">
        <v>53</v>
      </c>
      <c r="B11" s="2">
        <v>0.8</v>
      </c>
      <c r="C11" s="2" t="s">
        <v>54</v>
      </c>
    </row>
    <row r="12" spans="1:3">
      <c r="A12" s="6" t="s">
        <v>55</v>
      </c>
      <c r="B12" s="2">
        <v>3</v>
      </c>
      <c r="C12" s="2" t="s">
        <v>56</v>
      </c>
    </row>
    <row r="13" spans="1:3">
      <c r="A13" s="6" t="s">
        <v>57</v>
      </c>
      <c r="B13" s="2">
        <v>1.5</v>
      </c>
      <c r="C13" s="2" t="s">
        <v>54</v>
      </c>
    </row>
    <row r="14" spans="1:3">
      <c r="A14" s="6" t="s">
        <v>58</v>
      </c>
      <c r="B14" s="2">
        <v>1.5</v>
      </c>
      <c r="C14" s="2" t="s">
        <v>54</v>
      </c>
    </row>
    <row r="15" spans="1:3">
      <c r="A15" s="6" t="s">
        <v>82</v>
      </c>
      <c r="B15" s="2">
        <v>30</v>
      </c>
      <c r="C15" s="2" t="s">
        <v>198</v>
      </c>
    </row>
    <row r="16" spans="1:3">
      <c r="A16" s="6" t="s">
        <v>50</v>
      </c>
      <c r="B16" s="2">
        <v>45</v>
      </c>
      <c r="C16" s="2" t="s">
        <v>46</v>
      </c>
    </row>
    <row r="17" spans="1:3">
      <c r="A17" s="4" t="s">
        <v>59</v>
      </c>
      <c r="B17" s="2">
        <v>3</v>
      </c>
      <c r="C17" s="2" t="s">
        <v>9</v>
      </c>
    </row>
    <row r="18" spans="1:3">
      <c r="A18" s="7" t="s">
        <v>98</v>
      </c>
      <c r="B18" s="7">
        <v>0.33</v>
      </c>
      <c r="C18" t="s">
        <v>46</v>
      </c>
    </row>
    <row r="19" ht="21.6" spans="1:3">
      <c r="A19" s="7" t="s">
        <v>99</v>
      </c>
      <c r="B19" s="7">
        <v>0.46</v>
      </c>
      <c r="C19" t="s">
        <v>46</v>
      </c>
    </row>
    <row r="20" ht="21.6" spans="1:3">
      <c r="A20" s="7" t="s">
        <v>100</v>
      </c>
      <c r="B20" s="7">
        <v>0.44</v>
      </c>
      <c r="C20" t="s">
        <v>46</v>
      </c>
    </row>
    <row r="21" spans="1:3">
      <c r="A21" s="7" t="s">
        <v>102</v>
      </c>
      <c r="B21" s="7">
        <v>3</v>
      </c>
      <c r="C21" t="s">
        <v>56</v>
      </c>
    </row>
    <row r="22" spans="1:3">
      <c r="A22" s="8" t="s">
        <v>104</v>
      </c>
      <c r="B22" s="8">
        <v>10</v>
      </c>
      <c r="C22" t="s">
        <v>105</v>
      </c>
    </row>
    <row r="23" spans="1:3">
      <c r="A23" s="8" t="s">
        <v>106</v>
      </c>
      <c r="B23" s="8">
        <v>15</v>
      </c>
      <c r="C23" t="s">
        <v>105</v>
      </c>
    </row>
    <row r="24" spans="1:3">
      <c r="A24" s="9" t="s">
        <v>107</v>
      </c>
      <c r="B24" s="9">
        <v>10</v>
      </c>
      <c r="C24" t="s">
        <v>9</v>
      </c>
    </row>
    <row r="25" spans="1:3">
      <c r="A25" s="9" t="s">
        <v>109</v>
      </c>
      <c r="B25" s="9">
        <v>3</v>
      </c>
      <c r="C25" t="s">
        <v>9</v>
      </c>
    </row>
    <row r="139" spans="6:6">
      <c r="F139" s="10"/>
    </row>
    <row r="140" spans="6:6">
      <c r="F140" s="10">
        <v>0.4</v>
      </c>
    </row>
    <row r="141" spans="6:6">
      <c r="F141" s="3">
        <v>0.1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01、价格清单</vt:lpstr>
      <vt:lpstr>02、栏杆综合单价分析表 </vt:lpstr>
      <vt:lpstr>03、铝合金百综合单价分析表</vt:lpstr>
      <vt:lpstr>04、栏杆工程量计算书</vt:lpstr>
      <vt:lpstr>05、百叶工程量计算书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2020-12-05T09:38:00Z</dcterms:created>
  <dcterms:modified xsi:type="dcterms:W3CDTF">2024-08-20T07:26:13Z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A2BB59E781404D0C9D3E1B784C60945A</vt:lpwstr>
  </property>
  <property fmtid="{D5CDD505-2E9C-101B-9397-08002B2CF9AE}" pid="4" name="KSOReadingLayout">
    <vt:bool>true</vt:bool>
  </property>
</Properties>
</file>