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717" activeTab="6"/>
  </bookViews>
  <sheets>
    <sheet name="清单报价说明" sheetId="7" r:id="rId1"/>
    <sheet name="汇总表" sheetId="9" r:id="rId2"/>
    <sheet name="硬质铺装" sheetId="1" r:id="rId3"/>
    <sheet name="绿植乔木" sheetId="10" r:id="rId4"/>
    <sheet name="绿植灌木" sheetId="11" r:id="rId5"/>
    <sheet name="景观水电" sheetId="24" r:id="rId6"/>
    <sheet name="外网雨污水 " sheetId="25" r:id="rId7"/>
    <sheet name="软装" sheetId="15" r:id="rId8"/>
    <sheet name="备选类" sheetId="17" r:id="rId9"/>
    <sheet name="WpsReserved_CellImgList" sheetId="20" state="veryHidden" r:id="rId10"/>
  </sheets>
  <externalReferences>
    <externalReference r:id="rId14"/>
  </externalReferences>
  <definedNames>
    <definedName name="_xlnm._FilterDatabase" localSheetId="5" hidden="1">景观水电!$A$4:$M$119</definedName>
    <definedName name="_xlnm._FilterDatabase" localSheetId="6" hidden="1">'外网雨污水 '!$A$3:$M$43</definedName>
    <definedName name="_xlnm._FilterDatabase" localSheetId="2" hidden="1">硬质铺装!$A$4:$O$268</definedName>
    <definedName name="_xlnm._FilterDatabase" localSheetId="3" hidden="1">绿植乔木!$A$3:$P$46</definedName>
    <definedName name="_xlnm.Print_Area" localSheetId="2">硬质铺装!$A$1:$N$94</definedName>
    <definedName name="_xlnm.Print_Area" localSheetId="8">备选类!$A$1:$F$7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56D0EA9EE3FA43F2BA82B39BD7569EB2" descr="upload_post_object_v2_4106971264"/>
        <xdr:cNvPicPr/>
      </xdr:nvPicPr>
      <xdr:blipFill>
        <a:blip r:embed="rId1"/>
        <a:stretch>
          <a:fillRect/>
        </a:stretch>
      </xdr:blipFill>
      <xdr:spPr>
        <a:xfrm>
          <a:off x="0" y="0"/>
          <a:ext cx="3429000" cy="2466975"/>
        </a:xfrm>
        <a:prstGeom prst="rect">
          <a:avLst/>
        </a:prstGeom>
      </xdr:spPr>
    </xdr:pic>
  </etc:cellImage>
  <etc:cellImage>
    <xdr:pic>
      <xdr:nvPicPr>
        <xdr:cNvPr id="4" name="ID_8E660536FBF3405AB369684DF2360221" descr="upload_post_object_v2_116583453"/>
        <xdr:cNvPicPr/>
      </xdr:nvPicPr>
      <xdr:blipFill>
        <a:blip r:embed="rId2"/>
        <a:stretch>
          <a:fillRect/>
        </a:stretch>
      </xdr:blipFill>
      <xdr:spPr>
        <a:xfrm>
          <a:off x="0" y="0"/>
          <a:ext cx="2819400" cy="2000250"/>
        </a:xfrm>
        <a:prstGeom prst="rect">
          <a:avLst/>
        </a:prstGeom>
      </xdr:spPr>
    </xdr:pic>
  </etc:cellImage>
</etc:cellImages>
</file>

<file path=xl/sharedStrings.xml><?xml version="1.0" encoding="utf-8"?>
<sst xmlns="http://schemas.openxmlformats.org/spreadsheetml/2006/main" count="1907" uniqueCount="902">
  <si>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</si>
  <si>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</si>
  <si>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</si>
  <si>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</si>
  <si>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</si>
  <si>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</si>
  <si>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综合单价包含了招标文件反映的所有内容和一个有经验的承包商应该预测到的其他常规必须要发生的费用，并考虑风险因素。</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</si>
  <si>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</si>
  <si>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</si>
  <si>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</si>
  <si>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计算范围</t>
  </si>
  <si>
    <t>一、总体范围</t>
  </si>
  <si>
    <t>1.本次招标范围为景观大区一期，即总图中所示非阴影区域，不含景观示范区及东侧二期区域，详见图纸一、二期景观分界线。</t>
  </si>
  <si>
    <t>2.本次设计土方工程开挖均按设计地面线标高开挖至相应垫层或沟底标高考虑。</t>
  </si>
  <si>
    <t>二、景观水电计算范围</t>
  </si>
  <si>
    <t>1.景观照明从就近箱变预留回路引至景观照明总箱、景观照明配管、配线、灯具等安装、调试。含景观照明系统、景墙照明系统、西侧大门电气系统、雾喷主机配电系统、喷泉泵配电系统等。</t>
  </si>
  <si>
    <t>2.景观给水从绿化水表井后管道开始计入至图示系统内所有内容，雾喷、景墙水景按图纸设计所有内容。</t>
  </si>
  <si>
    <t>三、雨污水管网计算范围</t>
  </si>
  <si>
    <t>1.雨水管网本次计算范围见雨水管道高程表，由起点Y1算至终点Y4；</t>
  </si>
  <si>
    <t>2.污水管网本次计算范围见污水管道高程表，由起点W1算至终点W23。</t>
  </si>
  <si>
    <t>3.主楼与室外污水检查井连接管道不在本次范围内。</t>
  </si>
  <si>
    <t>4.图中所有穿车行道的管网参照给排水设计说明，车行道下方管道按砼满包计入。</t>
  </si>
  <si>
    <t>5.雨污水与市政对接，穿红线外市政道路的顶管在本次范围内，破坏恢复市政路在本次范围内。</t>
  </si>
  <si>
    <t>6.雨污水清单中，暂定工程量为预估量，结算以现场实际工程量为准。</t>
  </si>
  <si>
    <t>四、硬质铺装计算范围</t>
  </si>
  <si>
    <t>1.按设计地面标高计入挖填方工程量，其余整个场区挖填土方均未计入本次，本次仅计入场地平整。</t>
  </si>
  <si>
    <t>2.坐凳详图中，18厚烧面卡西奥中灰仿石砖（弧形加工）下本次按计入。</t>
  </si>
  <si>
    <t>五、绿化部分计算范围</t>
  </si>
  <si>
    <t>1.绿化部分微地形按投影面积计入。</t>
  </si>
  <si>
    <t>2.含草绳及支撑。</t>
  </si>
  <si>
    <t>工程量计算说明</t>
  </si>
  <si>
    <r>
      <rPr>
        <sz val="10.5"/>
        <rFont val="楷体_GB2312"/>
        <charset val="134"/>
      </rPr>
      <t>（1）工程量计算规则除有特殊说明外，均执行《房屋建筑与装饰工程工程量计算规范》（GB-50854-2013）、《通用安装工程工程量计算规范》（GB-50856-2013）、《市政工程工程量计算规范》（GB-50857-2013）、《园林绿化工程工程量计算规范》（GB</t>
    </r>
    <r>
      <rPr>
        <sz val="10.5"/>
        <rFont val="Times New Roman"/>
        <charset val="0"/>
      </rPr>
      <t> </t>
    </r>
    <r>
      <rPr>
        <sz val="10.5"/>
        <rFont val="宋体"/>
        <charset val="134"/>
      </rPr>
      <t>50858-2013）中相关说明；</t>
    </r>
  </si>
  <si>
    <t>（2）所有金属构件及木作构件之上漆前后的表面处理及防腐处理﹑底漆、面漆以及柱包角、预埋件等均已含在综合单价中，不再另行计取；</t>
  </si>
  <si>
    <t>（3）清单中所有项目的饰面工程均包含结合层，木饰面工程和金属构件包含油漆及相关饰面做法，面砖、石材、玻璃及银镜均包含开洞、磨边、倒角、按型加工、包边等费用；</t>
  </si>
  <si>
    <r>
      <rPr>
        <sz val="10.5"/>
        <rFont val="楷体_GB2312"/>
        <charset val="134"/>
      </rPr>
      <t>（4）土方工程：
 1）投标单位根据现场土方交接标高及景观完成标高进行土方开挖或者回填，场内土方倒运包含于综合报价中，不再单独计取费用，现场施工所涉及到的场地土方平整及压实、堆地形、种植土换填（如需要）、小品基础开挖及回填、园林工程</t>
    </r>
    <r>
      <rPr>
        <b/>
        <sz val="10.5"/>
        <rFont val="宋体"/>
        <charset val="134"/>
      </rPr>
      <t>自身产生渣土外运</t>
    </r>
    <r>
      <rPr>
        <sz val="10.5"/>
        <rFont val="宋体"/>
        <charset val="134"/>
      </rPr>
      <t>等均包含在综合单价中，不再单独计取费用；
 2）土方回填界面：土方单位回填至景观施工设计标高，景观单位参与交界面验收合格，并承担后续工作，所有场内土方平衡费用均已综合考虑进各清单单价中，不再单独计取。</t>
    </r>
  </si>
  <si>
    <t>（5）园林绿化工程：
 1）苗木养护期按合同约定，养护期一切费用（包括但不限于水电、人工、材料、措施费等全部费用）自行承担；
 2）绿化种植费用已含造型起坡费用，不再另行计取。</t>
  </si>
  <si>
    <r>
      <rPr>
        <sz val="10.5"/>
        <rFont val="楷体_GB2312"/>
        <charset val="134"/>
      </rPr>
      <t>（6）园建工程：</t>
    </r>
    <r>
      <rPr>
        <b/>
        <sz val="10.5"/>
        <rFont val="宋体"/>
        <charset val="134"/>
      </rPr>
      <t xml:space="preserve">
</t>
    </r>
    <r>
      <rPr>
        <sz val="10.5"/>
        <rFont val="宋体"/>
        <charset val="134"/>
      </rPr>
      <t xml:space="preserve"> 1）所有铺装面层仅按材质及花色分类，大面铺装及收边铺装综合考虑，不再分别列项；
 2）面层铺装中，规格、假缝处理及异型切割所产生的材料加工、损耗等费用考虑在综合单价内；
 3）园建工程中收边收口、塞缝、封堵等相关费用考虑在综合单价内；
 4）所有铺装基层之混凝土单价须考虑规范及设计要求的分块浇筑留设伸缩缝﹐且包括相应伸缩缝之加强锚筋、嵌缝处理等一切工序,基层做法优先等级以此为：隐形道路＞人行道路；
 5）铺装按图纸及技术规范要求提供并铺贴以下材料，包括：场地平整、土方开挖、土方回填、路基碾压、碎石垫层、混凝土基层、模板、钢筋、水泥砂浆找平等，并包括锯板、磨边、圆弧、拼花、养护、抹面、压光、裁切、勾缝、道圆角清理净面等所需的一切物料、配件及工作内容。</t>
    </r>
  </si>
  <si>
    <r>
      <rPr>
        <sz val="10.5"/>
        <rFont val="楷体_GB2312"/>
        <charset val="134"/>
      </rPr>
      <t>（7）安装工程：</t>
    </r>
    <r>
      <rPr>
        <b/>
        <sz val="10.5"/>
        <rFont val="宋体"/>
        <charset val="134"/>
      </rPr>
      <t xml:space="preserve">
</t>
    </r>
    <r>
      <rPr>
        <sz val="10.5"/>
        <rFont val="宋体"/>
        <charset val="134"/>
      </rPr>
      <t xml:space="preserve"> 1）清单中所有电气及给排水工程中的管、线、电缆等内容的计算方式均按图纸计算，其他费用已包含在相应综合单价内，不再另行计取；
 2）清单中与管道、电气安装相关的调试、冲洗、打压、试验类等费用已包含在相应综合单价内，不再另行计取；
 3）塑料管管件单价综合考虑了弯头、三通、变径、铜丝接头等一切管道连接件的费用，已包含在相应综合单价内，不再另行计取（管件含量不予调整）。</t>
    </r>
  </si>
  <si>
    <t>洛宁山水文苑一期大区景观工程造价汇总表
（单位：元）</t>
  </si>
  <si>
    <t>序 号</t>
  </si>
  <si>
    <t>项目名称</t>
  </si>
  <si>
    <t>单位</t>
  </si>
  <si>
    <t>工程量</t>
  </si>
  <si>
    <t>含税金额 
(元)</t>
  </si>
  <si>
    <t>含税合计
(元)</t>
  </si>
  <si>
    <t>备注</t>
  </si>
  <si>
    <t>硬质铺装</t>
  </si>
  <si>
    <t>项</t>
  </si>
  <si>
    <t>绿植乔木</t>
  </si>
  <si>
    <t>绿植灌木</t>
  </si>
  <si>
    <t>景观水电</t>
  </si>
  <si>
    <t>外网雨污水</t>
  </si>
  <si>
    <t>软装</t>
  </si>
  <si>
    <t>合计</t>
  </si>
  <si>
    <t>元</t>
  </si>
  <si>
    <t>洛宁山水文苑一期大区景观工程硬质铺装清单及计价表</t>
  </si>
  <si>
    <t>序号</t>
  </si>
  <si>
    <t>项目特征描述</t>
  </si>
  <si>
    <t>工程量
g</t>
  </si>
  <si>
    <t>其中：各子项构成（元）</t>
  </si>
  <si>
    <t>含税固定综合单价(元)
f=(a+b+c+d+e)</t>
  </si>
  <si>
    <t>含税合价(元)=g*f</t>
  </si>
  <si>
    <t>主要材料品牌</t>
  </si>
  <si>
    <t>人工费
a</t>
  </si>
  <si>
    <t>主材费
b</t>
  </si>
  <si>
    <t>机械、辅材及其他c</t>
  </si>
  <si>
    <t>管理费、利润、措施、规费等一切费用
d=(a+b+c)*费率</t>
  </si>
  <si>
    <t>增值税专用发票税金
e=(a+b+c+d)*费率</t>
  </si>
  <si>
    <t>一</t>
  </si>
  <si>
    <t>地面铺装 LN-3.01、TY-01</t>
  </si>
  <si>
    <t>挖土方</t>
  </si>
  <si>
    <t>1.土壤类别：综合
2.挖土深度：详设计
3.开挖方式：人工、机械综合考虑   
4.多余土方运送场内指定位置
5.其它满足规范和设计图纸要求</t>
  </si>
  <si>
    <t>m3</t>
  </si>
  <si>
    <t>素土夯实</t>
  </si>
  <si>
    <t>1.素土夯实，密实度≥0.93
2.其它满足规范和设计图纸要求</t>
  </si>
  <si>
    <t>m2</t>
  </si>
  <si>
    <t>碎石垫层</t>
  </si>
  <si>
    <t>1.150厚级配碎石垫层，密实度≥0.93
2.其它说明：其它满足规范和设计图纸要求</t>
  </si>
  <si>
    <t>砼垫层（人行区域）</t>
  </si>
  <si>
    <t>1.混凝土强度等级:100厚C20砼垫层
2.混凝土拌合料要求：符合规范要求
3.模板安拆费用计入综合单价，支模方式综合考虑
4.其它满足规范和设计图纸要求</t>
  </si>
  <si>
    <t>砼垫层（车行区域）</t>
  </si>
  <si>
    <t>1.混凝土强度等级:200厚C20砼垫层
2.混凝土拌合料要求：符合规范要求
3.模板安拆费用计入综合单价，支模方式综合考虑
4.其它满足规范和设计图纸要求</t>
  </si>
  <si>
    <t>钢筋网</t>
  </si>
  <si>
    <t>1.车库顶板交界处C10@200双层双向钢筋
2.车库顶板外侧C25混凝土垫层处做20宽变形缝
3.本清单已包含钢筋及变形缝，其他做法按硬质铺装做法另列项计入
4.详见TY-01节点6
5.其它满足规范和设计图纸要求</t>
  </si>
  <si>
    <t>t</t>
  </si>
  <si>
    <t>植筋</t>
  </si>
  <si>
    <t>1.φ10化学植筋@150
2.植筋深度15d，长度按2100mm计入
3.详见TY-01节点4
4.其它满足规范和设计图纸要求</t>
  </si>
  <si>
    <t>烧面芝麻灰仿石砖</t>
  </si>
  <si>
    <t>1.18厚烧面芝麻灰仿石砖
2.30厚1：3干硬性水泥砂浆粘结层
3.其它满足规范和设计图纸要求</t>
  </si>
  <si>
    <t>贝亚特、广达、乔丰、万利、华鸿</t>
  </si>
  <si>
    <t>1.15厚烧面芝麻灰仿石砖
2.30厚1：3干硬性水泥砂浆粘结层
3.其它满足规范和设计图纸要求</t>
  </si>
  <si>
    <t>烧面福鼎黑仿石砖</t>
  </si>
  <si>
    <t>1.18厚烧面福鼎黑仿石砖
2.30厚1：3干硬性水泥砂浆粘结层
3.其它满足规范和设计图纸要求</t>
  </si>
  <si>
    <t>1.15厚 烧面福鼎黑仿石砖
2.30厚1：3干硬性水泥砂浆粘结层
3.其它满足规范和设计图纸要求</t>
  </si>
  <si>
    <t>绿色植草砖</t>
  </si>
  <si>
    <t>1.50厚 绿色植草砖
2.30厚1：3干硬性水泥砂浆粘结层
3.其它满足规范和设计图纸要求</t>
  </si>
  <si>
    <t>烧面芝麻黑仿石砖</t>
  </si>
  <si>
    <t>1.18厚烧面芝麻黑仿石砖
2.30厚1：3干硬性水泥砂浆粘结层
3.其它满足规范和设计图纸要求</t>
  </si>
  <si>
    <t>1.15厚烧面芝麻黑仿石砖
2.30厚1：3干硬性水泥砂浆粘结层
3.其它满足规范和设计图纸要求</t>
  </si>
  <si>
    <t>仿木纹仿石砖</t>
  </si>
  <si>
    <t>1.15厚仿木纹仿石砖
2.30厚1：3干硬性水泥砂浆粘结层
3.其它满足规范和设计图纸要求</t>
  </si>
  <si>
    <t>烧面浪淘沙仿石砖</t>
  </si>
  <si>
    <t>1.15厚烧面浪淘沙仿石砖
2.30厚1：3干硬性水泥砂浆粘结层
3.其它满足规范和设计图纸要求</t>
  </si>
  <si>
    <t>不锈钢拉丝面</t>
  </si>
  <si>
    <t>1.3厚不锈钢拉丝面
2.30厚1：3干硬性水泥砂浆粘结层
3.其它满足规范和设计图纸要求</t>
  </si>
  <si>
    <t>地面道牙铺装</t>
  </si>
  <si>
    <t>1.200*600*100厚荔枝面芝麻灰花岗岩平道牙
2.30厚1:3水泥砂浆粘接层,1:3水泥砂浆卧牢
3.其他说明：其它满足规范和设计图纸要求</t>
  </si>
  <si>
    <t>m</t>
  </si>
  <si>
    <t>50厚芝麻黑烧面花岗岩</t>
  </si>
  <si>
    <t>1.50厚芝麻黑烧面花岗岩
2.30厚1：3干硬性水泥砂浆粘结层
3.其它满足规范和设计图纸要求</t>
  </si>
  <si>
    <t>二</t>
  </si>
  <si>
    <t>彩色沥青混凝土、黑色沥青混凝土（消防登高场地） LN-3.01、TY-01、LD-12.01、LD-13.01</t>
  </si>
  <si>
    <t>1.土壤类别：综合
2.挖土深度：详设计
3.开挖方式：人工、机械综合考虑    
4.多余土方运送场内指定位置
5.其它满足规范和设计图纸要求</t>
  </si>
  <si>
    <t>1.素土夯实
2.压实度不小于93%
3.其它满足规范和设计图纸要求</t>
  </si>
  <si>
    <t>1.150厚级配碎石垫层
2.压实度不小于93%
3.其它说明：其它满足规范和设计图纸要求</t>
  </si>
  <si>
    <t>砼垫层</t>
  </si>
  <si>
    <t>1.混凝土强度等级:200厚C20混凝土垫层
2.混凝土拌合料要求：符合规范要求
3.模板安拆费用计入综合单价，支模方式综合考虑
4.其它满足规范和设计图纸要求</t>
  </si>
  <si>
    <t>地面铺装（黑色沥青混凝土）</t>
  </si>
  <si>
    <t>1.30厚AC-10细粒式黑色沥青混凝土
2.50厚AC-20粗粒式沥青混凝土
3.乳化沥青透层
4.其他说明：详见相关设计图纸、相关要求及规范</t>
  </si>
  <si>
    <t>地面划线</t>
  </si>
  <si>
    <t>1.白色划线部位丙烯酸涂料（颜色可换）
2.其它满足规范和设计图纸要求</t>
  </si>
  <si>
    <t>大样图一（消防登高场地一）</t>
  </si>
  <si>
    <t>1.热熔画线漆涂料(各色)
2.其它满足规范和设计图纸要求
3.详见备注</t>
  </si>
  <si>
    <t>组</t>
  </si>
  <si>
    <t>大样图二（消防登高场地一）</t>
  </si>
  <si>
    <t>大样图三（消防登高场地一）</t>
  </si>
  <si>
    <t>大样图四（消防登高场地一）</t>
  </si>
  <si>
    <t>大样图五（消防登高场地一）</t>
  </si>
  <si>
    <t>地面数字（消防登高场地一）</t>
  </si>
  <si>
    <t>“运动无处不在、Movement is everwhere”（消防登高场地二）</t>
  </si>
  <si>
    <t>“HAVE A FUNNY DAY ！”（消防登高场地二）</t>
  </si>
  <si>
    <t>“KEEP FIT &lt;&lt;&lt;&lt;&lt;&lt;&lt;&lt;”（消防登高场地二）</t>
  </si>
  <si>
    <t>“JUMP”右侧距离标注（消防登高场地二）</t>
  </si>
  <si>
    <t>地面铺装（消防登高场地）</t>
  </si>
  <si>
    <t>1.30厚AC-10细粒式彩色沥青混凝土
2.50厚AC-20粗粒式沥青混凝土
3.乳化沥青透层
4.其他说明：详见相关设计图纸、相关要求及规范</t>
  </si>
  <si>
    <t>三</t>
  </si>
  <si>
    <t>强固透水混凝土  LN-3.01、TY-01</t>
  </si>
  <si>
    <t>1.素土夯实，夯实度≥93%
2.其它说明：其它满足规范和设计图纸要求</t>
  </si>
  <si>
    <t>1.150厚级配碎石垫层
2.其它说明：其它满足规范和设计图纸要求</t>
  </si>
  <si>
    <t>1.划线部位丙烯酸涂料（颜色可换）
2.其它满足规范和设计图纸要求</t>
  </si>
  <si>
    <t>强固透水混凝土</t>
  </si>
  <si>
    <t>1.50厚6mm粒径强固透水混凝土
2.其它说明：其它满足规范和设计图纸要求，施工注意完成面标高保持一致。</t>
  </si>
  <si>
    <t>四</t>
  </si>
  <si>
    <t>胶粘石铺地做法 LN-3.01、TY-01</t>
  </si>
  <si>
    <t>1.混凝土强度等级:100厚C20混凝土垫层
2.混凝土拌合料要求：符合规范要求
3.模板安拆费用计入综合单价，支模方式综合考虑
4.其它满足规范和设计图纸要求</t>
  </si>
  <si>
    <t>胶粘石</t>
  </si>
  <si>
    <t>1.30厚深灰色、浅灰色胶粘石，粒径3-5mm，颜色可换，综合考虑
2.30厚1：2.5水泥砂浆找平
3.5厚不锈钢原色分隔条，L30*30*2.5厚热镀锌角钢，M6膨胀螺栓固定，具体做法详见图纸设计
4.其它满足规范和设计图纸要求</t>
  </si>
  <si>
    <t>五</t>
  </si>
  <si>
    <t>入口处景墙区域 LD-9.01</t>
  </si>
  <si>
    <t>挖沟槽土方</t>
  </si>
  <si>
    <t>1.200厚级配碎石垫层，密实度≥0.93
2.其它说明：其它满足规范和设计图纸要求</t>
  </si>
  <si>
    <t>条形基础</t>
  </si>
  <si>
    <t>1.混凝土强度等级:C25钢筋混凝土
2.混凝土拌合料要求：符合规范要求
3.模板安拆费用计入综合单价，支模方式综合考虑
4.其它满足规范和设计图纸要求</t>
  </si>
  <si>
    <t>现浇构件钢筋</t>
  </si>
  <si>
    <t>1.现浇构件带肋钢筋HPB300直径≤10mm
2.含钢筋搭接
3.其它说明：其它满足规范和设计图纸要求</t>
  </si>
  <si>
    <t>1.现浇构件带肋钢筋HRB400直径=14mm
2.含钢筋搭接
3.其它说明：其它满足规范和设计图纸要求</t>
  </si>
  <si>
    <t>云石板</t>
  </si>
  <si>
    <t>1.4厚云石板，内置灯带（灯带计入水电工程）
2.其它说明：其它满足规范和设计图纸要求</t>
  </si>
  <si>
    <t>干挂石材</t>
  </si>
  <si>
    <t>1.1200*00*18厚白木纹防石砖
2.50*50*4镀锌角钢，成品干挂件
3.其它满足规范和设计图纸要求</t>
  </si>
  <si>
    <t>1.2厚304#不锈钢拉丝面（展开面积）
2.其它说明：其它满足规范和设计图纸要求</t>
  </si>
  <si>
    <t>不锈钢矩管</t>
  </si>
  <si>
    <t>1.80*30*2不锈钢矩管
2.其它说明：其它满足规范和设计图纸要求</t>
  </si>
  <si>
    <t>镀锌矩管</t>
  </si>
  <si>
    <t>1.150*150*10厚镀锌矩管
2.其它满足规范和设计图纸要求</t>
  </si>
  <si>
    <t>六</t>
  </si>
  <si>
    <t>台阶详图 TY-04</t>
  </si>
  <si>
    <t>回填土方</t>
  </si>
  <si>
    <t>1.密实度要求：满足设计要求 
2.填方材料品种：满足设计要求的合格土方 
3.填方粒径要求：符合设计要求
4.填方来源、运距：投标人根据现场实际情况自行考虑
5.其它满足规范和设计图纸要求</t>
  </si>
  <si>
    <t>1.混凝土强度等级:100厚C20混凝土
2.混凝土拌合料要求：符合规范要求
3.模板安拆费用计入综合单价，支模方式综合考虑
4.其它满足规范和设计图纸要求</t>
  </si>
  <si>
    <t>1.100厚级配碎石垫层，密实度≥0.93
2.其它说明：其它满足规范和设计图纸要求</t>
  </si>
  <si>
    <t>零星砌体</t>
  </si>
  <si>
    <t>1.MU10页岩砖，M7.5水泥砂浆砌筑
2.其它说明：其它满足规范和设计图纸要求</t>
  </si>
  <si>
    <t>台阶</t>
  </si>
  <si>
    <t>1.600*310*50芝麻黑烧面（踏面）、600*150*20芝麻黑烧面（踢面），含抹角、刻缝
2.按展开面积计算
3.30厚1:3干硬性水泥砂浆粘结层
4.其它满足规范和设计图纸要求</t>
  </si>
  <si>
    <t>七</t>
  </si>
  <si>
    <t>围墙LD4.01-LD4.02</t>
  </si>
  <si>
    <t>砼挡墙</t>
  </si>
  <si>
    <t>1.混凝土强度等级:C30混凝土
2.混凝土拌合料要求：符合规范要求
3.模板安拆费用计入综合单价，支模方式综合考虑
4.其它满足规范和设计图纸要求</t>
  </si>
  <si>
    <t>混凝土柱</t>
  </si>
  <si>
    <t>1.混凝土强度等级:C25混凝土
2.混凝土拌合料要求：符合规范要求
3.模板安拆费用计入综合单价，支模方式综合考虑
4.其它满足规范和设计图纸要求</t>
  </si>
  <si>
    <t>1.现浇构件带肋钢筋HPB300  带肋钢筋HRB400 
2.含钢筋搭接
3.其它说明：其它满足规范和设计图纸要求</t>
  </si>
  <si>
    <t>砖基础</t>
  </si>
  <si>
    <t>1.MU10页岩砖，M7.5水泥砂浆砌筑
2.20厚1:3水泥砂浆防潮层（掺5%防水剂）
3.其它说明：其它满足规范和设计图纸要求</t>
  </si>
  <si>
    <t>圈梁</t>
  </si>
  <si>
    <r>
      <rPr>
        <sz val="8"/>
        <rFont val="Arial"/>
        <charset val="134"/>
      </rPr>
      <t>1.C25</t>
    </r>
    <r>
      <rPr>
        <sz val="8"/>
        <rFont val="宋体"/>
        <charset val="134"/>
      </rPr>
      <t>混凝土圈梁</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</si>
  <si>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柱子基础</t>
  </si>
  <si>
    <r>
      <rPr>
        <sz val="8"/>
        <rFont val="Arial"/>
        <charset val="134"/>
      </rPr>
      <t>1.C25</t>
    </r>
    <r>
      <rPr>
        <sz val="8"/>
        <rFont val="宋体"/>
        <charset val="134"/>
      </rPr>
      <t>混凝土柱</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</si>
  <si>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外墙仿石材漆</t>
  </si>
  <si>
    <r>
      <rPr>
        <sz val="8"/>
        <rFont val="Arial"/>
        <charset val="134"/>
      </rPr>
      <t>1.</t>
    </r>
    <r>
      <rPr>
        <sz val="8"/>
        <rFont val="宋体"/>
        <charset val="134"/>
      </rPr>
      <t>外喷米白色水包砂仿石材漆，真石漆做法为：腻子、底漆、中涂、面漆（详见答疑回复）</t>
    </r>
    <r>
      <rPr>
        <sz val="8"/>
        <rFont val="Arial"/>
        <charset val="134"/>
      </rPr>
      <t xml:space="preserve">
2.15</t>
    </r>
    <r>
      <rPr>
        <sz val="8"/>
        <rFont val="宋体"/>
        <charset val="134"/>
      </rPr>
      <t>厚</t>
    </r>
    <r>
      <rPr>
        <sz val="8"/>
        <rFont val="Arial"/>
        <charset val="134"/>
      </rPr>
      <t>1:2.5</t>
    </r>
    <r>
      <rPr>
        <sz val="8"/>
        <rFont val="宋体"/>
        <charset val="134"/>
      </rPr>
      <t>水泥砂浆找平</t>
    </r>
    <r>
      <rPr>
        <sz val="8"/>
        <rFont val="Arial"/>
        <charset val="134"/>
      </rPr>
      <t xml:space="preserve">
3.</t>
    </r>
    <r>
      <rPr>
        <sz val="8"/>
        <rFont val="宋体"/>
        <charset val="134"/>
      </rPr>
      <t>其它满足规范和设计图纸要求</t>
    </r>
  </si>
  <si>
    <t>漆：三棵树、立邦
腻子：胖子</t>
  </si>
  <si>
    <t>围墙柱顶石材装饰</t>
  </si>
  <si>
    <t>1.围墙顶面：80厚600*300芝麻灰烧面石材，下端拉10深20宽槽
2.具体做法详见图纸设计
3.其他说明：其它满足规范和设计图纸要求</t>
  </si>
  <si>
    <t>围墙钢栏杆</t>
  </si>
  <si>
    <t>1.尺寸：1.8m高
2.3厚60*30镀锌钢管横管，面饰深咖色金属氟碳漆喷砂面
3.4厚60*60镀锌钢管立管，净间距100，面饰深咖色金属氟碳漆喷砂面
4.3厚60*60镀锌钢管立管，面饰深咖色金属氟碳漆喷砂面 预埋件：6厚100*100镀锌钢板@1000 2直径10 U型预埋件固定  L=400 
5.其他说明：其它满足规范和设计图纸要求</t>
  </si>
  <si>
    <t>山水文图案制作安装</t>
  </si>
  <si>
    <t>1.1.5厚304#不锈钢LOGO，电镀浅咖色凸出墙面20mm，
2.其他说明：其它满足规范和设计图纸要求</t>
  </si>
  <si>
    <t>个</t>
  </si>
  <si>
    <t>八</t>
  </si>
  <si>
    <t>景观亭LD-2.01</t>
  </si>
  <si>
    <t>景观亭基础做法</t>
  </si>
  <si>
    <t>挖基坑</t>
  </si>
  <si>
    <t>砖台阶基础</t>
  </si>
  <si>
    <t>1.砖品种、规格、强度等级：MU10页岩砖
2.基础类型：砖基础
3.砂浆强度等级：M7.5水泥砂浆
4.其它说明：其他满足规范和图纸设计要求</t>
  </si>
  <si>
    <t>1.现浇构件带肋钢筋HRB400
2.含钢筋搭接
3.其它说明：其它满足规范和设计图纸要求</t>
  </si>
  <si>
    <t>独立基础</t>
  </si>
  <si>
    <t>1.混凝土强度等级:C30混凝土独立基础
2.混凝土拌合料要求：符合规范要求
3.模板安拆费用计入综合单价，支模方式综合考虑
4.其它满足规范和设计图纸要求</t>
  </si>
  <si>
    <t>矩形柱</t>
  </si>
  <si>
    <t>1.混凝土强度等级:C30混凝土矩形柱
2.混凝土拌合料要求：符合规范要求
3.模板安拆费用计入综合单价，支模方式综合考虑
4.其它满足规范和设计图纸要求</t>
  </si>
  <si>
    <t>柱顶灌浆</t>
  </si>
  <si>
    <t>1.混凝土强度等级:C40无收缩混凝土二次灌浆
2.灌浆厚度：50mm
3.其它满足规范和设计图纸要求</t>
  </si>
  <si>
    <t>景观亭结构做法</t>
  </si>
  <si>
    <t>地脚螺栓</t>
  </si>
  <si>
    <t>1.规格种类：M24地脚螺栓Q345
2.长度：1m
3.制作安装（含垫板及预埋件）
4.其它满足规范和设计图纸要求</t>
  </si>
  <si>
    <t>套</t>
  </si>
  <si>
    <t>钢柱</t>
  </si>
  <si>
    <t>1.规格种类：□200*200*8*8钢柱
2.制作安装
3.其它说明：其他满足规范和图纸设计要求</t>
  </si>
  <si>
    <t>正大、友发</t>
  </si>
  <si>
    <t>钢屋架</t>
  </si>
  <si>
    <t>1.规格种类：□100*100*5、200*200*6镀锌矩管，面饰氟碳漆喷涂，天沟挑檐部分综合考虑
2.制作安装
3.其它说明：其他满足规范和图纸设计要求</t>
  </si>
  <si>
    <t>8+8夹胶钢化玻璃</t>
  </si>
  <si>
    <t>1.8+8夹胶钢化玻璃
2.其它说明：其它满足规范和设计图纸要求</t>
  </si>
  <si>
    <t>屋檐装饰铝板</t>
  </si>
  <si>
    <t>1.2厚深咖色铝板
2.成品铝扣件连接，密封胶填缝
3.制作安装
4.其它说明：其他满足规范和图纸设计要求</t>
  </si>
  <si>
    <t>宏基</t>
  </si>
  <si>
    <t>装饰格栅连接件</t>
  </si>
  <si>
    <t>1.规格种类：□50x50x2铝管，面饰氟碳漆喷涂
2.制作安装
3.其它说明：其他满足规范和图纸设计要求</t>
  </si>
  <si>
    <t>装饰格栅</t>
  </si>
  <si>
    <t>1.规格种类：外框□50x50x2、□40*40*2、100*30*2、120*20*2镀锌矩管，内格栅□50*25x2镀锌矩管，面饰氟碳漆喷涂（按垂直投影面积计算）
2.制作安装
3.其它说明：其他满足规范和图纸设计要求</t>
  </si>
  <si>
    <t>景观亭地面装饰</t>
  </si>
  <si>
    <t>1.100厚级配碎石垫层
2.压实度不小于93%
3.其它说明：其它满足规范和设计图纸要求</t>
  </si>
  <si>
    <t>仿芝麻灰烧面仿石砖</t>
  </si>
  <si>
    <t>1.1200*300*18厚仿芝麻灰烧面仿石砖
2.30厚1:2.5干硬性水泥砂浆结合层
3.其他说明：详见相关设计图纸、相关要求及规范</t>
  </si>
  <si>
    <t>芝麻黑花岗石烧面</t>
  </si>
  <si>
    <t>1.1200*600*70厚芝麻黑花岗石烧面
2.30厚1：2.5水泥砂浆结合层
3.其它满足规范和设计图纸要求</t>
  </si>
  <si>
    <t>1.400*150*18厚芝麻黑花岗石烧面
2.30厚1:2.5干硬性水泥砂浆结合层
3.其他说明：详见相关设计图纸、相关要求及规范</t>
  </si>
  <si>
    <t>光面沉香米黄仿石砖</t>
  </si>
  <si>
    <t>1.1900*300*18厚光面沉香米黄仿石砖
2.其他说明：详见相关设计图纸、相关要求及规范</t>
  </si>
  <si>
    <t>景观亭地面侧边铺装</t>
  </si>
  <si>
    <t>1.120*350*18厚烧面卡西奥中灰仿石砖
2.其他说明：详见相关设计图纸、相关要求及规范</t>
  </si>
  <si>
    <t>“山水文苑”</t>
  </si>
  <si>
    <t>1、2厚热镀锌钢板按形折弯面饰深咖色金属氟碳漆喷砂面
2.1厚304#拉丝面不锈钢，电镀深咖色突出墙面15mm，由专业厂家制作安装（山水文苑）
3.其它满足规范和设计图纸要求</t>
  </si>
  <si>
    <t>九</t>
  </si>
  <si>
    <t>木平台LD-8.01</t>
  </si>
  <si>
    <t>1.素土夯实
2.压实度不小于95%
3.其它满足规范和设计图纸要求</t>
  </si>
  <si>
    <t>砖砌体</t>
  </si>
  <si>
    <t>木平台顶面及侧面铺装</t>
  </si>
  <si>
    <t>1.18厚烧面卡西奥中灰仿石砖
2.30厚1:2.5水泥砂浆
3.其他说明：详见相关设计图纸、相关要求及规范</t>
  </si>
  <si>
    <t>防腐木面层</t>
  </si>
  <si>
    <t>1.100*100*20厚防腐木垫片@500
2.截面为95*18厚竹木，留缝5mm，不锈钢自攻螺丝固定
3.专用金属扣件，高强自攻螺丝固定
4.5厚50*50方钢管龙骨@465布置
5.其他说明：其它满足规范和设计图纸要求</t>
  </si>
  <si>
    <t>十</t>
  </si>
  <si>
    <t>健身墙LD-6.01</t>
  </si>
  <si>
    <t>灰土垫层</t>
  </si>
  <si>
    <t>1.150厚3:7灰土垫层
2.其它说明：其它满足规范和设计图纸要求</t>
  </si>
  <si>
    <t>1.混凝土强度等级:200厚C25混凝土
2.混凝土拌合料要求：符合规范要求
3.模板安拆费用计入综合单价，支模方式综合考虑
4.其它说明：其它满足规范和设计图纸要求</t>
  </si>
  <si>
    <t>钢筋砼基础</t>
  </si>
  <si>
    <t>1.混凝土强度等级:条形基础，C25混凝土
2.混凝土拌合料要求：符合规范要求
3.模板安拆费用计入综合单价，支模方式综合考虑
4.其它说明：其它满足规范和设计图纸要求</t>
  </si>
  <si>
    <t>钢筋砼挡墙</t>
  </si>
  <si>
    <t>1.混凝土强度等级:240mm厚C25混凝土
2.混凝土拌合料要求：符合规范要求
3.模板安拆费用计入综合单价，支模方式综合考虑
4.其它说明：其它满足规范和设计图纸要求</t>
  </si>
  <si>
    <t>1.现浇构件带肋钢筋HRB400  直径=12mm
2.含钢筋搭接
3.其它说明：其它满足规范和设计图纸要求</t>
  </si>
  <si>
    <t>防水砂浆找平层</t>
  </si>
  <si>
    <t>1.20厚1:2.5防水水泥砂浆（掺5%防水剂）
2.其它满足规范和设计图纸要求</t>
  </si>
  <si>
    <t>真石漆</t>
  </si>
  <si>
    <t>1.真石漆饰面，包含墙面彩色真石漆图案
2.真石漆做法为：腻子、底漆、中涂、面漆（详见答疑回复）
3.其它说明：其它满足规范和设计图纸要求</t>
  </si>
  <si>
    <t>不锈钢盖板</t>
  </si>
  <si>
    <t>1.2厚不锈钢盖板，电镀黄色
2.其它满足规范和设计图纸要求</t>
  </si>
  <si>
    <t>成品上肢牵引器</t>
  </si>
  <si>
    <t>1.成品上肢牵引器，配套固定件固定</t>
  </si>
  <si>
    <t>成品吊环</t>
  </si>
  <si>
    <t>1.成品吊环，配套固定件固定</t>
  </si>
  <si>
    <t>十一</t>
  </si>
  <si>
    <t>种植池LD-7.01</t>
  </si>
  <si>
    <t>1.MU10页岩砖，M7.5水泥砂浆砌筑
2.15厚1:3水泥砂浆防潮层（掺5%防水剂）
3.其它说明：其它满足规范和设计图纸要求</t>
  </si>
  <si>
    <t>1.混凝土强度等级:100厚C20混凝土
2.混凝土拌合料要求：符合规范要求
3.模板安拆费用计入综合单价，支模方式综合考虑
4.其它说明：其它满足规范和设计图纸要求</t>
  </si>
  <si>
    <t>种植池顶面及侧面铺装</t>
  </si>
  <si>
    <t>1.15厚烧面卡西奥中灰仿石砖
2.其他说明：详见相关设计图纸、相关要求及规范</t>
  </si>
  <si>
    <t>80mm镀锌钢板止水带</t>
  </si>
  <si>
    <t>1.5厚热镀锌钢板止水带80mm高 2厚拉丝面不锈钢板，M6膨胀螺栓固定
2.其他说明：详见相关设计图纸、相关要求及规范</t>
  </si>
  <si>
    <t>金属收边条</t>
  </si>
  <si>
    <t>1.3厚L30*5厚角钢收边条，M6膨胀螺栓固定
2.其他说明：详见相关设计图纸、相关要求及规范
3.部位：种植池区域绿化收边条</t>
  </si>
  <si>
    <t>十二</t>
  </si>
  <si>
    <t>水景景墙LD-3.01</t>
  </si>
  <si>
    <t>水景基础部分</t>
  </si>
  <si>
    <t>水池池底、泵坑</t>
  </si>
  <si>
    <t>1.150厚C25混凝土，抗渗等级＞P8
2.混凝土拌合料要求：符合规范要求
3.模板安拆费用计入综合单价，支模方式综合考虑
4.其它满足规范和设计图纸要求</t>
  </si>
  <si>
    <t>水池池壁</t>
  </si>
  <si>
    <t>1.280~220厚C25混凝土，抗渗等级＞P8
2.混凝土拌合料要求：符合规范要求
3.模板安拆费用计入综合单价，支模方式综合考虑
4.其它满足规范和设计图纸要求</t>
  </si>
  <si>
    <t>排水沟</t>
  </si>
  <si>
    <t>1.150厚C25混凝土，抗渗等级＞P6
2.混凝土拌合料要求：符合规范要求
3.模板安拆费用计入综合单价，支模方式综合考虑
4.其它满足规范和设计图纸要求</t>
  </si>
  <si>
    <t>1.30厚1:2.5水泥砂浆找平层
2.其他说明：详见相关设计图纸、相关要求及规范
3.部位：池壁、池底做法</t>
  </si>
  <si>
    <t>卷材防水</t>
  </si>
  <si>
    <t>1.3+3厚SBS防水卷材
2.其他说明：详见相关设计图纸、相关要求及规范
3.部位：3.部位：水池池底、排水沟、池壁</t>
  </si>
  <si>
    <t>北新、宏源、大禹</t>
  </si>
  <si>
    <t>砖墙</t>
  </si>
  <si>
    <t>1、MU10砖墙M7.5水泥砂浆砌筑
2、其它说明：其它满足规范和设计图纸要求</t>
  </si>
  <si>
    <t>砖砌基础</t>
  </si>
  <si>
    <t>压顶</t>
  </si>
  <si>
    <t>1.混凝土强度等级:100*180厚C20混凝土
2.混凝土拌合料要求：符合规范要求
3.模板安拆费用计入综合单价，支模方式综合考虑
4.其它说明：其它满足规范和设计图纸要求</t>
  </si>
  <si>
    <t>金属压顶</t>
  </si>
  <si>
    <r>
      <rPr>
        <sz val="8"/>
        <rFont val="宋体"/>
        <charset val="134"/>
      </rPr>
      <t>1.</t>
    </r>
    <r>
      <rPr>
        <sz val="8"/>
        <rFont val="Arial"/>
        <charset val="134"/>
      </rPr>
      <t>2</t>
    </r>
    <r>
      <rPr>
        <sz val="8"/>
        <rFont val="宋体"/>
        <charset val="134"/>
      </rPr>
      <t>厚镀锌钢板，面饰浅咖色金属氟碳漆，</t>
    </r>
    <r>
      <rPr>
        <sz val="8"/>
        <rFont val="Arial"/>
        <charset val="134"/>
      </rPr>
      <t>M6</t>
    </r>
    <r>
      <rPr>
        <sz val="8"/>
        <rFont val="宋体"/>
        <charset val="134"/>
      </rPr>
      <t>膨胀螺栓固定（按展开面积计算）</t>
    </r>
    <r>
      <rPr>
        <sz val="8"/>
        <rFont val="Arial"/>
        <charset val="134"/>
      </rPr>
      <t xml:space="preserve">
2.</t>
    </r>
    <r>
      <rPr>
        <sz val="8"/>
        <rFont val="宋体"/>
        <charset val="134"/>
      </rPr>
      <t>其它满足规范和设计图纸要求</t>
    </r>
  </si>
  <si>
    <t>跌水石材-平面</t>
  </si>
  <si>
    <t>1.20厚1000*600*20、600*600*20厚光面中国黑仿石砖，定制流水石
2.其他说明：详见相关设计图纸、相关要求及规范</t>
  </si>
  <si>
    <t>1.50厚600*300*50厚光面中国黑仿石砖，定制流水石
2.其他说明：详见相关设计图纸、相关要求及规范</t>
  </si>
  <si>
    <t>跌水石材-立面</t>
  </si>
  <si>
    <t>1.20厚900*150、900*130厚光面中国黑仿石砖
2.其他说明：详见相关设计图纸、相关要求及规范
3.部位：池面标准做法</t>
  </si>
  <si>
    <t>1.50厚600*300厚光面中国黑仿石砖
2.其他说明：详见相关设计图纸、相关要求及规范
3.部位：池底标准做法</t>
  </si>
  <si>
    <t>排水沟盖板</t>
  </si>
  <si>
    <t>1.30厚花岗岩水篦子，含L50*5厚热镀锌角钢、钢丝网片、50厚深灰色砾石，粒径8~10mm
2.其他说明：详见相关设计图纸、相关要求及规范</t>
  </si>
  <si>
    <t>迎宾景墙</t>
  </si>
  <si>
    <t>干挂石材墙面</t>
  </si>
  <si>
    <t>1.700*600*18厚、900*600*18、900*500*18厚厚光面干挂沉香米黄仿石砖
2.其他说明：详见相关设计图纸、相关要求及规范</t>
  </si>
  <si>
    <t>光面芝麻灰白花岗岩</t>
  </si>
  <si>
    <t>1.20厚900x400*20、900*300*50厚光面芝麻灰白花岗岩
2.其它满足规范和设计图纸要求
3.部位：高景墙下矮墙</t>
  </si>
  <si>
    <t>钢格栅</t>
  </si>
  <si>
    <t>1.2厚40*40铝管按形定制，面饰电镀浅咖色
2.其它满足规范和设计图纸要求</t>
  </si>
  <si>
    <t>304不锈钢板封边</t>
  </si>
  <si>
    <t>1.2厚拉丝面304#不锈钢板，电镀浅咖色
2.M6膨胀螺栓固定
3.按展开面积计算                                                                 4.其它说明：其它满足规范和设计图纸要求</t>
  </si>
  <si>
    <t>1.2厚拉丝面304#不锈钢板按形折弯面饰深咖色金属氟碳漆喷砂面
2.1厚304#拉丝面不锈钢，电镀深咖色突出墙面15mm，由专业厂家制作安装（山水文苑）
3.其它满足规范和设计图纸要求</t>
  </si>
  <si>
    <t>LOGO字体</t>
  </si>
  <si>
    <t>1.部位：景墙正面LOGO字体：明月松间照，清泉石上流，中浩德
2.1厚304#拉丝面不锈钢，电镀深咖色凸出墙面20mm、电镀红色凸出墙面10mm，由专业厂家制作安装。
3.其它满足规范和设计图纸要求</t>
  </si>
  <si>
    <t>十三</t>
  </si>
  <si>
    <t>拖把池 LD-15.01</t>
  </si>
  <si>
    <t>1.混凝土强度等级:100厚C20混凝土
2.混凝土拌合料要求：符合规范要求
3.模板安拆费用计入综合单价，支模方式综合考虑
4.包含三面挡水反坎
5.其它满足规范和设计图纸要求</t>
  </si>
  <si>
    <t>瓷砖池壁</t>
  </si>
  <si>
    <t>1.940*150*18、940*130*18、570*570*18、600*600*18厚仿芝麻灰石英砖
2.20厚1：2.5水泥砂浆找平，水泥基渗透结晶型防水涂料
3.其它满足规范和设计图纸要求</t>
  </si>
  <si>
    <t>盖板</t>
  </si>
  <si>
    <t>1.3厚不锈钢盖板 尺寸 570*570*3
2.含不锈钢合页、30*30*3厚不锈钢管、成品锁、锁扣
3.其它满足规范和设计图纸要求</t>
  </si>
  <si>
    <t>十四</t>
  </si>
  <si>
    <t>西侧非机动入口及西侧消防入口LD-1.01.01-LD-1.04.03</t>
  </si>
  <si>
    <t>西大门、岗亭部位基础、主体结构、二次结构不在本次施工范围</t>
  </si>
  <si>
    <t>1.200厚加气混凝土砌块
2.其它说明：其它满足规范和设计图纸要求</t>
  </si>
  <si>
    <r>
      <rPr>
        <sz val="8"/>
        <rFont val="Arial"/>
        <charset val="134"/>
      </rPr>
      <t>1.C25</t>
    </r>
    <r>
      <rPr>
        <sz val="8"/>
        <rFont val="宋体"/>
        <charset val="134"/>
      </rPr>
      <t>混凝土柱子</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</si>
  <si>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混凝土柱子</t>
  </si>
  <si>
    <t>湿贴石材</t>
  </si>
  <si>
    <t>1.25厚130*120芝麻白花岗岩荔枝面 表面拉5*5槽@100
2.25厚1:2.5水泥砂浆粘贴
3.其它满足规范和设计图纸要求</t>
  </si>
  <si>
    <t>1.25厚600*400哑光面黄金麻花岗岩
2.25厚1:2.5水泥砂浆粘贴
3.其它满足规范和设计图纸要求</t>
  </si>
  <si>
    <t>2厚304#拉丝面不锈钢装饰</t>
  </si>
  <si>
    <t>1.100*50*3热镀锌矩管
2.2厚304#拉丝面不锈钢，电镀深咖色突出墙面15mm，由专业厂家制作安装（山水文苑）
3.其它满足规范和设计图纸要求</t>
  </si>
  <si>
    <t>钢格栅  西侧大门详图16JD-1.01.01.16</t>
  </si>
  <si>
    <t>1.3厚80*60铝通,面饰浅咖色金属氟碳漆@40
2.2厚80*30、80*20铝通 面饰浅咖色金属氟碳漆
3.40*5厚镀锌角钢@500
4.含五金、门把手、配件、地插、门锁等.                                                                   5.其它说明：其它满足规范和设计图纸要求</t>
  </si>
  <si>
    <t>钢格栅 西侧大门详图15JD-1.01.01.15</t>
  </si>
  <si>
    <t>1.3厚80*60铝通,面饰浅咖色金属氟碳漆@40
2.2厚80*30、80*20铝通 面饰浅咖色金属氟碳漆
3.40*5厚镀锌角钢@500
4.含五金、门把手、配件、地插、门锁等                                                                5.其它说明：其它满足规范和设计图纸要求</t>
  </si>
  <si>
    <t>吊顶</t>
  </si>
  <si>
    <t>1.3厚铝板折型，咖色氟碳漆饰面
2.按水平投影面积计                                                                  3.其它说明：其它满足规范和设计图纸要求</t>
  </si>
  <si>
    <t>屋顶</t>
  </si>
  <si>
    <t>1.3.0厚铝板折型，咖色氟碳漆饰面
2.其它说明：其它满足规范和设计图纸要求</t>
  </si>
  <si>
    <t>天沟</t>
  </si>
  <si>
    <t>1.100宽80深不锈钢收水沟
2.含钢架及预埋件
3.其它说明：其它满足规范和设计图纸要求</t>
  </si>
  <si>
    <t>挑檐</t>
  </si>
  <si>
    <t>1.3.0厚铝板,面饰深咖色金属氟碳漆喷砂面（含20宽2厚304#不锈钢装饰条拉丝面电镀深咖色）
2.含钢架及预埋件
3.其它说明：其它满足规范和设计图纸要求</t>
  </si>
  <si>
    <t>檐口矩形钢管造型</t>
  </si>
  <si>
    <t>1.2厚30x30热镀锌矩管 面饰浅咖色金属氟碳漆
2.其它说明：其它满足规范和设计图纸要求</t>
  </si>
  <si>
    <t>乳胶漆</t>
  </si>
  <si>
    <t>1.20厚水泥纤维板，20厚1:2.5低碱水泥砂浆面饰白色乳胶漆涂料
2.乳胶漆做法：腻子找平三遍、底漆一道、面漆两道（详见答疑回复）
3.其它说明：其它满足规范和设计图纸要求</t>
  </si>
  <si>
    <t>铝合金门窗</t>
  </si>
  <si>
    <t>1.夹胶玻璃安全门，含五金、门把手、配件、地插、门锁等
2.门玻璃为8+1.52PVB+8夹胶玻璃，窗玻璃为6+1.52PVB+6夹胶玻璃
3.其它说明：其它满足规范和设计图纸要求</t>
  </si>
  <si>
    <t>地面铺装</t>
  </si>
  <si>
    <t>1.10厚灰色防滑地砖
2.30厚1:3干硬性水泥砂浆粘结层
3.其他说明：其它满足规范和设计图纸要求</t>
  </si>
  <si>
    <t>西侧大门铁艺门一</t>
  </si>
  <si>
    <t>1.4厚60*60热镀锌矩管，立柱面饰深咖色金属氟碳漆喷砂面
2.2.0厚60*20热镀锌矩管，面饰深咖色金属氟碳漆喷砂面
3.2厚热镀锌钢板按形弯折面饰深咖色金属氟碳漆喷砂面
4.成品感应门禁
5.其它满足规范和设计图纸要求</t>
  </si>
  <si>
    <t>西侧大门铁艺门二</t>
  </si>
  <si>
    <r>
      <rPr>
        <sz val="8"/>
        <rFont val="Arial"/>
        <charset val="134"/>
      </rPr>
      <t>1</t>
    </r>
    <r>
      <rPr>
        <sz val="8"/>
        <rFont val="宋体"/>
        <charset val="134"/>
      </rPr>
      <t>.</t>
    </r>
    <r>
      <rPr>
        <sz val="8"/>
        <rFont val="Arial"/>
        <charset val="134"/>
      </rPr>
      <t>4</t>
    </r>
    <r>
      <rPr>
        <sz val="8"/>
        <rFont val="宋体"/>
        <charset val="134"/>
      </rPr>
      <t>厚</t>
    </r>
    <r>
      <rPr>
        <sz val="8"/>
        <rFont val="Arial"/>
        <charset val="134"/>
      </rPr>
      <t>60*60</t>
    </r>
    <r>
      <rPr>
        <sz val="8"/>
        <rFont val="宋体"/>
        <charset val="134"/>
      </rPr>
      <t>热镀锌矩管，立柱面饰深咖色金属氟碳漆喷砂面</t>
    </r>
    <r>
      <rPr>
        <sz val="8"/>
        <rFont val="Arial"/>
        <charset val="134"/>
      </rPr>
      <t xml:space="preserve">
2</t>
    </r>
    <r>
      <rPr>
        <sz val="8"/>
        <rFont val="宋体"/>
        <charset val="134"/>
      </rPr>
      <t>.</t>
    </r>
    <r>
      <rPr>
        <sz val="8"/>
        <rFont val="Arial"/>
        <charset val="134"/>
      </rPr>
      <t>2.0</t>
    </r>
    <r>
      <rPr>
        <sz val="8"/>
        <rFont val="宋体"/>
        <charset val="134"/>
      </rPr>
      <t>厚</t>
    </r>
    <r>
      <rPr>
        <sz val="8"/>
        <rFont val="Arial"/>
        <charset val="134"/>
      </rPr>
      <t>60*20</t>
    </r>
    <r>
      <rPr>
        <sz val="8"/>
        <rFont val="宋体"/>
        <charset val="134"/>
      </rPr>
      <t>热镀锌矩管，面饰深咖色金属氟碳漆喷砂面</t>
    </r>
    <r>
      <rPr>
        <sz val="8"/>
        <rFont val="Arial"/>
        <charset val="134"/>
      </rPr>
      <t xml:space="preserve">
3</t>
    </r>
    <r>
      <rPr>
        <sz val="8"/>
        <rFont val="宋体"/>
        <charset val="134"/>
      </rPr>
      <t>.</t>
    </r>
    <r>
      <rPr>
        <sz val="8"/>
        <rFont val="Arial"/>
        <charset val="134"/>
      </rPr>
      <t>2</t>
    </r>
    <r>
      <rPr>
        <sz val="8"/>
        <rFont val="宋体"/>
        <charset val="134"/>
      </rPr>
      <t>厚热镀锌钢板按形弯折面饰深咖色金属氟碳漆喷砂面</t>
    </r>
    <r>
      <rPr>
        <sz val="8"/>
        <rFont val="Arial"/>
        <charset val="134"/>
      </rPr>
      <t xml:space="preserve">
4</t>
    </r>
    <r>
      <rPr>
        <sz val="8"/>
        <rFont val="宋体"/>
        <charset val="134"/>
      </rPr>
      <t>.成品感应门禁
5.其它满足规范和设计图纸要求</t>
    </r>
  </si>
  <si>
    <t>机动车消防门</t>
  </si>
  <si>
    <r>
      <rPr>
        <sz val="8"/>
        <rFont val="Arial"/>
        <charset val="134"/>
      </rPr>
      <t>1</t>
    </r>
    <r>
      <rPr>
        <sz val="8"/>
        <rFont val="宋体"/>
        <charset val="134"/>
      </rPr>
      <t>.</t>
    </r>
    <r>
      <rPr>
        <sz val="8"/>
        <rFont val="Arial"/>
        <charset val="134"/>
      </rPr>
      <t>2</t>
    </r>
    <r>
      <rPr>
        <sz val="8"/>
        <rFont val="宋体"/>
        <charset val="134"/>
      </rPr>
      <t>厚</t>
    </r>
    <r>
      <rPr>
        <sz val="8"/>
        <rFont val="Arial"/>
        <charset val="134"/>
      </rPr>
      <t>80*15</t>
    </r>
    <r>
      <rPr>
        <sz val="8"/>
        <rFont val="宋体"/>
        <charset val="134"/>
      </rPr>
      <t>热镀锌矩管，立柱面饰深咖色金属氟碳漆喷砂面</t>
    </r>
    <r>
      <rPr>
        <sz val="8"/>
        <rFont val="Arial"/>
        <charset val="134"/>
      </rPr>
      <t xml:space="preserve">
2</t>
    </r>
    <r>
      <rPr>
        <sz val="8"/>
        <rFont val="宋体"/>
        <charset val="134"/>
      </rPr>
      <t>.</t>
    </r>
    <r>
      <rPr>
        <sz val="8"/>
        <rFont val="Arial"/>
        <charset val="134"/>
      </rPr>
      <t>5</t>
    </r>
    <r>
      <rPr>
        <sz val="8"/>
        <rFont val="宋体"/>
        <charset val="134"/>
      </rPr>
      <t>厚</t>
    </r>
    <r>
      <rPr>
        <sz val="8"/>
        <rFont val="Arial"/>
        <charset val="134"/>
      </rPr>
      <t>120*80</t>
    </r>
    <r>
      <rPr>
        <sz val="8"/>
        <rFont val="宋体"/>
        <charset val="134"/>
      </rPr>
      <t>热镀锌矩管，面饰深咖色金属氟碳漆喷砂面</t>
    </r>
    <r>
      <rPr>
        <sz val="8"/>
        <rFont val="Arial"/>
        <charset val="134"/>
      </rPr>
      <t xml:space="preserve">
3</t>
    </r>
    <r>
      <rPr>
        <sz val="8"/>
        <rFont val="宋体"/>
        <charset val="134"/>
      </rPr>
      <t>.</t>
    </r>
    <r>
      <rPr>
        <sz val="8"/>
        <rFont val="Arial"/>
        <charset val="134"/>
      </rPr>
      <t>3</t>
    </r>
    <r>
      <rPr>
        <sz val="8"/>
        <rFont val="宋体"/>
        <charset val="134"/>
      </rPr>
      <t>厚</t>
    </r>
    <r>
      <rPr>
        <sz val="8"/>
        <rFont val="Arial"/>
        <charset val="134"/>
      </rPr>
      <t>100*50</t>
    </r>
    <r>
      <rPr>
        <sz val="8"/>
        <rFont val="宋体"/>
        <charset val="134"/>
      </rPr>
      <t>热镀锌矩管，面饰深咖色金属氟碳漆喷砂面</t>
    </r>
    <r>
      <rPr>
        <sz val="8"/>
        <rFont val="Arial"/>
        <charset val="134"/>
      </rPr>
      <t xml:space="preserve">                                                                                                      4</t>
    </r>
    <r>
      <rPr>
        <sz val="8"/>
        <rFont val="宋体"/>
        <charset val="134"/>
      </rPr>
      <t>.</t>
    </r>
    <r>
      <rPr>
        <sz val="8"/>
        <rFont val="Arial"/>
        <charset val="134"/>
      </rPr>
      <t>2</t>
    </r>
    <r>
      <rPr>
        <sz val="8"/>
        <rFont val="宋体"/>
        <charset val="134"/>
      </rPr>
      <t>厚热镀锌钢板按形弯折面饰深咖色金属氟碳漆喷砂面</t>
    </r>
    <r>
      <rPr>
        <sz val="8"/>
        <rFont val="Arial"/>
        <charset val="134"/>
      </rPr>
      <t xml:space="preserve">
5</t>
    </r>
    <r>
      <rPr>
        <sz val="8"/>
        <rFont val="宋体"/>
        <charset val="134"/>
      </rPr>
      <t>.预埋件：</t>
    </r>
    <r>
      <rPr>
        <sz val="8"/>
        <rFont val="Arial"/>
        <charset val="134"/>
      </rPr>
      <t>8</t>
    </r>
    <r>
      <rPr>
        <sz val="8"/>
        <rFont val="宋体"/>
        <charset val="134"/>
      </rPr>
      <t>厚</t>
    </r>
    <r>
      <rPr>
        <sz val="8"/>
        <rFont val="Arial"/>
        <charset val="134"/>
      </rPr>
      <t>150*150</t>
    </r>
    <r>
      <rPr>
        <sz val="8"/>
        <rFont val="宋体"/>
        <charset val="134"/>
      </rPr>
      <t>热镀锌钢板</t>
    </r>
    <r>
      <rPr>
        <sz val="8"/>
        <rFont val="Arial"/>
        <charset val="134"/>
      </rPr>
      <t xml:space="preserve"> 4M8</t>
    </r>
    <r>
      <rPr>
        <sz val="8"/>
        <rFont val="宋体"/>
        <charset val="134"/>
      </rPr>
      <t>膨胀螺栓</t>
    </r>
    <r>
      <rPr>
        <sz val="8"/>
        <rFont val="Arial"/>
        <charset val="134"/>
      </rPr>
      <t xml:space="preserve">
6</t>
    </r>
    <r>
      <rPr>
        <sz val="8"/>
        <rFont val="宋体"/>
        <charset val="134"/>
      </rPr>
      <t>.其它满足规范和设计图纸要求</t>
    </r>
  </si>
  <si>
    <t>1.规格种类：□50*50*3镀锌矩管，150*100*6镀锌矩管，面饰氟碳漆喷涂
2.制作安装
3.其它说明：其他满足规范和图纸设计要求</t>
  </si>
  <si>
    <t>落水管</t>
  </si>
  <si>
    <t>1.110PVC落水管
2.其他说明：详见相关设计图纸、相关要求及规范</t>
  </si>
  <si>
    <t>大门C25混凝土柱</t>
  </si>
  <si>
    <t>大门结构基础不在本次施工范围</t>
  </si>
  <si>
    <t>花岗岩装饰柱</t>
  </si>
  <si>
    <t>1.120厚亚光面黄金麻花岗岩                                 2.其他说明：详见相关设计图纸、相关要求及规范</t>
  </si>
  <si>
    <t>1.25厚亚光面黄金麻花岗岩                                 2.其他说明：详见相关设计图纸、相关要求及规范</t>
  </si>
  <si>
    <t>回形纹一</t>
  </si>
  <si>
    <t>1.2厚咖色铝合金造型，凹15mm
2.其它说明：其它满足规范和设计图纸要求</t>
  </si>
  <si>
    <t>回形纹二</t>
  </si>
  <si>
    <t>十四.1</t>
  </si>
  <si>
    <t>西侧大门铁艺门一基础做法</t>
  </si>
  <si>
    <t>1.50厚级配碎石垫层
2.压实度不小于93%
3.其它说明：其它满足规范和设计图纸要求</t>
  </si>
  <si>
    <t>1.混凝土强度等级:70厚C20混凝土垫层
2.混凝土拌合料要求：符合规范要求
3.模板安拆费用计入综合单价，支模方式综合考虑
4.其它满足规范和设计图纸要求</t>
  </si>
  <si>
    <t>预埋铁件</t>
  </si>
  <si>
    <t>1.M16地脚螺栓，450*450*10镀锌钢板，120*200*10镀锌加肋板                                                2.其它说明：其它满足规范和设计图纸要求</t>
  </si>
  <si>
    <t>C20混凝土柱脚</t>
  </si>
  <si>
    <t>1.混凝土强度等级:C20混凝土垫层
2.混凝土拌合料要求：符合规范要求
3.模板安拆费用计入综合单价，支模方式综合考虑
4.其它满足规范和设计图纸要求</t>
  </si>
  <si>
    <t>十四.2</t>
  </si>
  <si>
    <t>西侧大门铁艺门二基础做法</t>
  </si>
  <si>
    <t>十五</t>
  </si>
  <si>
    <t>石凳 LD-10.01</t>
  </si>
  <si>
    <t>石凳一</t>
  </si>
  <si>
    <t>烧面卡西奥中灰仿石砖</t>
  </si>
  <si>
    <t>1.18厚烧面卡西奥中灰仿石砖弧形加工
2.20厚1：3干硬性水泥砂浆粘结层
3.其它满足规范和设计图纸要求</t>
  </si>
  <si>
    <t>1.混凝土强度等级:100mm厚C20混凝土
2.混凝土拌合料要求：符合规范要求
3.模板安拆费用计入综合单价，支模方式综合考虑
4.其它说明：其它满足规范和设计图纸要求</t>
  </si>
  <si>
    <t>1、MU10页岩砖，M7.5水泥砂浆砌筑
2.15厚1:3水泥砂浆防潮层（掺5%防水剂）
3.其它说明：其它满足规范和设计图纸要求</t>
  </si>
  <si>
    <t>石凳二（弧形）</t>
  </si>
  <si>
    <t>1.MU10页岩砖，M7.5水泥砂浆砌筑
2.20厚水泥砂浆防潮层（掺5%防水剂）
3.其它说明：其它满足规范和设计图纸要求</t>
  </si>
  <si>
    <t>十六</t>
  </si>
  <si>
    <t>车库廊架LD-16.01</t>
  </si>
  <si>
    <t>LOGO发光字、龙门灯箱不在本次施工范围</t>
  </si>
  <si>
    <t>钢化夹胶玻璃</t>
  </si>
  <si>
    <t>1.6+0.76PVB+6透明钢化夹胶玻璃
2.专业玻璃胶固定，缝隙处密封胶填实
3.立面玻璃成品玻璃卡件，玻璃与建筑物交接处密封胶填实
4.其他说明：其它满足规范和设计图纸要求</t>
  </si>
  <si>
    <t>方钢主梁</t>
  </si>
  <si>
    <t>1.200*150*10厚镀锌矩形钢
2.深咖色氟碳漆饰面
3.预埋件、喷砂除锈喷漆及构件吊运等措施
4.其它说明：其它满足规范和设计图纸要求</t>
  </si>
  <si>
    <t>方钢次梁</t>
  </si>
  <si>
    <t>1150*50*4厚镀锌矩形钢
2.深咖色氟碳漆饰面
3.预埋件、喷砂除锈喷漆及构件吊运等措施
4.其它说明：其它满足规范和设计图纸要求</t>
  </si>
  <si>
    <t>方钢立柱</t>
  </si>
  <si>
    <t>1.150*150*8厚镀锌矩形钢（不含柱脚预埋件）
2.深咖色氟碳漆饰面
3.预埋件、喷砂除锈喷漆及构件吊运等措施
4.其它说明：其它满足规范和设计图纸要求</t>
  </si>
  <si>
    <t>镀锌钢板</t>
  </si>
  <si>
    <t>1.2厚镀锌钢板按形折弯，面饰深咖啡色金属氟碳漆喷砂面（展开面积）
2.其它说明：其它满足规范和设计图纸要求</t>
  </si>
  <si>
    <t>U形钢板</t>
  </si>
  <si>
    <t>1.40*40*4厚U形钢板，通长
2.面饰深咖啡色金属氟碳漆喷砂面（展开面积）
3.其它说明：其它满足规范和设计图纸要求</t>
  </si>
  <si>
    <t>涂料墙面</t>
  </si>
  <si>
    <t>1.仿黄金麻真石漆涂料饰面
2.真石漆做法为：腻子、底漆、中涂、面漆（详见答疑回复）
3.30厚1:2.5水泥砂浆找平层
4.其它说明：其他满足规范和图纸设计要求</t>
  </si>
  <si>
    <r>
      <rPr>
        <sz val="9"/>
        <rFont val="宋体"/>
        <charset val="134"/>
      </rPr>
      <t xml:space="preserve">备注：
</t>
    </r>
    <r>
      <rPr>
        <sz val="9"/>
        <rFont val="Arial"/>
        <charset val="134"/>
      </rPr>
      <t>1</t>
    </r>
    <r>
      <rPr>
        <sz val="9"/>
        <rFont val="宋体"/>
        <charset val="134"/>
      </rPr>
      <t>、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t>
    </r>
    <r>
      <rPr>
        <sz val="9"/>
        <rFont val="Arial"/>
        <charset val="134"/>
      </rPr>
      <t xml:space="preserve">
2</t>
    </r>
    <r>
      <rPr>
        <sz val="9"/>
        <rFont val="宋体"/>
        <charset val="134"/>
      </rPr>
      <t>、本工程清单，无论是否存在缺项、漏项、工程量偏差，均视为乙方已综合考虑在含税固定合同总价内。</t>
    </r>
  </si>
  <si>
    <t>洛宁山水文苑一期大区景观工程绿植乔木清单及计价表</t>
  </si>
  <si>
    <t>名称</t>
  </si>
  <si>
    <t>规格</t>
  </si>
  <si>
    <t>数量
g</t>
  </si>
  <si>
    <t>含税固定综合单价（元）f=(a+b+c+d+e)</t>
  </si>
  <si>
    <t>胸径/地径(cm)</t>
  </si>
  <si>
    <t>树高(m)</t>
  </si>
  <si>
    <t>冠径(m)</t>
  </si>
  <si>
    <t>分支点（m）</t>
  </si>
  <si>
    <t>乔木</t>
  </si>
  <si>
    <t>丛生桂花A</t>
  </si>
  <si>
    <t>D20</t>
  </si>
  <si>
    <t>1.8-2</t>
  </si>
  <si>
    <t>株</t>
  </si>
  <si>
    <t>分支点高度＜50cm，3分枝，自然冠，全冠移植</t>
  </si>
  <si>
    <t>丛生桂花B</t>
  </si>
  <si>
    <t>D16</t>
  </si>
  <si>
    <t>1-1.2</t>
  </si>
  <si>
    <t>分支点高度＜50cm，冠密实饱满，全冠移植</t>
  </si>
  <si>
    <t>丛生桂花C</t>
  </si>
  <si>
    <t>D12</t>
  </si>
  <si>
    <t>银杏</t>
  </si>
  <si>
    <t>22</t>
  </si>
  <si>
    <t>作为行道树使用，分枝点统一为2.1米左右，主分枝3-5枝，树形饱满，全冠</t>
  </si>
  <si>
    <t>榉树</t>
  </si>
  <si>
    <t>25</t>
  </si>
  <si>
    <t>6.5-7</t>
  </si>
  <si>
    <t>2-2.5</t>
  </si>
  <si>
    <t>国槐A</t>
  </si>
  <si>
    <t>9-9.5</t>
  </si>
  <si>
    <t>5-5.5</t>
  </si>
  <si>
    <t>主分枝3-5枝,姿态自然树形饱满，全冠</t>
  </si>
  <si>
    <t>国槐B</t>
  </si>
  <si>
    <t>24</t>
  </si>
  <si>
    <t>7.5-8</t>
  </si>
  <si>
    <t>4.5-5</t>
  </si>
  <si>
    <t>国槐C</t>
  </si>
  <si>
    <t>20</t>
  </si>
  <si>
    <t>主分枝3-5枝姿态自然树形饱满，全冠</t>
  </si>
  <si>
    <t>乌桕A</t>
  </si>
  <si>
    <t>1-1.5</t>
  </si>
  <si>
    <t>3以上主分枝，实生苗,树形优美,主于弯曲，树斑形优美，全冠移栽两年以上</t>
  </si>
  <si>
    <t>乌桕B</t>
  </si>
  <si>
    <t>5.5-6</t>
  </si>
  <si>
    <t>斜飘乌柏，造型优美飘逸，注意斜飘方向</t>
  </si>
  <si>
    <t>乌桕C</t>
  </si>
  <si>
    <t>斜飘鸟柏，造型优美飘逸，全冠移植</t>
  </si>
  <si>
    <t>乌桕D</t>
  </si>
  <si>
    <t>白蜡</t>
  </si>
  <si>
    <t>18</t>
  </si>
  <si>
    <t>8-8.5</t>
  </si>
  <si>
    <t>朴树A</t>
  </si>
  <si>
    <t>D27</t>
  </si>
  <si>
    <t>0.8-1.2</t>
  </si>
  <si>
    <t>3以上主分枝，枝繁叶茂，树形优美树形优美，全冠移栽两年以上</t>
  </si>
  <si>
    <t>朴树B</t>
  </si>
  <si>
    <t>朴树C</t>
  </si>
  <si>
    <t>4-4.5</t>
  </si>
  <si>
    <t>3以上主分枝.，分支点2.3m以上，枝繁叶茂，树形优美树形优美，全冠移栽两年以</t>
  </si>
  <si>
    <t>日本晚樱</t>
  </si>
  <si>
    <r>
      <rPr>
        <sz val="10"/>
        <rFont val="宋体"/>
        <charset val="134"/>
      </rPr>
      <t>D</t>
    </r>
    <r>
      <rPr>
        <sz val="10"/>
        <rFont val="新宋体"/>
        <charset val="134"/>
      </rPr>
      <t>14</t>
    </r>
  </si>
  <si>
    <t>1.2-1.5</t>
  </si>
  <si>
    <t>分枝点80cm高，全冠移植</t>
  </si>
  <si>
    <t>山杏A</t>
  </si>
  <si>
    <t>D26</t>
  </si>
  <si>
    <t>0.2-0.6</t>
  </si>
  <si>
    <t>分枝点高度&lt;50cm，3分枝，全冠移植</t>
  </si>
  <si>
    <t>山杏B</t>
  </si>
  <si>
    <t>分枝点高度＜50cm，3分枝，全冠移植</t>
  </si>
  <si>
    <t>樱桃</t>
  </si>
  <si>
    <t>D15</t>
  </si>
  <si>
    <t>分枝点高度＜50cm，冠密实饱满，全冠移植</t>
  </si>
  <si>
    <t>苹果</t>
  </si>
  <si>
    <t>山楂</t>
  </si>
  <si>
    <t>D14</t>
  </si>
  <si>
    <t>腊梅</t>
  </si>
  <si>
    <t>高杆红叶石楠</t>
  </si>
  <si>
    <t>D8</t>
  </si>
  <si>
    <t>分枝点高度&lt;100cm，3分枝，树冠浑圆，全冠移植</t>
  </si>
  <si>
    <t>地笼桂</t>
  </si>
  <si>
    <t>D18</t>
  </si>
  <si>
    <t>冠形饱满，全冠移植</t>
  </si>
  <si>
    <t>早樱A</t>
  </si>
  <si>
    <t>分支点高度150cm，树形优美飘逸，全冠移植</t>
  </si>
  <si>
    <t>早樱B</t>
  </si>
  <si>
    <t>分支点高度120cm，树形优美飘逸，全冠移植</t>
  </si>
  <si>
    <t>绚丽海棠</t>
  </si>
  <si>
    <t>D13</t>
  </si>
  <si>
    <t>红梅</t>
  </si>
  <si>
    <t>D24</t>
  </si>
  <si>
    <t>分支点&lt;50cm，树形飘逸，全冠，小枝头少</t>
  </si>
  <si>
    <t>丛生紫薇A</t>
  </si>
  <si>
    <t>4杆以上，树形饱满，全冠</t>
  </si>
  <si>
    <t>丛生紫薇B</t>
  </si>
  <si>
    <t>果石榴A</t>
  </si>
  <si>
    <t>3.2-3.5</t>
  </si>
  <si>
    <t>低分点&lt;30cm，4分枝，树形优美全冠移植</t>
  </si>
  <si>
    <t>果石榴B</t>
  </si>
  <si>
    <t>2.5-2.8</t>
  </si>
  <si>
    <t>2.5-3</t>
  </si>
  <si>
    <t>低分点＜30cm，4分枝，树形优美全冠移植</t>
  </si>
  <si>
    <t>造型黑松B</t>
  </si>
  <si>
    <t>弯杆造型，形态古朴自然，全冠移植</t>
  </si>
  <si>
    <t>鸡爪槭A</t>
  </si>
  <si>
    <t>0.3-0.8</t>
  </si>
  <si>
    <t>分枝点高度&lt;50cm，3分枝，自然冠，全冠移植</t>
  </si>
  <si>
    <t>鸡爪槭B</t>
  </si>
  <si>
    <t>0.3-0.6</t>
  </si>
  <si>
    <t>鸡爪槭C</t>
  </si>
  <si>
    <t>D10</t>
  </si>
  <si>
    <t>红枫A</t>
  </si>
  <si>
    <t>红枫B</t>
  </si>
  <si>
    <t>红枫C</t>
  </si>
  <si>
    <t>D9</t>
  </si>
  <si>
    <t>红叶石楠柱</t>
  </si>
  <si>
    <t>2-2.2</t>
  </si>
  <si>
    <t>低分枝，修剪规则</t>
  </si>
  <si>
    <t>备注：
1、含税固定综合单价应包括人工费、材料费、机械费、管理费、利润、税金、风险等所发生的和可能发生的一切费用，此综合单价一次性包干，是固定不变的,不因任何市场因素及政策性调整而变动。
含税固定综合单价已包括苗木的移栽、种植、养护（两年养护期）、保活等所有一切费用在内，该综合单价固定不变，不因任何因素的调整而变化。
2、选苗胸径/基径的浮动范围应不小于标注胸径/基径，且修剪后苗木冠幅、高度不能小于以上设计规格标准，基径按照离地30公分处测量；
3、三方选定乔木必须由甲方、设计方、施工方共同确定树形；
4、所有乔木需保证全冠栽植，可在保全树形的前提下适当疏枝疏叶;
5、特选斜飘丛生朴树、特选弯杆朴树、特选斜飘山杏、丛生鸡爪槭与水景边红梅、丛生乌桕等乔木的倾斜方向参照植物配置图中的箭头方向</t>
  </si>
  <si>
    <t>洛宁山水文苑一期大区景观工程绿植灌木地被清单及计价表</t>
  </si>
  <si>
    <t>备注（密度仅供参考,以不见土为原则）</t>
  </si>
  <si>
    <t>高度(m)</t>
  </si>
  <si>
    <t>种植密度
(株/m²)</t>
  </si>
  <si>
    <t>蓬径(m)</t>
  </si>
  <si>
    <t>凌霄花</t>
  </si>
  <si>
    <t>全冠移植</t>
  </si>
  <si>
    <t>藤本月季</t>
  </si>
  <si>
    <t>大游行，全冠移植</t>
  </si>
  <si>
    <t>八角金盘-点缀</t>
  </si>
  <si>
    <t>美植袋种植苗，可拼栽</t>
  </si>
  <si>
    <t>大叶黄杨球A</t>
  </si>
  <si>
    <t>底部不脱节，球形圆满密实，全冠移植，修剪后的规格</t>
  </si>
  <si>
    <t>大叶黄杨球B</t>
  </si>
  <si>
    <t>海桐球A</t>
  </si>
  <si>
    <t>海桐球B</t>
  </si>
  <si>
    <t>海桐球C</t>
  </si>
  <si>
    <t>红叶石楠球A</t>
  </si>
  <si>
    <t>红叶石楠球B</t>
  </si>
  <si>
    <t>金边胡颓子球</t>
  </si>
  <si>
    <t>椤木石楠球</t>
  </si>
  <si>
    <t>瓜子黄杨球A</t>
  </si>
  <si>
    <t>瓜子黄杨球B</t>
  </si>
  <si>
    <t>树月季</t>
  </si>
  <si>
    <t>1.2-1.3</t>
  </si>
  <si>
    <t>分枝点60cm,冠幅饱满，全冠移植</t>
  </si>
  <si>
    <t>金叶女贞球</t>
  </si>
  <si>
    <t>南天竹A</t>
  </si>
  <si>
    <t>南天竹B</t>
  </si>
  <si>
    <t>刚竹</t>
  </si>
  <si>
    <t>0.6-0.8</t>
  </si>
  <si>
    <t>㎡</t>
  </si>
  <si>
    <t>林下套种麦冬，满铺不漏土</t>
  </si>
  <si>
    <t>北海道黄杨篱</t>
  </si>
  <si>
    <t>6棵/米/排</t>
  </si>
  <si>
    <t>0.4-0.45</t>
  </si>
  <si>
    <t>单排种植，毛球苗，不漏缝隙</t>
  </si>
  <si>
    <t>大叶黄杨</t>
  </si>
  <si>
    <t>0.45-0.5</t>
  </si>
  <si>
    <t>0.25-0.3</t>
  </si>
  <si>
    <t>修剪后规格，满铺不漏土</t>
  </si>
  <si>
    <t>八角金盘</t>
  </si>
  <si>
    <t>0.5-0.6</t>
  </si>
  <si>
    <t>0.3-0.4</t>
  </si>
  <si>
    <t>3-5芽/丛，满铺不漏土</t>
  </si>
  <si>
    <t>红叶石楠</t>
  </si>
  <si>
    <t>0.2-0.25</t>
  </si>
  <si>
    <t>毛球苗，修剪后规格，具体密度满足设计效果以满铺不漏土为主</t>
  </si>
  <si>
    <t>毛鹃</t>
  </si>
  <si>
    <t>0.15-0.2</t>
  </si>
  <si>
    <t>红花继木</t>
  </si>
  <si>
    <t>瓜子黄杨</t>
  </si>
  <si>
    <t>金森女贞</t>
  </si>
  <si>
    <t>0.35-0.4</t>
  </si>
  <si>
    <t>细叶麦冬</t>
  </si>
  <si>
    <t>修剪后规格，具体密度满足设计效果以满铺不漏土为主</t>
  </si>
  <si>
    <t>金叶石菖蒲</t>
  </si>
  <si>
    <t>精品苗，具体密度满足设计效果以满铺不漏土为主</t>
  </si>
  <si>
    <t>鸢尾</t>
  </si>
  <si>
    <t>2加仑，满铺不漏土</t>
  </si>
  <si>
    <t>月季</t>
  </si>
  <si>
    <t>果汁阳台，2加仑</t>
  </si>
  <si>
    <t>绣球</t>
  </si>
  <si>
    <t>0.6-0.7</t>
  </si>
  <si>
    <t>0.3-0.35</t>
  </si>
  <si>
    <t>2加仑苗，修剪后规格，满铺不漏土</t>
  </si>
  <si>
    <t>大吴风草</t>
  </si>
  <si>
    <t>0.3-0.5</t>
  </si>
  <si>
    <t>0.2-0.4</t>
  </si>
  <si>
    <t>2加仑苗，满铺不漏土</t>
  </si>
  <si>
    <t>绵毛水苏</t>
  </si>
  <si>
    <t>银叶菊</t>
  </si>
  <si>
    <t>矾根</t>
  </si>
  <si>
    <t>120盆苗，满铺不漏土</t>
  </si>
  <si>
    <t>细叶美女樱</t>
  </si>
  <si>
    <t>络石</t>
  </si>
  <si>
    <t>人造草坪</t>
  </si>
  <si>
    <t>0.05-0.1</t>
  </si>
  <si>
    <t>固定牢靠,具体密度满足设计效果以满铺不漏土为主</t>
  </si>
  <si>
    <t>草坪</t>
  </si>
  <si>
    <t>台湾2#草坪，3cm细沙覆盖土壤后,具体密度满足设计效果以满铺不漏土为主</t>
  </si>
  <si>
    <t>整理微地形</t>
  </si>
  <si>
    <t>投影面积</t>
  </si>
  <si>
    <t>景观石一</t>
  </si>
  <si>
    <t>块</t>
  </si>
  <si>
    <r>
      <rPr>
        <sz val="10"/>
        <rFont val="宋体"/>
        <charset val="134"/>
      </rPr>
      <t>长1.8m*宽1.4m*高1m</t>
    </r>
    <r>
      <rPr>
        <sz val="10"/>
        <color rgb="FFFF0000"/>
        <rFont val="宋体"/>
        <charset val="134"/>
      </rPr>
      <t>，具体选型以甲方要求为准</t>
    </r>
  </si>
  <si>
    <t>景观石二</t>
  </si>
  <si>
    <r>
      <rPr>
        <sz val="10"/>
        <rFont val="宋体"/>
        <charset val="134"/>
      </rPr>
      <t>长1.8m*宽1m*高1m</t>
    </r>
    <r>
      <rPr>
        <sz val="10"/>
        <color rgb="FFFF0000"/>
        <rFont val="宋体"/>
        <charset val="134"/>
      </rPr>
      <t>，具体选型以甲方要求为准</t>
    </r>
  </si>
  <si>
    <t>景观石三</t>
  </si>
  <si>
    <r>
      <rPr>
        <sz val="10"/>
        <rFont val="宋体"/>
        <charset val="134"/>
      </rPr>
      <t>长1.5m*宽0.8m*高0.8m</t>
    </r>
    <r>
      <rPr>
        <sz val="10"/>
        <color rgb="FFFF0000"/>
        <rFont val="宋体"/>
        <charset val="134"/>
      </rPr>
      <t>，具体选型以甲方要求为准</t>
    </r>
  </si>
  <si>
    <t>说明：以上苗木规格均为修剪后苗木规格</t>
  </si>
  <si>
    <r>
      <rPr>
        <sz val="10"/>
        <rFont val="宋体"/>
        <charset val="134"/>
      </rPr>
      <t xml:space="preserve">备注：
1、含税固定综合单价应包括人工费、材料费、机械费、管理费、利润、税金、风险等所发生的和可能发生的一切费用，此综合单价一次性包干，是固定不变的,不因任何市场因素及政策性调整而变动。
含税固定综合单价已包括苗木的移栽、种植、养护（两年养护期）、保活等所有一切费用在内，该综合单价固定不变，不因任何因素的调整而变化。
2、选苗胸径/基径的浮动范围应不小于标注胸径/基径，且修剪后苗木冠幅、高度不能小于以上设计规格标准，基径按照离地30公分处测量；
3、三方选定乔木必须由甲方、设计方、施工方共同确定树形；
4、所有乔木需保证全冠栽植，可在保全树形的前提下适当疏枝疏叶;
5、特选斜飘丛生朴树、特选弯杆朴树、特选斜飘山杏、丛生鸡爪槭与水景边红梅、丛生乌桕等乔木的倾斜方向参照植物配置图中的箭头方向
</t>
    </r>
    <r>
      <rPr>
        <sz val="10"/>
        <color rgb="FFFF0000"/>
        <rFont val="宋体"/>
        <charset val="134"/>
      </rPr>
      <t>6、地被部分具体密度满足设计效果以满铺不漏土为主</t>
    </r>
  </si>
  <si>
    <t>洛宁山水文苑一期大区景观工程景观水电招标清单与计价表</t>
  </si>
  <si>
    <t>工程项目名称</t>
  </si>
  <si>
    <t>工程内容</t>
  </si>
  <si>
    <t>含税综合单价(元)
f=(a+b+c+d+e)</t>
  </si>
  <si>
    <t>品牌</t>
  </si>
  <si>
    <t>管理费及利润
d=(a+b+c)*费率</t>
  </si>
  <si>
    <t>税金
e=(a+b+c+d)*费率</t>
  </si>
  <si>
    <t>景观照明</t>
  </si>
  <si>
    <t>配电箱</t>
  </si>
  <si>
    <t>1.名称:配电箱AL-1
2.规格:800*1200*370
3.含预埋、接地、端子接线等
4.未详尽处满足图纸设计、相关规范要求</t>
  </si>
  <si>
    <t>台</t>
  </si>
  <si>
    <t>德力西、天正、正泰</t>
  </si>
  <si>
    <t>低压变压器</t>
  </si>
  <si>
    <t>1.名称:低压变压器
2.型号：220V/24,12V
3.手孔井内安装
4.详见大样图
5.未详尽处满足图纸设计、相关规范要求</t>
  </si>
  <si>
    <t>普丁杜、上峰、人民</t>
  </si>
  <si>
    <t>室外分线盒</t>
  </si>
  <si>
    <t>1.名称:室外分线盒
2.未详尽处满足图纸设计、相关规范要求</t>
  </si>
  <si>
    <t>正泰</t>
  </si>
  <si>
    <t>庭院灯</t>
  </si>
  <si>
    <t>1.名称:庭院灯
2.规格：200*200 H=3200 50W LED 不锈钢拉丝仿铜 4500lm 3000K 220V IP65
3.含灯具基础、预埋基础螺栓、接地、调试等
4.详见景观详图
5.未详尽处满足图纸设计、相关规范要求</t>
  </si>
  <si>
    <t>光源为飞利浦、欧普、雷士</t>
  </si>
  <si>
    <t>草坪灯</t>
  </si>
  <si>
    <t>1.名称:草坪灯
2.规格：200*200,H=600 LED，10W 不锈钢拉丝仿铜 1000lm 3000K 220V IP65
3.含灯具基础、预埋基础螺栓、接地、调试等
4.详见景观详图
5.未详尽处满足图纸设计、相关规范要求</t>
  </si>
  <si>
    <t>特色灯</t>
  </si>
  <si>
    <t>1.名称:特色灯
2.规格：400*400 H=340 LED，10W 不锈钢拉丝仿铜 1000Lm 3000K 220V IP65
3.含灯具基础、预埋基础螺栓、接地、调试等
4.详见景观详图
5.未详尽处满足图纸设计、相关规范要求</t>
  </si>
  <si>
    <t>射树灯</t>
  </si>
  <si>
    <t>1.名称:射树灯
2.规格：φ100  H=300mm LED，20W 不锈钢 光束角75度，1800lm 3000K 220V IP67
3.详见景观详图
4.未详尽处满足图纸设计、相关规范要求</t>
  </si>
  <si>
    <t>雷士、欧司朗、三思</t>
  </si>
  <si>
    <t>防水接线盒</t>
  </si>
  <si>
    <t>1.名称：防水接线盒
2.规格：86型、一进一出
3.详见景观详图
4.未详尽处满足图纸设计、相关规范要求</t>
  </si>
  <si>
    <t>洗墙灯</t>
  </si>
  <si>
    <t>1.名称:洗墙灯
2.规格：LED，15W 不锈钢 1500lm 3000K 220V IP67
3.详见景观详图
4.未详尽处满足图纸设计、相关规范要求</t>
  </si>
  <si>
    <t>环形水下灯</t>
  </si>
  <si>
    <t>1.名称:环形水下灯
2.规格：LED，1W*12,不锈钢 3000k 12V IP68
3.详见景观详图
4.未详尽处满足图纸设计、相关规范要求</t>
  </si>
  <si>
    <t>灯带</t>
  </si>
  <si>
    <t>1.名称:灯带
2.规格：24V,5W/m LED/3000k IP67,成品卡槽固定
3.灯槽预留安装
4.详见景观详图
5.未详尽处满足图纸设计、相关规范要求</t>
  </si>
  <si>
    <t>条形灯（含造型）</t>
  </si>
  <si>
    <t>1.名称:条形灯（含造型）
2.规格：220v,5w/m LED/3000k IP67,成品灯具，成品卡槽拉通固   3.灯槽预留安装
4.详见水景景墙详图
5.未详尽处满足图纸设计、相关规范要求</t>
  </si>
  <si>
    <t>1.名称:灯带
2.规格：220v,5w/m LED/3000k IP67,成品灯具，成品卡槽拉通固定   
3.灯槽预留安装
4.详见廊架、水景景墙详图
5.未详尽处满足图纸设计、相关规范要求</t>
  </si>
  <si>
    <t>吸顶筒灯</t>
  </si>
  <si>
    <t>1.名称:吸顶筒灯
2.规格：220v,10w LED/3000K
3.详见廊架详图
4.未详尽处满足图纸设计、相关规范要求</t>
  </si>
  <si>
    <t>吊灯</t>
  </si>
  <si>
    <t>接线盒</t>
  </si>
  <si>
    <t>1.名称：PVC接线盒
2.规格：86型
3.详见景观详图
4.未详尽处满足图纸设计、相关规范要求</t>
  </si>
  <si>
    <t>手孔井1</t>
  </si>
  <si>
    <t>1.名称:手孔井1
2.规格:400*400*500(净尺寸)
3.未详尽处满足图纸设计、相关规范要求</t>
  </si>
  <si>
    <t>座</t>
  </si>
  <si>
    <t>手孔井2</t>
  </si>
  <si>
    <t>1.名称:手孔井2
2.规格:600*600*500(净尺寸)
3.未详尽处满足图纸设计、相关规范要求</t>
  </si>
  <si>
    <t>景观电箱基础</t>
  </si>
  <si>
    <t>1.名称:景观电箱基础
2.规格:600*1040*700（外尺寸）
3.未详尽处满足图纸设计、相关规范要求</t>
  </si>
  <si>
    <t>接地母线</t>
  </si>
  <si>
    <t>1.名称：接地母线
2.规格：镀锌扁钢40*4
3.景观照明配电箱基础接地
4.未详尽处满足图纸设计、相关规范要求</t>
  </si>
  <si>
    <t>1.名称：接地母线
2.规格：镀锌扁钢25*4
3.景观水池接地
4.未详尽处满足图纸设计、相关规范要求</t>
  </si>
  <si>
    <t>接地体</t>
  </si>
  <si>
    <t>1.名称：接地体
2.规格：不锈钢50*50*5
3.景观照明配电箱基础接地
4.未详尽处满足图纸设计、相关规范要求</t>
  </si>
  <si>
    <t>根</t>
  </si>
  <si>
    <t>端子板</t>
  </si>
  <si>
    <t>1.名称：LEB端子板
2.规格：铜排40*4
3.水景水池进线井内安装
4.未详尽处满足图纸设计、相关规范要求</t>
  </si>
  <si>
    <t>配管</t>
  </si>
  <si>
    <t>1.名称：配管
2.规格：PC65
3.敷设方式:埋地敷设
4.未详尽处满足图纸设计、相关规范要求</t>
  </si>
  <si>
    <t>联塑、中财</t>
  </si>
  <si>
    <t>1.名称：配管
2.规格：PVC32
3.敷设方式:埋地敷设
4.未详尽处满足图纸设计、相关规范要求</t>
  </si>
  <si>
    <t>1.名称：配管
2.规格：PVC25
3.敷设方式:埋地敷设
4.未详尽处满足图纸设计、相关规范要求</t>
  </si>
  <si>
    <t>景观照明箱进线电缆</t>
  </si>
  <si>
    <t>1.名称：景观照明箱进线电缆
2.规格：YJV-4*25+1*16
3.敷设方式:穿管敷设
4.未详尽处满足图纸设计、相关规范要求</t>
  </si>
  <si>
    <t>郑缆、金水</t>
  </si>
  <si>
    <t>电缆</t>
  </si>
  <si>
    <t>1.名称：电缆
2.规格：YJV-5*6
3.敷设方式:穿管敷设
4.未详尽处满足图纸设计、相关规范要求</t>
  </si>
  <si>
    <t>1.名称：电缆
2.规格：YJV-5*4
3.敷设方式:穿管敷设
4.未详尽处满足图纸设计、相关规范要求</t>
  </si>
  <si>
    <t>1.名称：电缆
2.规格：YJV-4*4
3.敷设方式:穿管敷设
4.未详尽处满足图纸设计、相关规范要求</t>
  </si>
  <si>
    <t>1.名称：电缆
2.规格：YJV-3*4
3.敷设方式:穿管敷设
4.未详尽处满足图纸设计、相关规范要求</t>
  </si>
  <si>
    <t>1.名称：电缆
2.规格：YJV-3*2.5
3.敷设方式:穿管敷设
4.未详尽处满足图纸设计、相关规范要求</t>
  </si>
  <si>
    <t>1.名称：电缆
2.规格：RVV-2X2.5
3.敷设方式:穿管敷设
4.未详尽处满足图纸设计、相关规范要求</t>
  </si>
  <si>
    <t>1.名称：电缆
2.规格：JHS-4X4（设备自带线缆）
3.敷设方式:穿管敷设
4.未详尽处满足图纸设计、相关规范要求</t>
  </si>
  <si>
    <t>1.名称：电缆
2.规格：JHS-2X4
3.敷设方式:穿管敷设
4.未详尽处满足图纸设计、相关规范要求</t>
  </si>
  <si>
    <t>电缆头</t>
  </si>
  <si>
    <t>1.名称:电缆头
2.规格：≤10mm2
3.未详尽处满足图纸设计、相关规范要求</t>
  </si>
  <si>
    <t>1.名称:电缆头
2.规格：≤10mm2，五芯
3.未详尽处满足图纸设计、相关规范要求</t>
  </si>
  <si>
    <t>过车行道路保护套管</t>
  </si>
  <si>
    <t>1.名称:热镀锌钢管
2.规格：DN40
3.未详尽处满足图纸设计、相关规范要求</t>
  </si>
  <si>
    <t>1.名称:土方的开挖
2.含穿线管、配电箱基础、灯具基础、手孔井及变压器井土方
3.线路一致的管道按共沟挖土方</t>
  </si>
  <si>
    <t>回填土</t>
  </si>
  <si>
    <t>1.名称:土方的回填
2.含穿线管、配电箱基础、灯具基础、手孔井及变压器井土方</t>
  </si>
  <si>
    <t>西侧大门电气</t>
  </si>
  <si>
    <t>1.名称:西侧大门配电箱XM1
2.规格:非标
3.含预埋、接地、端子接线等
4.未详尽处满足图纸设计、相关规范要求</t>
  </si>
  <si>
    <t>1.名称:吸顶筒灯
2.规格：220v,20w LED
3.详见西侧大门电气详图
4.未详尽处满足图纸设计、相关规范要求</t>
  </si>
  <si>
    <t>吸顶灯</t>
  </si>
  <si>
    <t>1.名称:吸顶灯
2.规格：220V/35W
3.详见西侧大门电气详图
4.未详尽处满足图纸设计、相关规范要求</t>
  </si>
  <si>
    <t>1.名称:灯带
2.规格：220v,5w/m LED，成品卡槽拉通固定   
3.灯槽预留安装
4.详见西侧大门及入口景墙详图
5.未详尽处满足图纸设计、相关规范要求</t>
  </si>
  <si>
    <t>1.名称:条形灯（含造型）
2.规格：220v,5w/m LED/3000k IP67,成品灯具，成品卡槽拉通固   
3.灯槽预留安装
4.详见西侧大门电气详图
5.未详尽处满足图纸设计、相关规范要求</t>
  </si>
  <si>
    <t>两位开关</t>
  </si>
  <si>
    <t>1.名称:两位开关
2.规格：220V/10A  
3.H=1.3米
4.详见西侧大门电气详图
5.未详尽处满足图纸设计、相关规范要求</t>
  </si>
  <si>
    <t>普通插座</t>
  </si>
  <si>
    <t>1.名称:普通插座
2.规格：220V/16A 3+2孔
3.H=0.3m
4.详见西侧大门电气详图
5.未详尽处满足图纸设计、相关规范要求</t>
  </si>
  <si>
    <t>空调插座</t>
  </si>
  <si>
    <t>1.名称:空调插座
2.规格：220V/16A 3孔
3.H=2.2m.  
4.详见西侧大门电气详图
5.未详尽处满足图纸设计、相关规范要求</t>
  </si>
  <si>
    <t>防水插座</t>
  </si>
  <si>
    <t>1.名称:防水插座
2.规格：220V/16A 3+2孔
3.H=1.8m
4.详见西侧大门电气详图
5.未详尽处满足图纸设计、相关规范要求</t>
  </si>
  <si>
    <t>1.名称：配管
2.规格：PVC20
3.敷设方式:暗配
4.未详尽处满足图纸设计、相关规范要求</t>
  </si>
  <si>
    <t>配线</t>
  </si>
  <si>
    <t>1.名称：配线
2.规格：ZN-BV2.5
3.敷设方式:穿管敷设
4.未详尽处满足图纸设计、相关规范要求</t>
  </si>
  <si>
    <t>1.名称：配线
2.规格：ZN-BV4
3.敷设方式:穿管敷设
4.未详尽处满足图纸设计、相关规范要求</t>
  </si>
  <si>
    <t>景观给水</t>
  </si>
  <si>
    <t>高效节能取水器</t>
  </si>
  <si>
    <t>1.名称：高效节能取水器
2.规格：DN25
3.含埋地式(铜质)快速取水阀配套闸阀、2个成品箱体、铰接管等附件
4.未详尽处满足图纸设计、相关规范要求</t>
  </si>
  <si>
    <t>取水口（二合一）</t>
  </si>
  <si>
    <t>1.名称：取水口（二合一）
2.规格：DN25
3.含埋地式(铜质)快速取水阀配套闸阀、1个成品箱体、铰接管等附件
4.未详尽处满足图纸设计、相关规范要求</t>
  </si>
  <si>
    <t>闸阀</t>
  </si>
  <si>
    <t>1.名称：闸阀
2.规格：DN50
3.含法兰等附件安装
4.未详尽处满足图纸设计、相关规范要求</t>
  </si>
  <si>
    <t>纽威、冠龙、三花</t>
  </si>
  <si>
    <t>1.名称：闸阀
2.规格：DN65
3.含法兰等附件安装
4.未详尽处满足图纸设计、相关规范要求</t>
  </si>
  <si>
    <t>防止倒流阀</t>
  </si>
  <si>
    <t>1.名称：防止倒流阀
2.规格：DN65
3.含法兰等附件安装
4.未详尽处满足图纸设计、相关规范要求</t>
  </si>
  <si>
    <t>止回阀</t>
  </si>
  <si>
    <t>1.名称：止回阀
2.规格：DN65
3.含法兰等附件安装
4.未详尽处满足图纸设计、相关规范要求</t>
  </si>
  <si>
    <t>水表</t>
  </si>
  <si>
    <t>1.名称：水表
2.规格：DN65
3.含法兰等附件安装
4.未详尽处满足图纸设计、相关规范要求</t>
  </si>
  <si>
    <t>VB708成品箱体</t>
  </si>
  <si>
    <t>1.VB708成品箱体
2.附件：阀门及附件另计，井盖与井圈等满足规范及图纸要求
3.未详尽处满足图纸设计、相关规范要求</t>
  </si>
  <si>
    <t>检修球阀</t>
  </si>
  <si>
    <t>1.名称：检修球阀
2.规格：DN25
3.含法兰等附件安装
4.未详尽处满足图纸设计、相关规范要求</t>
  </si>
  <si>
    <t>给水阀门井（砖砌）</t>
  </si>
  <si>
    <t>1.给水阀门井 0.4*0.4*0.4m
2.附件：阀门及附件另计，井圈等满足规范及图纸要求
3.未详尽处满足图纸设计、相关规范要求</t>
  </si>
  <si>
    <t>1.给水阀门井 0.5*0.5*0.5m
2.附件：阀门及附件另计，井圈等满足规范及图纸要求
3.未详尽处满足图纸设计、相关规范要求</t>
  </si>
  <si>
    <t>水表井</t>
  </si>
  <si>
    <t>1.水表井
2.附件：阀门及附件另计，井圈等满足规范及图纸要求
3.未详尽处满足图纸设计、相关规范要求</t>
  </si>
  <si>
    <t>给水阀门井盖</t>
  </si>
  <si>
    <t>1.给水阀门井盖
2.未详尽处满足图纸设计、相关规范要求</t>
  </si>
  <si>
    <t>水表井井盖</t>
  </si>
  <si>
    <t>1.水表井井盖
2.未详尽处满足图纸设计、相关规范要求</t>
  </si>
  <si>
    <t>水龙头</t>
  </si>
  <si>
    <t>1.名称：水龙头
2.规格：DN20
3.含相关配件,未详尽处满足图纸设计、相关规范要求</t>
  </si>
  <si>
    <t>给水管</t>
  </si>
  <si>
    <t>1.名称：PE给水管,S6.3系列
2.规格：De25
3.连接方式：热熔连接
4.压力等级:1.0Mpa
5.压力试验及吹、洗设计要求: 满足规范及设计要求
6.未详尽处满足图纸设计、相关规范要求</t>
  </si>
  <si>
    <t>1.名称：PE给水管,S6.3系列
2.规格：De32
3.连接方式：热熔连接
4.压力等级:1.0Mpa
5.压力试验及吹、洗设计要求: 满足规范及设计要求
6.未详尽处满足图纸设计、相关规范要求</t>
  </si>
  <si>
    <t>1.名称：PE给水管,S6.3系列
2.规格：De40
3.连接方式：热熔连接
4.压力等级:1.0Mpa
5.压力试验及吹、洗设计要求: 满足规范及设计要求
6.未详尽处满足图纸设计、相关规范要求</t>
  </si>
  <si>
    <t>1.名称：PE给水管,S6.3系列
2.规格：De50
3.连接方式：热熔连接
4.压力等级:1.0Mpa
5.压力试验及吹、洗设计要求: 满足规范及设计要求
6.未详尽处满足图纸设计、相关规范要求</t>
  </si>
  <si>
    <t>1.名称：PE给水管,S6.3系列
2.规格：De63
3.连接方式：热熔连接
4.压力等级:1.0Mpa
5.压力试验及吹、洗设计要求: 满足规范及设计要求
6.未详尽处满足图纸设计、相关规范要求</t>
  </si>
  <si>
    <t>1.名称：PE给水管,S6.3系列
2.规格：De75
3.连接方式：热熔连接
4.压力等级:1.0Mpa
5.压力试验及吹、洗设计要求: 满足规范及设计要求
6.未详尽处满足图纸设计、相关规范要求</t>
  </si>
  <si>
    <t>排水管</t>
  </si>
  <si>
    <t>1.名称：PVC排水管
2.规格：De40、
3.连接方式：粘接
4.压力试验及吹、洗设计要求: 满足规范及设计要求
5.未详尽处满足图纸设计、相关规范要求
6.含管件</t>
  </si>
  <si>
    <t>地漏</t>
  </si>
  <si>
    <t>1.名称：不锈钢排水地漏
2.规格：De40
3.未详尽处满足图纸设计、相关规范要求</t>
  </si>
  <si>
    <t>1.名称:土方的开挖
2.未详尽处满足图纸设计、相关规范要求
3.挖沟宽度0.5米，深度0.6米</t>
  </si>
  <si>
    <t>1.名称:土方的回填
2.未详尽处满足图纸设计、相关规范要求</t>
  </si>
  <si>
    <t>回填砂</t>
  </si>
  <si>
    <t>1.名称:回填砂10cm厚
2.未详尽处满足图纸设计、相关规范要求</t>
  </si>
  <si>
    <t>雾喷系统</t>
  </si>
  <si>
    <t>1.名称:土方的开挖
2.未详尽处满足图纸设计、相关规范要求
3.挖沟宽度0.5米，深度0.2米</t>
  </si>
  <si>
    <t>304不锈钢管</t>
  </si>
  <si>
    <t>1.名称：304不锈钢管（含管件）
2.规格：DN10
3.压力试验及吹、洗设计要求:满足规范及设计要求
4.未详尽处满足图纸设计、相关规范要求</t>
  </si>
  <si>
    <t>1.名称：304不锈钢管（含管件）
2.规格：DN20
3.压力试验及吹、洗设计要求:满足规范及设计要求
4.未详尽处满足图纸设计、相关规范要求</t>
  </si>
  <si>
    <t>2号304不锈钢喷嘴</t>
  </si>
  <si>
    <t>1.名称：2号304不锈钢喷嘴
2.未详尽处满足图纸设计、相关规范要求</t>
  </si>
  <si>
    <t>雾喷机组</t>
  </si>
  <si>
    <t>1.名称：雾喷机组
2.规格、型号：CHM-5/32L-3.5KW
3.未详尽处满足图纸设计、相关规范要求</t>
  </si>
  <si>
    <t>BOTO泵，金扬电机</t>
  </si>
  <si>
    <t>景墙水景</t>
  </si>
  <si>
    <t>景观水泵</t>
  </si>
  <si>
    <t>1.名称：景观水泵
2.型号：QSP40-13-2.2
3.未详尽处满足图纸设计、相关规范要求</t>
  </si>
  <si>
    <t>南方、凌霄、四铺</t>
  </si>
  <si>
    <t>1.名称：景观水泵
2.型号：QSP65-7-2.2
3.未详尽处满足图纸设计、相关规范要求</t>
  </si>
  <si>
    <t>1.名称：止回阀
2.规格：DN80
3.含法兰等附件安装
4.未详尽处满足图纸设计、相关规范要求</t>
  </si>
  <si>
    <t>转换阀门</t>
  </si>
  <si>
    <t>1.名称：转换阀门
2.规格：DN80
3.含法兰等附件安装
4.未详尽处满足图纸设计、相关规范要求</t>
  </si>
  <si>
    <t>放空阀</t>
  </si>
  <si>
    <t>1.名称：放空阀
2.规格：DN65
3.含法兰等附件安装
4.未详尽处满足图纸设计、相关规范要求</t>
  </si>
  <si>
    <t>流量调节阀</t>
  </si>
  <si>
    <t>1.名称：流量调节阀
2.规格：DN50
3.含法兰等附件安装
4.未详尽处满足图纸设计、相关规范要求</t>
  </si>
  <si>
    <t>1.名称：倒流防止器
2.规格：DN50
3.含法兰等附件安装
4.未详尽处满足图纸设计、相关规范要求</t>
  </si>
  <si>
    <t>涌泉喷头</t>
  </si>
  <si>
    <t>1.名称：涌泉喷头
2.规格：PJY-DN25
3.未详尽处满足图纸设计、相关规范要求</t>
  </si>
  <si>
    <t>给水阀门井(砖砌)</t>
  </si>
  <si>
    <t>1.名称：给水阀门井(砖砌)
2.规格：0.4*0.4*0.4m(H)
3.未详尽处满足图纸设计、相关规范要求
4.含井圈</t>
  </si>
  <si>
    <t>1.名称：PE给水管,S6.3系列
2.规格：De90
3.连接方式：热熔连接
4.压力等级:1.0Mpa
5.压力试验及吹、洗设计要求: 满足规范及设计要求
6.未详尽处满足图纸设计、相关规范要求</t>
  </si>
  <si>
    <t>补水管（外包无纺布）</t>
  </si>
  <si>
    <t>1.名称：PE给水管,S6.3系列（外包无纺布）@100mm开φ10的孔,四周均布
2.规格：De90
3.连接方式：热熔连接
4.压力等级:1.0Mpa
5.压力试验及吹、洗设计要求: 满足规范及设计要求
6.未详尽处满足图纸设计、相关规范要求</t>
  </si>
  <si>
    <t>溢流管</t>
  </si>
  <si>
    <t>1.名称：UPVC给水蓝管
2.规格：De90
3.灌水试验满足设计及规范要求
4.未详尽处满足图纸设计、相关规范要求
5.含管件</t>
  </si>
  <si>
    <t>连通管</t>
  </si>
  <si>
    <t>1.名称：连通管PE管
2.规格：De160
3.未详尽处满足图纸设计、相关规范要求
4.含管件</t>
  </si>
  <si>
    <t xml:space="preserve">1.名称:土方的回填
2.未详尽处满足图纸设计、相关规范要求
</t>
  </si>
  <si>
    <t>合计（元）</t>
  </si>
  <si>
    <t>洛宁山水文苑一期大区景观工程外网雨污水招标清单与计价表</t>
  </si>
  <si>
    <t>外网雨水</t>
  </si>
  <si>
    <t>高密度聚乙烯HDPE双壁波纹管</t>
  </si>
  <si>
    <r>
      <rPr>
        <sz val="9"/>
        <color rgb="FF000000"/>
        <rFont val="宋体"/>
        <charset val="134"/>
      </rPr>
      <t>1.安装部位:室外
2.介质:雨水
3.材质、规格：</t>
    </r>
    <r>
      <rPr>
        <b/>
        <sz val="9"/>
        <color rgb="FF000000"/>
        <rFont val="宋体"/>
        <charset val="134"/>
      </rPr>
      <t xml:space="preserve"> </t>
    </r>
    <r>
      <rPr>
        <sz val="9"/>
        <color rgb="FF000000"/>
        <rFont val="宋体"/>
        <charset val="134"/>
      </rPr>
      <t>DN500高密度聚乙烯HDPE双壁波纹管，位于人行道及绿化带下的采用环刚度S1级，(4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r>
  </si>
  <si>
    <t>1.安装部位:室外
2.介质:雨水
3.材质、规格：DN400高密度聚乙烯HDPE双壁波纹管，位于人行道及绿化带下的采用环刚度S1级，(4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</si>
  <si>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1.安装部位:室外
2.介质:雨水
3.材质、规格：DN300高密度聚乙烯HDPE双壁波纹管，位于人行道及绿化带下的采用环刚度S1级，(4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</si>
  <si>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1.安装部位:室外
2.介质:雨水
3.材质、规格：De200高密度聚乙烯HDPE双壁波纹管。
4.连接形式:承插接口,弹性密封圈连接
5.未详尽处满足图纸设计、相关规范要求</t>
  </si>
  <si>
    <t>塑料检查井</t>
  </si>
  <si>
    <t>1、名称：塑料检查井（不含井圈及井盖）
2、规格：Φ450mm,具体做法参照图集08SS523全册
3、未详尽处满足图纸设计、相关规范要求</t>
  </si>
  <si>
    <t>1、名称：塑料检查井（不含井圈及井盖）
2、规格：Φ630mm,具体做法参照图集08SS523全册
3、未详尽处满足图纸设计、相关规范要求</t>
  </si>
  <si>
    <t>雨水井盖（绿化）</t>
  </si>
  <si>
    <t>1.名称：绿化带雨水井盖（含井圈及井座）
2.未详尽处满足图纸设计、相关规范要求</t>
  </si>
  <si>
    <t>雨水井盖（园路）</t>
  </si>
  <si>
    <t>1.名称：园路雨水井盖（含井圈及井座）
2.未详尽处满足图纸设计、相关规范要求</t>
  </si>
  <si>
    <t>塑料井（绿地收水口）</t>
  </si>
  <si>
    <t>1.名称：塑料雨水井（含复合排水盖板）
2.未详尽处满足图纸设计、相关规范要求</t>
  </si>
  <si>
    <t>砖砌收水口</t>
  </si>
  <si>
    <t>1.名称:土方的开挖，开挖深度1.56m，宽度1.19m
2.未详尽处满足图纸设计、相关规范要求</t>
  </si>
  <si>
    <t>雨水管网混凝土满包</t>
  </si>
  <si>
    <t>1.名称:雨水管网混凝土满包（所有穿车行道管网）
2.未详尽处满足图纸设计、相关规范要求</t>
  </si>
  <si>
    <t>缝隙式排水沟</t>
  </si>
  <si>
    <t>1.M7.5水泥砂浆砌筑Mu10 标砖
2.20厚1:25水泥砂浆粉光，内掺5%防水剂
3.5厚304 通长不锈钢，135 x5厚304 通长不锈钢底板，中8mm不锈钢圆管@500设置
4.未详尽处满足图纸设计、相关规范要求（不含碎石垫层及砼垫层，此部计入硬质铺装）</t>
  </si>
  <si>
    <t>外网污水</t>
  </si>
  <si>
    <t>1.安装部位:室外
2.介质:污水
3.材质、规格：De300双壁波纹管，位于人行道及绿化带下的采用环刚度S1级，(4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</si>
  <si>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污水井盖（绿化）</t>
  </si>
  <si>
    <t>1.名称：绿化带污水井盖（含井圈及井座）
2.未详尽处满足图纸设计、相关规范要求</t>
  </si>
  <si>
    <t>污水井盖（园路）</t>
  </si>
  <si>
    <t>1.名称：园路污水井盖（含井圈及井座）
2.未详尽处满足图纸设计、相关规范要求</t>
  </si>
  <si>
    <t>1.名称:土方的开挖，开挖深度1.3m，宽度1.1m
2.未详尽处满足图纸设计、相关规范要求</t>
  </si>
  <si>
    <t>污水管网混凝土满包</t>
  </si>
  <si>
    <t>1.名称:污水管网混凝土满包（所有穿车行道管网）
2.未详尽处满足图纸设计、相关规范要求</t>
  </si>
  <si>
    <t>1.名称:化粪池土方的开挖
2.未详尽处满足图纸设计、相关规范要求</t>
  </si>
  <si>
    <t>1.名称:化粪池土方的回填
2.未详尽处满足图纸设计、相关规范要求</t>
  </si>
  <si>
    <t>化粪池</t>
  </si>
  <si>
    <t>1.100m3树脂玻璃钢板材化粪池
2.型号详见14S706图集YGBH-13
3.未详尽处满足图纸设计、相关规范要求</t>
  </si>
  <si>
    <t>顶管（暂定工程量）</t>
  </si>
  <si>
    <t>1.顶管（雨污水与市政对接，穿红线外市政道路）
2.水泥预制管Φ800
3.顶管深度约4.5米
4.满足现场要求</t>
  </si>
  <si>
    <t>米</t>
  </si>
  <si>
    <t>顶管检查井</t>
  </si>
  <si>
    <t>1.顶管砖砌检查井
2.井深约2米
3.内径Φ700</t>
  </si>
  <si>
    <t>挖土方（暂定工程量）</t>
  </si>
  <si>
    <t>1.名称:顶管检查井开完土方
2.未详尽处满足图纸设计、相关规范要求</t>
  </si>
  <si>
    <t>回填土（暂定工程量）</t>
  </si>
  <si>
    <t>1.名称:顶管检查井回填土方
2.未详尽处满足图纸设计、相关规范要求</t>
  </si>
  <si>
    <t>铺砖人行道路面破除（暂定工程量）</t>
  </si>
  <si>
    <t>1.铺砖人行道路面破除
2.满足现场要求</t>
  </si>
  <si>
    <t>铺砖人行道路面恢复（暂定工程量）</t>
  </si>
  <si>
    <t>1.铺砖人行道路面恢复
2.满足现场要求</t>
  </si>
  <si>
    <t>非机动车道沥青路面破除（暂定工程量）</t>
  </si>
  <si>
    <t>1.铺砖人行道沥青路面破除
2.满足现场要求</t>
  </si>
  <si>
    <t>非机动车道沥青路面恢复（暂定工程量）</t>
  </si>
  <si>
    <t>1.铺砖人行道沥青路面恢复
2.满足现场要求</t>
  </si>
  <si>
    <t>1.名称:道路开完土方
2.未详尽处满足图纸设计、相关规范要求</t>
  </si>
  <si>
    <t>1.名称:道路回填土方
2.未详尽处满足图纸设计、相关规范要求</t>
  </si>
  <si>
    <t>洛宁山水文苑一期大区景观工程软装清单及计价表</t>
  </si>
  <si>
    <t>外摆桌椅一</t>
  </si>
  <si>
    <r>
      <rPr>
        <sz val="10"/>
        <rFont val="宋体"/>
        <charset val="134"/>
      </rPr>
      <t xml:space="preserve">1.尺寸:1800x700x700mm(1大)
700X700x700mm2小)、1600x700x400(茶几)
材质:铁管+防水布料+黑色纹路岩板
颜色:深灰色铁管，布艺浅灰(颜色可换)
2.含运输、安装、埋件固定等所有与之相关的费用
3.其他说明：详见相关设计图纸、相关要求及规范
</t>
    </r>
    <r>
      <rPr>
        <sz val="10"/>
        <color rgb="FFFF0000"/>
        <rFont val="宋体"/>
        <charset val="134"/>
      </rPr>
      <t>4.具体选型、颜色等以甲方选样为准</t>
    </r>
  </si>
  <si>
    <t>外摆桌椅二</t>
  </si>
  <si>
    <r>
      <rPr>
        <sz val="10"/>
        <rFont val="宋体"/>
        <charset val="134"/>
      </rPr>
      <t xml:space="preserve">1.尺寸:1800x700x700mm(1大)700x700x700mm(2小)、1600x700x400(茶几)材质:藤编颜色:深灰色(颜色可换)
2.含运输、安装、埋件固定等所有与之相关的费用
3.其他说明：详见相关设计图纸、相关要求及规范
</t>
    </r>
    <r>
      <rPr>
        <sz val="10"/>
        <color rgb="FFFF0000"/>
        <rFont val="宋体"/>
        <charset val="134"/>
      </rPr>
      <t>4.具体选型、颜色等以甲方选样为准</t>
    </r>
  </si>
  <si>
    <t>生活垃圾桶</t>
  </si>
  <si>
    <r>
      <rPr>
        <sz val="10"/>
        <rFont val="宋体"/>
        <charset val="134"/>
      </rPr>
      <t xml:space="preserve">1.材质:高密度聚乙烯尺寸:0 46米x0.47米X1.07米高（一组四个）
2.含运输、安装、埋件固定等所有与之相关的费用
3.其他说明：详见相关设计图纸、相关要求及规范
</t>
    </r>
    <r>
      <rPr>
        <sz val="10"/>
        <color rgb="FFFF0000"/>
        <rFont val="宋体"/>
        <charset val="134"/>
      </rPr>
      <t>4.具体选型、颜色等以甲方选样为准</t>
    </r>
  </si>
  <si>
    <t>沙发座椅</t>
  </si>
  <si>
    <r>
      <rPr>
        <sz val="10"/>
        <rFont val="宋体"/>
        <charset val="134"/>
      </rPr>
      <t xml:space="preserve">1.材质:布艺+铁艺尺寸:1.8米x0.7米X0.7米(1大)0.7x0.7x0.7米（2小)
2.含运输、安装、埋件固定等所有与之相关的费用
3.其他说明：详见相关设计图纸、相关要求及规范
</t>
    </r>
    <r>
      <rPr>
        <sz val="10"/>
        <color rgb="FFFF0000"/>
        <rFont val="宋体"/>
        <charset val="134"/>
      </rPr>
      <t>4.具体选型、颜色等以甲方选样为准</t>
    </r>
  </si>
  <si>
    <t>花箱</t>
  </si>
  <si>
    <r>
      <rPr>
        <sz val="10"/>
        <rFont val="宋体"/>
        <charset val="134"/>
      </rPr>
      <t>1.材质:不锈钢尺寸:240x50x78cm，15厚拉丝面304不锈钢板，电镀深灰色1.5厚拉丝面304不锈钢logo，电镀咖色(颜色可换)
2.含运输、安装、埋件固定等所有与之相关的费用
3.其他说明：详见相关设计图纸、相关要求及规范</t>
    </r>
    <r>
      <rPr>
        <sz val="10"/>
        <color rgb="FFFF0000"/>
        <rFont val="宋体"/>
        <charset val="134"/>
      </rPr>
      <t xml:space="preserve">
4.具体选型、颜色等以甲方选样为准</t>
    </r>
  </si>
  <si>
    <t>双人漫步机</t>
  </si>
  <si>
    <r>
      <rPr>
        <sz val="9"/>
        <rFont val="宋体"/>
        <charset val="134"/>
      </rPr>
      <t xml:space="preserve">1.材质:镀锌钢，尺寸:2160x580x1050mm
颜色:蓝色+灰色(颜色可换)
2.含运输、安装、埋件固定等所有与之相关的费用
3.其他说明：详见相关设计图纸、相关要求及规范
及规范
</t>
    </r>
    <r>
      <rPr>
        <sz val="9"/>
        <color rgb="FFFF0000"/>
        <rFont val="宋体"/>
        <charset val="134"/>
      </rPr>
      <t>4.具体选型、颜色等以甲方选样为准</t>
    </r>
  </si>
  <si>
    <t>腰背按摩器</t>
  </si>
  <si>
    <r>
      <rPr>
        <sz val="9"/>
        <rFont val="宋体"/>
        <charset val="134"/>
      </rPr>
      <t xml:space="preserve">1.尺寸:1119 x755 x1390mm，材质:镀锌钢
颜色:蓝色十灰色(颜色可换)
2.含运输、安装、埋件固定等所有与之相关的费用
3.其他说明：详见相关设计图纸、相关要求及规范
及规范
</t>
    </r>
    <r>
      <rPr>
        <sz val="9"/>
        <color rgb="FFFF0000"/>
        <rFont val="宋体"/>
        <charset val="134"/>
      </rPr>
      <t>4.具体选型、颜色等以甲方选样为准</t>
    </r>
  </si>
  <si>
    <t>棋牌石桌凳</t>
  </si>
  <si>
    <r>
      <rPr>
        <sz val="9"/>
        <color rgb="FF000000"/>
        <rFont val="宋体"/>
        <charset val="134"/>
      </rPr>
      <t xml:space="preserve">1.材质:高密度聚乙烯（成品）
尺寸:φ100cm*75cm(桌子)+φ30cm*45cm
数量:1组(4个凳子+1个桌子)
2.含运输、安装、埋件固定等所有与之相关的费用
3.其他说明：详见相关设计图纸、相关要求及规范
及规范
</t>
    </r>
    <r>
      <rPr>
        <sz val="9"/>
        <color rgb="FFFF0000"/>
        <rFont val="宋体"/>
        <charset val="134"/>
      </rPr>
      <t>4.具体选型、颜色等以甲方选样为准</t>
    </r>
  </si>
  <si>
    <t>组合型滑滑梯</t>
  </si>
  <si>
    <r>
      <rPr>
        <sz val="9"/>
        <rFont val="宋体"/>
        <charset val="134"/>
      </rPr>
      <t xml:space="preserve">1玻璃钢成品组合滑梯。
2.颜色：深蓝色、土黄色、白色，规格尺寸：5m*5m*4mh(颜色可换)
3.满足规范和设计图纸要求。
</t>
    </r>
    <r>
      <rPr>
        <sz val="9"/>
        <color rgb="FFFF0000"/>
        <rFont val="宋体"/>
        <charset val="134"/>
      </rPr>
      <t>4.具体选型、颜色等以甲方选样为准</t>
    </r>
  </si>
  <si>
    <t>玻璃钢坐凳</t>
  </si>
  <si>
    <r>
      <rPr>
        <sz val="9"/>
        <rFont val="宋体"/>
        <charset val="134"/>
      </rPr>
      <t xml:space="preserve">1.成品玻璃钢坐凳尺寸：2100*500*450mh，坐凳内配插座，橘黄色(颜色可换)。
2.其它说明：其他满足规范和图纸设计要求
</t>
    </r>
    <r>
      <rPr>
        <sz val="9"/>
        <color rgb="FFFF0000"/>
        <rFont val="宋体"/>
        <charset val="134"/>
      </rPr>
      <t>3.具体选型、颜色等以甲方选样为准</t>
    </r>
  </si>
  <si>
    <t>玻璃钢儿童坐凳</t>
  </si>
  <si>
    <r>
      <rPr>
        <sz val="9"/>
        <rFont val="宋体"/>
        <charset val="134"/>
      </rPr>
      <t xml:space="preserve">1.成品玻璃钢坐凳尺寸：700*650*450h，黄色、白色、橘黄色(颜色可换)。
2.其它说明：其他满足规范和图纸设计要求
</t>
    </r>
    <r>
      <rPr>
        <sz val="9"/>
        <color rgb="FFFF0000"/>
        <rFont val="宋体"/>
        <charset val="134"/>
      </rPr>
      <t>3.具体选型、颜色等以甲方选样为准</t>
    </r>
  </si>
  <si>
    <t>玻璃钢特色坐凳</t>
  </si>
  <si>
    <r>
      <rPr>
        <sz val="9"/>
        <rFont val="宋体"/>
        <charset val="134"/>
      </rPr>
      <t xml:space="preserve">1.成品玻璃钢特色坐凳尺寸：1350*1100*300h，浅黄色(颜色可换)。
2.其它说明：其他满足规范和图纸设计要求
</t>
    </r>
    <r>
      <rPr>
        <sz val="9"/>
        <color rgb="FFFF0000"/>
        <rFont val="宋体"/>
        <charset val="134"/>
      </rPr>
      <t>3.具体选型、颜色等以甲方选样为准</t>
    </r>
  </si>
  <si>
    <t>组合儿童秋千</t>
  </si>
  <si>
    <r>
      <rPr>
        <sz val="10"/>
        <rFont val="宋体"/>
        <charset val="134"/>
      </rPr>
      <t xml:space="preserve">1.规格：3400*1500*2200h，热镀锌钢，天蓝色(颜色可换)。
2.满足规范和设计图纸要求。
</t>
    </r>
    <r>
      <rPr>
        <sz val="10"/>
        <color rgb="FFFF0000"/>
        <rFont val="宋体"/>
        <charset val="134"/>
      </rPr>
      <t>3.具体选型、颜色等以甲方选样为准</t>
    </r>
  </si>
  <si>
    <t>木马传声筒</t>
  </si>
  <si>
    <r>
      <rPr>
        <sz val="9"/>
        <rFont val="宋体"/>
        <charset val="134"/>
      </rPr>
      <t xml:space="preserve">1.木马传声筒尺寸：900*250*450h，橘黄、蓝色、原木色(颜色可换)，材质：玻璃钢，菠萝格防腐木。
2.其它说明：其他满足规范和图纸设计要求。
</t>
    </r>
    <r>
      <rPr>
        <sz val="9"/>
        <color rgb="FFFF0000"/>
        <rFont val="宋体"/>
        <charset val="134"/>
      </rPr>
      <t>3.具体选型、颜色等以甲方选样为准</t>
    </r>
  </si>
  <si>
    <t>旋转座椅</t>
  </si>
  <si>
    <r>
      <rPr>
        <sz val="9"/>
        <rFont val="宋体"/>
        <charset val="134"/>
      </rPr>
      <t xml:space="preserve">1.旋转座椅尺寸：850*850*900h，橘黄色(颜色可换)，材质：玻璃钢。
2.其它说明：其他满足规范和图纸设计要求。
</t>
    </r>
    <r>
      <rPr>
        <sz val="9"/>
        <color rgb="FFFF0000"/>
        <rFont val="宋体"/>
        <charset val="134"/>
      </rPr>
      <t>3.具体选型、颜色等以甲方选样为准</t>
    </r>
  </si>
  <si>
    <r>
      <rPr>
        <sz val="9"/>
        <rFont val="宋体"/>
        <charset val="134"/>
      </rPr>
      <t xml:space="preserve">备注：
</t>
    </r>
    <r>
      <rPr>
        <sz val="9"/>
        <rFont val="Arial"/>
        <charset val="134"/>
      </rPr>
      <t>1</t>
    </r>
    <r>
      <rPr>
        <sz val="9"/>
        <rFont val="宋体"/>
        <charset val="134"/>
      </rPr>
      <t>、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t>
    </r>
  </si>
  <si>
    <t>洛宁山水文苑一期大区景观工程清单与计价表（备选苗木及井盖类）</t>
  </si>
  <si>
    <t>不含税综合单价（元）</t>
  </si>
  <si>
    <t>一、井盖</t>
  </si>
  <si>
    <t>硬质铺装内装饰井圈及井盖</t>
  </si>
  <si>
    <t>1、名称：硬质铺装内装饰井圈及井盖
2、规格：Φ450mm，铺装面层（与周边铺装材质一致，不锈钢井盖边框，详见景观详图）</t>
  </si>
  <si>
    <t>仅计主材费，费用不计入报价内，后期据实结算</t>
  </si>
  <si>
    <t>1、名称：硬质铺装内装饰井圈及井盖
2、规格：Φ630mm，铺装面层（与周边铺装材质一致，不锈钢井盖边框，详见景观详图）</t>
  </si>
  <si>
    <t>灌木内井圈及井盖</t>
  </si>
  <si>
    <t>1、名称：灌木内井圈及井盖
2、规格：Φ450mm，铺装面层（与周边铺装材质一致，不锈钢井盖边框，详见景观详图）</t>
  </si>
  <si>
    <t>1、名称：灌木内井圈及井盖
2、规格：Φ630mm，铺装面层（与周边铺装材质一致，不锈钢井盖边框，详见景观详图）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</si>
</sst>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
    <numFmt numFmtId="179" formatCode="0.000_ "/>
    <numFmt numFmtId="180" formatCode="0_ "/>
    <numFmt numFmtId="181" formatCode="0.00_);[Red]\(0.00\)"/>
  </numFmts>
  <fonts count="77">
    <font>
      <sz val="10"/>
      <name val="Arial"/>
      <charset val="1"/>
    </font>
    <font>
      <sz val="10"/>
      <name val="Arial"/>
      <charset val="134"/>
    </font>
    <font>
      <b/>
      <sz val="18"/>
      <name val="宋体"/>
      <charset val="134"/>
      <scheme val="minor"/>
    </font>
    <font>
      <sz val="12"/>
      <name val="宋体"/>
      <charset val="134"/>
      <scheme val="minor"/>
    </font>
    <font>
      <sz val="10"/>
      <name val="宋体"/>
      <charset val="134"/>
    </font>
    <font>
      <sz val="9"/>
      <name val="宋体"/>
      <charset val="134"/>
      <scheme val="minor"/>
    </font>
    <font>
      <sz val="9"/>
      <name val="Arial"/>
      <charset val="134"/>
    </font>
    <font>
      <sz val="12"/>
      <name val="Arial"/>
      <charset val="134"/>
    </font>
    <font>
      <sz val="12"/>
      <name val="宋体"/>
      <charset val="134"/>
    </font>
    <font>
      <b/>
      <sz val="10"/>
      <name val="Arial"/>
      <charset val="1"/>
    </font>
    <font>
      <b/>
      <sz val="16"/>
      <name val="宋体"/>
      <charset val="134"/>
    </font>
    <font>
      <sz val="9"/>
      <name val="宋体"/>
      <charset val="134"/>
    </font>
    <font>
      <sz val="9"/>
      <color rgb="FF000000"/>
      <name val="宋体"/>
      <charset val="134"/>
    </font>
    <font>
      <sz val="10"/>
      <color rgb="FF000000"/>
      <name val="宋体"/>
      <charset val="134"/>
    </font>
    <font>
      <b/>
      <sz val="10"/>
      <name val="宋体"/>
      <charset val="134"/>
    </font>
    <font>
      <sz val="9"/>
      <name val="Arial"/>
      <charset val="1"/>
    </font>
    <font>
      <sz val="16"/>
      <name val="宋体"/>
      <charset val="134"/>
    </font>
    <font>
      <u/>
      <sz val="9"/>
      <name val="宋体"/>
      <charset val="134"/>
    </font>
    <font>
      <sz val="10"/>
      <color rgb="FF000000"/>
      <name val="Arial"/>
      <charset val="1"/>
    </font>
    <font>
      <sz val="10"/>
      <color rgb="FF000000"/>
      <name val="宋体"/>
      <charset val="1"/>
    </font>
    <font>
      <sz val="9"/>
      <name val="Arial"/>
      <charset val="0"/>
    </font>
    <font>
      <sz val="10"/>
      <name val="Arial"/>
      <charset val="0"/>
    </font>
    <font>
      <sz val="9"/>
      <color indexed="8"/>
      <name val="宋体"/>
      <charset val="134"/>
    </font>
    <font>
      <sz val="9"/>
      <name val="宋体"/>
      <charset val="1"/>
      <scheme val="minor"/>
    </font>
    <font>
      <sz val="12"/>
      <color rgb="FF000000"/>
      <name val="宋体"/>
      <charset val="134"/>
    </font>
    <font>
      <b/>
      <sz val="14"/>
      <name val="宋体"/>
      <charset val="134"/>
    </font>
    <font>
      <sz val="10"/>
      <color rgb="FFFF0000"/>
      <name val="宋体"/>
      <charset val="134"/>
    </font>
    <font>
      <b/>
      <sz val="12"/>
      <name val="宋体"/>
      <charset val="134"/>
    </font>
    <font>
      <sz val="14"/>
      <name val="宋体"/>
      <charset val="134"/>
    </font>
    <font>
      <sz val="10"/>
      <name val="新宋体"/>
      <charset val="134"/>
    </font>
    <font>
      <sz val="10"/>
      <name val="宋体"/>
      <charset val="1"/>
    </font>
    <font>
      <sz val="11"/>
      <name val="新宋体"/>
      <charset val="134"/>
    </font>
    <font>
      <b/>
      <sz val="14"/>
      <name val="新宋体"/>
      <charset val="134"/>
    </font>
    <font>
      <sz val="14"/>
      <name val="新宋体"/>
      <charset val="134"/>
    </font>
    <font>
      <sz val="8"/>
      <name val="Arial"/>
      <charset val="134"/>
    </font>
    <font>
      <sz val="8"/>
      <name val="宋体"/>
      <charset val="134"/>
    </font>
    <font>
      <b/>
      <sz val="8"/>
      <name val="宋体"/>
      <charset val="134"/>
    </font>
    <font>
      <sz val="8"/>
      <name val="宋体"/>
      <charset val="134"/>
      <scheme val="minor"/>
    </font>
    <font>
      <sz val="8"/>
      <name val="宋体"/>
      <charset val="134"/>
      <scheme val="major"/>
    </font>
    <font>
      <sz val="8"/>
      <name val="Arial"/>
      <charset val="1"/>
    </font>
    <font>
      <sz val="8"/>
      <name val="SimSun"/>
      <charset val="134"/>
    </font>
    <font>
      <b/>
      <sz val="8"/>
      <name val="宋体"/>
      <charset val="134"/>
      <scheme val="minor"/>
    </font>
    <font>
      <b/>
      <sz val="10"/>
      <color theme="1"/>
      <name val="微软雅黑"/>
      <charset val="134"/>
    </font>
    <font>
      <b/>
      <sz val="10"/>
      <name val="微软雅黑"/>
      <charset val="134"/>
    </font>
    <font>
      <b/>
      <sz val="16"/>
      <name val="楷体_GB2312"/>
      <charset val="134"/>
    </font>
    <font>
      <sz val="10.5"/>
      <name val="楷体_GB2312"/>
      <charset val="134"/>
    </font>
    <font>
      <b/>
      <sz val="12"/>
      <name val="楷体_GB2312"/>
      <charset val="134"/>
    </font>
    <font>
      <sz val="10.5"/>
      <color rgb="FF000000"/>
      <name val="楷体_GB2312"/>
      <charset val="134"/>
    </font>
    <font>
      <b/>
      <sz val="12"/>
      <color rgb="FF000000"/>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宋体"/>
      <charset val="134"/>
    </font>
    <font>
      <sz val="12"/>
      <name val="Times New Roman"/>
      <charset val="134"/>
    </font>
    <font>
      <sz val="9"/>
      <color rgb="FFFF0000"/>
      <name val="宋体"/>
      <charset val="134"/>
    </font>
    <font>
      <b/>
      <sz val="9"/>
      <color rgb="FF000000"/>
      <name val="宋体"/>
      <charset val="134"/>
    </font>
    <font>
      <sz val="10.5"/>
      <name val="Times New Roman"/>
      <charset val="0"/>
    </font>
    <font>
      <sz val="10.5"/>
      <name val="宋体"/>
      <charset val="134"/>
    </font>
    <font>
      <b/>
      <sz val="10.5"/>
      <name val="宋体"/>
      <charset val="134"/>
    </font>
  </fonts>
  <fills count="35">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4" borderId="15"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6" applyNumberFormat="0" applyFill="0" applyAlignment="0" applyProtection="0">
      <alignment vertical="center"/>
    </xf>
    <xf numFmtId="0" fontId="56" fillId="0" borderId="16" applyNumberFormat="0" applyFill="0" applyAlignment="0" applyProtection="0">
      <alignment vertical="center"/>
    </xf>
    <xf numFmtId="0" fontId="57" fillId="0" borderId="17" applyNumberFormat="0" applyFill="0" applyAlignment="0" applyProtection="0">
      <alignment vertical="center"/>
    </xf>
    <xf numFmtId="0" fontId="57" fillId="0" borderId="0" applyNumberFormat="0" applyFill="0" applyBorder="0" applyAlignment="0" applyProtection="0">
      <alignment vertical="center"/>
    </xf>
    <xf numFmtId="0" fontId="58" fillId="5" borderId="18" applyNumberFormat="0" applyAlignment="0" applyProtection="0">
      <alignment vertical="center"/>
    </xf>
    <xf numFmtId="0" fontId="59" fillId="6" borderId="19" applyNumberFormat="0" applyAlignment="0" applyProtection="0">
      <alignment vertical="center"/>
    </xf>
    <xf numFmtId="0" fontId="60" fillId="6" borderId="18" applyNumberFormat="0" applyAlignment="0" applyProtection="0">
      <alignment vertical="center"/>
    </xf>
    <xf numFmtId="0" fontId="61" fillId="7" borderId="20" applyNumberFormat="0" applyAlignment="0" applyProtection="0">
      <alignment vertical="center"/>
    </xf>
    <xf numFmtId="0" fontId="62" fillId="0" borderId="21" applyNumberFormat="0" applyFill="0" applyAlignment="0" applyProtection="0">
      <alignment vertical="center"/>
    </xf>
    <xf numFmtId="0" fontId="63" fillId="0" borderId="22"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8" fillId="0" borderId="0"/>
    <xf numFmtId="0" fontId="69" fillId="0" borderId="0">
      <alignment vertical="center"/>
    </xf>
    <xf numFmtId="0" fontId="8" fillId="0" borderId="0">
      <alignment vertical="center"/>
    </xf>
    <xf numFmtId="0" fontId="70" fillId="0" borderId="0">
      <alignment vertical="center"/>
    </xf>
    <xf numFmtId="0" fontId="8" fillId="0" borderId="0">
      <alignment vertical="center"/>
    </xf>
    <xf numFmtId="0" fontId="49" fillId="0" borderId="0">
      <alignment vertical="center"/>
    </xf>
    <xf numFmtId="0" fontId="71" fillId="0" borderId="0"/>
    <xf numFmtId="0" fontId="8" fillId="0" borderId="0">
      <alignment vertical="center"/>
    </xf>
    <xf numFmtId="0" fontId="8" fillId="0" borderId="0">
      <alignment vertical="center"/>
    </xf>
    <xf numFmtId="0" fontId="8" fillId="0" borderId="0">
      <alignment vertical="center"/>
    </xf>
  </cellStyleXfs>
  <cellXfs count="324">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0" fillId="0" borderId="0" xfId="0" applyFill="1"/>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horizontal="center"/>
    </xf>
    <xf numFmtId="176" fontId="6" fillId="0" borderId="1" xfId="0" applyNumberFormat="1" applyFont="1" applyFill="1" applyBorder="1" applyAlignment="1">
      <alignment horizontal="center"/>
    </xf>
    <xf numFmtId="0" fontId="4" fillId="0" borderId="1" xfId="0" applyFont="1" applyFill="1" applyBorder="1" applyAlignment="1">
      <alignment horizontal="left" wrapText="1"/>
    </xf>
    <xf numFmtId="0" fontId="7" fillId="0" borderId="0" xfId="0" applyFont="1" applyFill="1" applyBorder="1" applyAlignment="1">
      <alignment vertical="center"/>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0" fontId="0" fillId="0" borderId="0" xfId="0" applyFont="1" applyFill="1" applyAlignment="1">
      <alignment horizontal="center" vertical="center"/>
    </xf>
    <xf numFmtId="0" fontId="9" fillId="0" borderId="0" xfId="0" applyFont="1" applyFill="1" applyAlignment="1">
      <alignment horizontal="center" vertical="center"/>
    </xf>
    <xf numFmtId="176" fontId="0" fillId="0" borderId="0" xfId="0" applyNumberFormat="1" applyFont="1" applyFill="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wrapText="1"/>
    </xf>
    <xf numFmtId="176" fontId="11" fillId="0" borderId="3"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177" fontId="15" fillId="0" borderId="0" xfId="0" applyNumberFormat="1" applyFont="1" applyFill="1" applyBorder="1" applyAlignment="1" applyProtection="1">
      <alignment horizontal="left" vertical="center" wrapText="1"/>
    </xf>
    <xf numFmtId="0" fontId="11" fillId="0" borderId="0" xfId="0" applyFont="1" applyFill="1" applyBorder="1" applyAlignment="1">
      <alignment horizontal="center" vertical="center" wrapText="1"/>
    </xf>
    <xf numFmtId="0" fontId="16" fillId="0" borderId="0" xfId="0" applyFont="1" applyFill="1" applyAlignment="1">
      <alignment horizontal="center" vertical="center"/>
    </xf>
    <xf numFmtId="176" fontId="10" fillId="0" borderId="0" xfId="0" applyNumberFormat="1" applyFont="1" applyFill="1" applyAlignment="1">
      <alignment horizontal="center" vertical="center"/>
    </xf>
    <xf numFmtId="49" fontId="4" fillId="0" borderId="3" xfId="58" applyNumberFormat="1" applyFont="1" applyFill="1" applyBorder="1" applyAlignment="1">
      <alignment horizontal="center" vertical="center" wrapText="1"/>
    </xf>
    <xf numFmtId="49" fontId="4" fillId="0" borderId="4" xfId="58"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protection locked="0"/>
    </xf>
    <xf numFmtId="179" fontId="0" fillId="0" borderId="1"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9" fillId="0" borderId="0" xfId="0" applyFont="1" applyFill="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vertical="center"/>
    </xf>
    <xf numFmtId="0" fontId="10" fillId="0" borderId="0" xfId="0" applyFont="1" applyFill="1" applyAlignment="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176" fontId="11" fillId="0" borderId="3" xfId="0" applyNumberFormat="1" applyFont="1" applyFill="1" applyBorder="1" applyAlignment="1" applyProtection="1">
      <alignment horizontal="center" vertical="center" wrapText="1"/>
    </xf>
    <xf numFmtId="176" fontId="11" fillId="0" borderId="2"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176"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176" fontId="11" fillId="0" borderId="6" xfId="0" applyNumberFormat="1" applyFont="1" applyFill="1" applyBorder="1" applyAlignment="1" applyProtection="1">
      <alignment horizontal="center" vertical="center" wrapText="1"/>
    </xf>
    <xf numFmtId="176" fontId="11"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top" wrapText="1"/>
    </xf>
    <xf numFmtId="176" fontId="11" fillId="0"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11" fillId="3" borderId="1"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5" fillId="3" borderId="1" xfId="0" applyNumberFormat="1" applyFont="1" applyFill="1" applyBorder="1" applyAlignment="1" applyProtection="1">
      <alignment horizontal="center" vertical="center" wrapText="1"/>
      <protection locked="0"/>
    </xf>
    <xf numFmtId="176" fontId="11" fillId="3"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176" fontId="5"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176" fontId="12"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5" fillId="0" borderId="1" xfId="0" applyFont="1" applyFill="1" applyBorder="1" applyAlignment="1">
      <alignment vertical="center"/>
    </xf>
    <xf numFmtId="0" fontId="8" fillId="0" borderId="0" xfId="0" applyNumberFormat="1" applyFont="1" applyFill="1" applyAlignment="1">
      <alignment horizontal="center" vertical="center"/>
    </xf>
    <xf numFmtId="176" fontId="11" fillId="0" borderId="11"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176" fontId="5" fillId="2" borderId="1" xfId="0" applyNumberFormat="1" applyFont="1" applyFill="1" applyBorder="1" applyAlignment="1">
      <alignment vertical="center" wrapText="1"/>
    </xf>
    <xf numFmtId="0" fontId="8" fillId="0" borderId="0" xfId="0" applyFont="1" applyFill="1" applyAlignment="1">
      <alignment horizontal="center" vertical="center" wrapText="1"/>
    </xf>
    <xf numFmtId="176" fontId="20" fillId="3" borderId="1" xfId="0" applyNumberFormat="1" applyFont="1" applyFill="1" applyBorder="1" applyAlignment="1" applyProtection="1">
      <alignment horizontal="center" vertical="center"/>
      <protection locked="0"/>
    </xf>
    <xf numFmtId="176" fontId="21" fillId="3" borderId="1" xfId="0" applyNumberFormat="1" applyFont="1" applyFill="1" applyBorder="1" applyAlignment="1">
      <alignment horizontal="center" vertical="center"/>
    </xf>
    <xf numFmtId="176" fontId="11" fillId="3" borderId="1" xfId="0" applyNumberFormat="1" applyFont="1" applyFill="1" applyBorder="1" applyAlignment="1">
      <alignment horizontal="center" vertical="center" wrapText="1"/>
    </xf>
    <xf numFmtId="176" fontId="11" fillId="3" borderId="1" xfId="0" applyNumberFormat="1" applyFont="1" applyFill="1" applyBorder="1" applyAlignment="1">
      <alignment vertical="center"/>
    </xf>
    <xf numFmtId="176" fontId="11" fillId="0" borderId="6" xfId="0" applyNumberFormat="1" applyFont="1" applyFill="1" applyBorder="1" applyAlignment="1">
      <alignment horizontal="center" vertical="center"/>
    </xf>
    <xf numFmtId="176" fontId="11" fillId="3" borderId="1" xfId="0" applyNumberFormat="1" applyFont="1" applyFill="1" applyBorder="1" applyAlignment="1">
      <alignment horizontal="center" vertical="center"/>
    </xf>
    <xf numFmtId="0" fontId="8" fillId="0" borderId="0" xfId="0" applyFont="1" applyFill="1" applyAlignment="1">
      <alignment vertical="center"/>
    </xf>
    <xf numFmtId="180" fontId="5"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vertical="center" wrapText="1"/>
      <protection locked="0"/>
    </xf>
    <xf numFmtId="176" fontId="5" fillId="0" borderId="12" xfId="0" applyNumberFormat="1" applyFont="1" applyFill="1" applyBorder="1" applyAlignment="1" applyProtection="1">
      <alignment horizontal="right" vertical="center" wrapText="1"/>
    </xf>
    <xf numFmtId="0" fontId="11" fillId="0" borderId="1" xfId="0" applyFont="1" applyFill="1" applyBorder="1" applyAlignment="1">
      <alignment horizontal="left" vertical="center" wrapText="1"/>
    </xf>
    <xf numFmtId="176" fontId="22" fillId="0" borderId="12" xfId="0" applyNumberFormat="1" applyFont="1" applyFill="1" applyBorder="1" applyAlignment="1" applyProtection="1">
      <alignment horizontal="right" vertical="center" wrapText="1"/>
    </xf>
    <xf numFmtId="0" fontId="5" fillId="0" borderId="1" xfId="0" applyFont="1" applyFill="1" applyBorder="1" applyAlignment="1">
      <alignment horizontal="center"/>
    </xf>
    <xf numFmtId="0" fontId="6" fillId="0" borderId="1" xfId="0" applyFont="1" applyFill="1" applyBorder="1" applyAlignment="1">
      <alignment horizontal="center"/>
    </xf>
    <xf numFmtId="176" fontId="5" fillId="0" borderId="1" xfId="0" applyNumberFormat="1" applyFont="1" applyFill="1" applyBorder="1" applyAlignment="1" applyProtection="1">
      <alignment horizontal="center" vertical="center"/>
      <protection locked="0"/>
    </xf>
    <xf numFmtId="176" fontId="23"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wrapText="1"/>
    </xf>
    <xf numFmtId="0" fontId="24" fillId="0" borderId="0" xfId="0" applyFont="1" applyFill="1" applyAlignment="1">
      <alignment vertical="center"/>
    </xf>
    <xf numFmtId="0" fontId="12" fillId="0" borderId="1" xfId="0" applyFont="1" applyFill="1" applyBorder="1" applyAlignment="1">
      <alignment vertical="center" wrapText="1"/>
    </xf>
    <xf numFmtId="0" fontId="11" fillId="0" borderId="1" xfId="57" applyFont="1" applyFill="1" applyBorder="1" applyAlignment="1">
      <alignment horizontal="left" vertical="center" wrapText="1"/>
    </xf>
    <xf numFmtId="0" fontId="12" fillId="0" borderId="1" xfId="57" applyFont="1" applyFill="1" applyBorder="1" applyAlignment="1">
      <alignment horizontal="left" vertical="center" wrapText="1"/>
    </xf>
    <xf numFmtId="0" fontId="11" fillId="0" borderId="1" xfId="57"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76" fontId="11" fillId="2" borderId="1" xfId="0" applyNumberFormat="1" applyFont="1" applyFill="1" applyBorder="1" applyAlignment="1">
      <alignment vertical="center" wrapText="1"/>
    </xf>
    <xf numFmtId="176" fontId="11"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15" fillId="0" borderId="0" xfId="0" applyFont="1" applyFill="1" applyBorder="1" applyAlignment="1" applyProtection="1">
      <alignment horizontal="center" vertical="center" wrapText="1"/>
    </xf>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wrapText="1"/>
    </xf>
    <xf numFmtId="0" fontId="0" fillId="0" borderId="0" xfId="0" applyFont="1" applyFill="1" applyAlignment="1">
      <alignment horizontal="center" vertical="top"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4" fillId="0" borderId="3" xfId="58" applyFont="1" applyFill="1" applyBorder="1" applyAlignment="1">
      <alignment horizontal="center" vertical="center" wrapText="1"/>
    </xf>
    <xf numFmtId="49" fontId="4" fillId="0" borderId="1" xfId="58" applyNumberFormat="1" applyFont="1" applyFill="1" applyBorder="1" applyAlignment="1">
      <alignment horizontal="center" vertical="center" wrapText="1"/>
    </xf>
    <xf numFmtId="0" fontId="4" fillId="0" borderId="4" xfId="58" applyFont="1" applyFill="1" applyBorder="1" applyAlignment="1">
      <alignment horizontal="center" vertical="center" wrapText="1"/>
    </xf>
    <xf numFmtId="0" fontId="4" fillId="0" borderId="6" xfId="58" applyFont="1" applyFill="1" applyBorder="1" applyAlignment="1">
      <alignment horizontal="center" vertical="center" wrapText="1"/>
    </xf>
    <xf numFmtId="49" fontId="4" fillId="0" borderId="6" xfId="58" applyNumberFormat="1" applyFont="1" applyFill="1" applyBorder="1" applyAlignment="1">
      <alignment horizontal="center" vertical="center" wrapText="1"/>
    </xf>
    <xf numFmtId="0" fontId="4" fillId="0" borderId="1" xfId="56" applyFont="1" applyFill="1" applyBorder="1" applyAlignment="1">
      <alignment horizontal="center" vertical="center" wrapText="1"/>
    </xf>
    <xf numFmtId="0" fontId="4" fillId="0" borderId="1" xfId="56"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81" fontId="4" fillId="0" borderId="1" xfId="55"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26" fillId="2" borderId="1" xfId="5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8" fillId="0" borderId="1" xfId="0" applyFont="1" applyFill="1" applyBorder="1" applyAlignment="1">
      <alignment horizontal="center" vertical="top" wrapText="1"/>
    </xf>
    <xf numFmtId="181" fontId="29" fillId="0" borderId="1" xfId="0" applyNumberFormat="1" applyFont="1" applyFill="1" applyBorder="1" applyAlignment="1">
      <alignment horizontal="center" vertical="center" wrapText="1"/>
    </xf>
    <xf numFmtId="176" fontId="4" fillId="0" borderId="1" xfId="56"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1" xfId="56" applyFont="1" applyFill="1" applyBorder="1" applyAlignment="1">
      <alignment vertical="center" wrapText="1"/>
    </xf>
    <xf numFmtId="0" fontId="30" fillId="0" borderId="0" xfId="0" applyFont="1" applyFill="1" applyAlignment="1">
      <alignment vertical="center" wrapText="1"/>
    </xf>
    <xf numFmtId="176" fontId="4" fillId="0" borderId="1" xfId="55" applyNumberFormat="1" applyFont="1" applyFill="1" applyBorder="1" applyAlignment="1" applyProtection="1">
      <alignment horizontal="center" vertical="center" wrapText="1"/>
    </xf>
    <xf numFmtId="176" fontId="29" fillId="0" borderId="1" xfId="0" applyNumberFormat="1" applyFont="1" applyFill="1" applyBorder="1" applyAlignment="1">
      <alignment horizontal="center" vertical="center" wrapText="1"/>
    </xf>
    <xf numFmtId="0" fontId="30" fillId="0" borderId="0" xfId="0" applyFont="1" applyFill="1" applyAlignment="1">
      <alignment wrapText="1"/>
    </xf>
    <xf numFmtId="181" fontId="4" fillId="0" borderId="1" xfId="5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27" fillId="0" borderId="8" xfId="0" applyFont="1" applyFill="1" applyBorder="1" applyAlignment="1">
      <alignment horizontal="center" vertical="top" wrapText="1"/>
    </xf>
    <xf numFmtId="0" fontId="8" fillId="0" borderId="8" xfId="0" applyFont="1" applyFill="1" applyBorder="1" applyAlignment="1">
      <alignment horizontal="center" vertical="top" wrapText="1"/>
    </xf>
    <xf numFmtId="0" fontId="27" fillId="0" borderId="11" xfId="0" applyFont="1" applyFill="1" applyBorder="1" applyAlignment="1">
      <alignment horizontal="left" vertical="center" wrapText="1"/>
    </xf>
    <xf numFmtId="0" fontId="4" fillId="0" borderId="0" xfId="0" applyFont="1" applyFill="1" applyBorder="1" applyAlignment="1">
      <alignment horizontal="center" vertical="top" wrapText="1"/>
    </xf>
    <xf numFmtId="0" fontId="30" fillId="0" borderId="0" xfId="0" applyFont="1" applyFill="1" applyAlignment="1">
      <alignment horizontal="center" vertical="center" wrapText="1"/>
    </xf>
    <xf numFmtId="0" fontId="0" fillId="0" borderId="0" xfId="0" applyFont="1" applyFill="1" applyAlignment="1">
      <alignment vertical="center"/>
    </xf>
    <xf numFmtId="0" fontId="25" fillId="0" borderId="1" xfId="0" applyFont="1" applyFill="1" applyBorder="1" applyAlignment="1">
      <alignment horizontal="center" vertical="center"/>
    </xf>
    <xf numFmtId="49" fontId="4" fillId="0" borderId="1" xfId="58" applyNumberFormat="1" applyFont="1" applyFill="1" applyBorder="1" applyAlignment="1">
      <alignment horizontal="center" vertical="center"/>
    </xf>
    <xf numFmtId="0" fontId="31" fillId="0" borderId="1" xfId="0" applyFont="1" applyFill="1" applyBorder="1" applyAlignment="1">
      <alignment horizontal="center" vertical="center"/>
    </xf>
    <xf numFmtId="0" fontId="32" fillId="0" borderId="1" xfId="0" applyFont="1" applyFill="1" applyBorder="1" applyAlignment="1">
      <alignment vertic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0" fontId="29" fillId="0" borderId="1" xfId="0" applyNumberFormat="1" applyFont="1" applyFill="1" applyBorder="1" applyAlignment="1">
      <alignment horizontal="center" vertical="center"/>
    </xf>
    <xf numFmtId="49" fontId="29"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29" fillId="0" borderId="1" xfId="0" applyNumberFormat="1" applyFont="1" applyFill="1" applyBorder="1" applyAlignment="1">
      <alignment horizontal="center" vertical="center"/>
    </xf>
    <xf numFmtId="0" fontId="33" fillId="0" borderId="1" xfId="0" applyFont="1" applyFill="1" applyBorder="1" applyAlignment="1">
      <alignment vertical="center"/>
    </xf>
    <xf numFmtId="0" fontId="32" fillId="0" borderId="1" xfId="0" applyFont="1" applyFill="1" applyBorder="1" applyAlignment="1">
      <alignment vertical="center" wrapText="1"/>
    </xf>
    <xf numFmtId="0" fontId="29" fillId="0" borderId="1" xfId="58" applyFont="1" applyFill="1" applyBorder="1" applyAlignment="1">
      <alignment horizontal="left" vertical="center" wrapText="1"/>
    </xf>
    <xf numFmtId="176" fontId="29" fillId="2" borderId="1" xfId="0" applyNumberFormat="1" applyFont="1" applyFill="1" applyBorder="1" applyAlignment="1">
      <alignment horizontal="center" vertical="center"/>
    </xf>
    <xf numFmtId="176" fontId="6" fillId="2" borderId="1" xfId="0" applyNumberFormat="1" applyFont="1" applyFill="1" applyBorder="1" applyAlignment="1" applyProtection="1">
      <alignment horizontal="center" vertical="center"/>
      <protection locked="0"/>
    </xf>
    <xf numFmtId="176" fontId="4" fillId="2" borderId="1" xfId="55" applyNumberFormat="1" applyFont="1" applyFill="1" applyBorder="1" applyAlignment="1" applyProtection="1">
      <alignment horizontal="center" vertical="center" wrapText="1"/>
    </xf>
    <xf numFmtId="176" fontId="4" fillId="2" borderId="5" xfId="0" applyNumberFormat="1" applyFont="1" applyFill="1" applyBorder="1" applyAlignment="1">
      <alignment horizontal="center" vertical="center" wrapText="1"/>
    </xf>
    <xf numFmtId="0" fontId="34" fillId="0" borderId="0" xfId="0" applyFont="1" applyFill="1" applyAlignment="1" applyProtection="1">
      <alignment vertical="center"/>
      <protection locked="0"/>
    </xf>
    <xf numFmtId="0" fontId="34" fillId="0" borderId="0" xfId="0" applyFont="1" applyFill="1" applyProtection="1">
      <protection locked="0"/>
    </xf>
    <xf numFmtId="0" fontId="34" fillId="0" borderId="0" xfId="0" applyFont="1" applyFill="1" applyAlignment="1" applyProtection="1">
      <protection locked="0"/>
    </xf>
    <xf numFmtId="0" fontId="6" fillId="0" borderId="0" xfId="0" applyFont="1" applyFill="1" applyBorder="1" applyAlignment="1" applyProtection="1">
      <alignment horizont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wrapText="1"/>
    </xf>
    <xf numFmtId="177" fontId="6" fillId="0" borderId="0" xfId="0" applyNumberFormat="1" applyFont="1" applyFill="1" applyBorder="1" applyAlignment="1" applyProtection="1">
      <alignment wrapText="1"/>
    </xf>
    <xf numFmtId="0" fontId="8"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wrapText="1"/>
      <protection locked="0"/>
    </xf>
    <xf numFmtId="0" fontId="6" fillId="0" borderId="0" xfId="0" applyFont="1" applyFill="1" applyAlignment="1" applyProtection="1">
      <alignment vertical="center" wrapText="1"/>
      <protection locked="0"/>
    </xf>
    <xf numFmtId="0" fontId="6" fillId="0" borderId="0" xfId="0" applyFont="1" applyFill="1" applyProtection="1">
      <protection locked="0"/>
    </xf>
    <xf numFmtId="0" fontId="10" fillId="0" borderId="0" xfId="0" applyFont="1" applyFill="1" applyBorder="1" applyAlignment="1" applyProtection="1">
      <alignment horizontal="center" vertical="center" wrapText="1"/>
    </xf>
    <xf numFmtId="177" fontId="10" fillId="0" borderId="0"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0" fontId="35" fillId="0" borderId="3" xfId="0" applyFont="1" applyFill="1" applyBorder="1" applyAlignment="1" applyProtection="1">
      <alignment horizontal="center" vertical="center" wrapText="1"/>
    </xf>
    <xf numFmtId="176" fontId="35" fillId="0" borderId="1" xfId="0" applyNumberFormat="1" applyFont="1" applyFill="1" applyBorder="1" applyAlignment="1">
      <alignment horizontal="center" vertical="center" wrapText="1"/>
    </xf>
    <xf numFmtId="0" fontId="35" fillId="0" borderId="4" xfId="0" applyFont="1" applyFill="1" applyBorder="1" applyAlignment="1" applyProtection="1">
      <alignment horizontal="center" vertical="center" wrapText="1"/>
    </xf>
    <xf numFmtId="176" fontId="35" fillId="0" borderId="3" xfId="0" applyNumberFormat="1" applyFont="1" applyFill="1" applyBorder="1" applyAlignment="1">
      <alignment horizontal="center" vertical="center" wrapText="1"/>
    </xf>
    <xf numFmtId="176" fontId="35" fillId="0" borderId="4" xfId="0" applyNumberFormat="1" applyFont="1" applyFill="1" applyBorder="1" applyAlignment="1">
      <alignment horizontal="center" vertical="center" wrapText="1"/>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center" vertical="center" wrapText="1"/>
    </xf>
    <xf numFmtId="176" fontId="35" fillId="0" borderId="1" xfId="0" applyNumberFormat="1" applyFont="1" applyFill="1" applyBorder="1" applyAlignment="1" applyProtection="1">
      <alignment horizontal="center" vertical="center" wrapText="1"/>
    </xf>
    <xf numFmtId="176" fontId="37"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181" fontId="38" fillId="0" borderId="1" xfId="0" applyNumberFormat="1" applyFont="1" applyFill="1" applyBorder="1" applyAlignment="1" applyProtection="1">
      <alignment horizontal="center" vertical="center"/>
      <protection locked="0"/>
    </xf>
    <xf numFmtId="181" fontId="35" fillId="0" borderId="11" xfId="0" applyNumberFormat="1" applyFont="1" applyFill="1" applyBorder="1" applyAlignment="1" applyProtection="1">
      <alignment horizontal="center" vertical="center" wrapText="1"/>
      <protection locked="0"/>
    </xf>
    <xf numFmtId="181" fontId="37" fillId="0" borderId="1" xfId="0" applyNumberFormat="1" applyFont="1" applyFill="1" applyBorder="1" applyAlignment="1">
      <alignment horizontal="center" vertical="center" wrapText="1"/>
    </xf>
    <xf numFmtId="179" fontId="35" fillId="0" borderId="1" xfId="0" applyNumberFormat="1" applyFont="1" applyFill="1" applyBorder="1" applyAlignment="1" applyProtection="1">
      <alignment horizontal="center" vertical="center" wrapText="1"/>
    </xf>
    <xf numFmtId="181" fontId="35" fillId="0" borderId="1" xfId="0" applyNumberFormat="1" applyFont="1" applyFill="1" applyBorder="1" applyAlignment="1" applyProtection="1">
      <alignment horizontal="center" vertical="center" wrapText="1"/>
      <protection locked="0"/>
    </xf>
    <xf numFmtId="181" fontId="37" fillId="0" borderId="11" xfId="0" applyNumberFormat="1" applyFont="1" applyFill="1" applyBorder="1" applyAlignment="1">
      <alignment horizontal="center" vertical="center" wrapText="1"/>
    </xf>
    <xf numFmtId="181" fontId="35" fillId="0" borderId="11" xfId="0" applyNumberFormat="1" applyFont="1" applyFill="1" applyBorder="1" applyAlignment="1">
      <alignment horizontal="center" vertical="center" wrapText="1"/>
    </xf>
    <xf numFmtId="181" fontId="35" fillId="0" borderId="1" xfId="0" applyNumberFormat="1" applyFont="1" applyFill="1" applyBorder="1" applyAlignment="1">
      <alignment horizontal="center" vertical="center" wrapText="1"/>
    </xf>
    <xf numFmtId="181" fontId="35" fillId="0" borderId="0" xfId="0" applyNumberFormat="1" applyFont="1" applyFill="1" applyAlignment="1" applyProtection="1">
      <alignment horizontal="center" vertical="center" wrapText="1"/>
      <protection locked="0"/>
    </xf>
    <xf numFmtId="0" fontId="36"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176" fontId="37" fillId="0" borderId="1" xfId="0" applyNumberFormat="1" applyFont="1" applyFill="1" applyBorder="1" applyAlignment="1">
      <alignment vertical="center" wrapText="1"/>
    </xf>
    <xf numFmtId="176" fontId="35" fillId="0" borderId="1" xfId="0" applyNumberFormat="1" applyFont="1" applyFill="1" applyBorder="1" applyAlignment="1" applyProtection="1">
      <alignment horizontal="center" vertical="center" wrapText="1"/>
      <protection locked="0"/>
    </xf>
    <xf numFmtId="176" fontId="37" fillId="0" borderId="1"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34" fillId="0" borderId="0" xfId="0" applyFont="1" applyFill="1" applyAlignment="1" applyProtection="1">
      <alignment vertical="center" wrapText="1"/>
      <protection locked="0"/>
    </xf>
    <xf numFmtId="176" fontId="34" fillId="0" borderId="1" xfId="0" applyNumberFormat="1" applyFont="1" applyFill="1" applyBorder="1" applyAlignment="1" applyProtection="1">
      <alignment horizontal="center" vertical="center" wrapText="1"/>
      <protection locked="0"/>
    </xf>
    <xf numFmtId="176" fontId="39" fillId="0" borderId="1"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vertical="center" wrapText="1"/>
      <protection locked="0"/>
    </xf>
    <xf numFmtId="176" fontId="35" fillId="0" borderId="5" xfId="0" applyNumberFormat="1" applyFont="1" applyFill="1" applyBorder="1" applyAlignment="1">
      <alignment horizontal="center" vertical="center" wrapText="1"/>
    </xf>
    <xf numFmtId="0" fontId="34" fillId="0" borderId="1" xfId="0" applyFont="1" applyFill="1" applyBorder="1" applyAlignment="1" applyProtection="1">
      <alignment horizontal="center" vertical="center" wrapText="1"/>
      <protection locked="0"/>
    </xf>
    <xf numFmtId="0" fontId="35" fillId="0" borderId="0" xfId="0" applyFont="1" applyFill="1" applyAlignment="1" applyProtection="1">
      <alignment vertical="center" wrapText="1"/>
      <protection locked="0"/>
    </xf>
    <xf numFmtId="0" fontId="34" fillId="0" borderId="1" xfId="0" applyFont="1" applyFill="1" applyBorder="1" applyAlignment="1" applyProtection="1">
      <alignment wrapText="1"/>
      <protection locked="0"/>
    </xf>
    <xf numFmtId="0" fontId="35" fillId="0" borderId="1" xfId="0" applyFont="1" applyFill="1" applyBorder="1" applyAlignment="1">
      <alignment vertical="center" wrapText="1"/>
    </xf>
    <xf numFmtId="0" fontId="34" fillId="0" borderId="1" xfId="0" applyFont="1" applyFill="1" applyBorder="1" applyAlignment="1">
      <alignment wrapText="1"/>
    </xf>
    <xf numFmtId="180" fontId="35" fillId="0" borderId="1" xfId="0" applyNumberFormat="1" applyFont="1" applyFill="1" applyBorder="1" applyAlignment="1" applyProtection="1">
      <alignment horizontal="center" vertical="center" wrapText="1"/>
    </xf>
    <xf numFmtId="177" fontId="37" fillId="0" borderId="1" xfId="0" applyNumberFormat="1" applyFont="1" applyFill="1" applyBorder="1" applyAlignment="1">
      <alignment horizontal="center" vertical="center" wrapText="1"/>
    </xf>
    <xf numFmtId="176" fontId="35" fillId="0" borderId="1" xfId="0" applyNumberFormat="1" applyFont="1" applyFill="1" applyBorder="1" applyAlignment="1">
      <alignment vertical="center" wrapText="1"/>
    </xf>
    <xf numFmtId="179" fontId="35" fillId="0" borderId="6" xfId="0" applyNumberFormat="1" applyFont="1" applyFill="1" applyBorder="1" applyAlignment="1">
      <alignment horizontal="center" vertical="center" wrapText="1"/>
    </xf>
    <xf numFmtId="177" fontId="35" fillId="0" borderId="1" xfId="0" applyNumberFormat="1" applyFont="1" applyFill="1" applyBorder="1" applyAlignment="1">
      <alignment horizontal="center" vertical="center" wrapText="1"/>
    </xf>
    <xf numFmtId="181" fontId="35" fillId="0" borderId="11" xfId="0" applyNumberFormat="1" applyFont="1" applyFill="1" applyBorder="1" applyAlignment="1" applyProtection="1">
      <alignment horizontal="center" vertical="center" wrapText="1"/>
    </xf>
    <xf numFmtId="181" fontId="35" fillId="0" borderId="1" xfId="0" applyNumberFormat="1" applyFont="1" applyFill="1" applyBorder="1" applyAlignment="1" applyProtection="1">
      <alignment horizontal="center" vertical="center" wrapText="1"/>
    </xf>
    <xf numFmtId="179" fontId="35" fillId="0" borderId="1" xfId="0" applyNumberFormat="1" applyFont="1" applyFill="1" applyBorder="1" applyAlignment="1">
      <alignment horizontal="center" vertical="center" wrapText="1"/>
    </xf>
    <xf numFmtId="0" fontId="35" fillId="2" borderId="1"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pplyProtection="1">
      <alignment wrapText="1"/>
      <protection locked="0"/>
    </xf>
    <xf numFmtId="177" fontId="37" fillId="0" borderId="1" xfId="0" applyNumberFormat="1" applyFont="1" applyFill="1" applyBorder="1" applyAlignment="1">
      <alignment vertical="center" wrapText="1"/>
    </xf>
    <xf numFmtId="177" fontId="35" fillId="0" borderId="1" xfId="0" applyNumberFormat="1" applyFont="1" applyFill="1" applyBorder="1" applyAlignment="1" applyProtection="1">
      <alignment horizontal="center" vertical="center" wrapText="1"/>
    </xf>
    <xf numFmtId="0" fontId="35" fillId="0" borderId="0" xfId="0" applyFont="1" applyFill="1" applyBorder="1" applyAlignment="1">
      <alignment horizontal="left" vertical="center" wrapText="1"/>
    </xf>
    <xf numFmtId="0" fontId="40" fillId="0" borderId="1" xfId="0" applyFont="1" applyFill="1" applyBorder="1" applyAlignment="1">
      <alignment vertical="center" wrapText="1"/>
    </xf>
    <xf numFmtId="181" fontId="37"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wrapText="1"/>
    </xf>
    <xf numFmtId="0" fontId="35" fillId="0" borderId="5"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0" borderId="14" xfId="0" applyFont="1" applyFill="1" applyBorder="1" applyAlignment="1">
      <alignment horizontal="left" vertical="center" wrapText="1"/>
    </xf>
    <xf numFmtId="176" fontId="35" fillId="0" borderId="14" xfId="0" applyNumberFormat="1" applyFont="1" applyFill="1" applyBorder="1" applyAlignment="1">
      <alignment horizontal="center" vertical="center" wrapText="1"/>
    </xf>
    <xf numFmtId="181" fontId="35" fillId="0" borderId="5" xfId="0" applyNumberFormat="1" applyFont="1" applyFill="1" applyBorder="1" applyAlignment="1">
      <alignment horizontal="center" vertical="center" wrapText="1"/>
    </xf>
    <xf numFmtId="0" fontId="35" fillId="0" borderId="10" xfId="0" applyFont="1" applyFill="1" applyBorder="1" applyAlignment="1">
      <alignment horizontal="left" vertical="center" wrapText="1"/>
    </xf>
    <xf numFmtId="0" fontId="35" fillId="0" borderId="6" xfId="0" applyFont="1" applyFill="1" applyBorder="1" applyAlignment="1">
      <alignment horizontal="left" vertical="center" wrapText="1"/>
    </xf>
    <xf numFmtId="176" fontId="35" fillId="0" borderId="6" xfId="0" applyNumberFormat="1" applyFont="1" applyFill="1" applyBorder="1" applyAlignment="1">
      <alignment horizontal="center" vertical="center" wrapText="1"/>
    </xf>
    <xf numFmtId="0" fontId="35" fillId="0" borderId="10" xfId="0" applyFont="1" applyFill="1" applyBorder="1" applyAlignment="1" applyProtection="1">
      <alignment horizontal="left" vertical="center" wrapText="1"/>
    </xf>
    <xf numFmtId="0" fontId="35" fillId="0" borderId="6" xfId="0" applyFont="1" applyFill="1" applyBorder="1" applyAlignment="1" applyProtection="1">
      <alignment horizontal="left" vertical="center" wrapText="1"/>
    </xf>
    <xf numFmtId="176" fontId="35" fillId="0" borderId="1" xfId="0" applyNumberFormat="1" applyFont="1" applyFill="1" applyBorder="1" applyAlignment="1">
      <alignment horizontal="right" vertical="center" wrapText="1"/>
    </xf>
    <xf numFmtId="0" fontId="36" fillId="0" borderId="10" xfId="0" applyFont="1" applyFill="1" applyBorder="1" applyAlignment="1">
      <alignment horizontal="left" vertical="center" wrapText="1"/>
    </xf>
    <xf numFmtId="0" fontId="35" fillId="0" borderId="5" xfId="0" applyNumberFormat="1" applyFont="1" applyFill="1" applyBorder="1" applyAlignment="1">
      <alignment horizontal="center" vertical="center" wrapText="1"/>
    </xf>
    <xf numFmtId="0" fontId="35" fillId="0" borderId="1" xfId="0" applyFont="1" applyFill="1" applyBorder="1" applyAlignment="1" applyProtection="1">
      <alignment vertical="center" wrapText="1"/>
      <protection locked="0"/>
    </xf>
    <xf numFmtId="0" fontId="6" fillId="0" borderId="5"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4" xfId="0" applyFont="1" applyFill="1" applyBorder="1" applyAlignment="1" applyProtection="1">
      <alignment wrapText="1"/>
      <protection locked="0"/>
    </xf>
    <xf numFmtId="0" fontId="35" fillId="0" borderId="6" xfId="0" applyFont="1" applyFill="1" applyBorder="1" applyAlignment="1" applyProtection="1">
      <alignment horizontal="center" vertical="center" wrapText="1"/>
      <protection locked="0"/>
    </xf>
    <xf numFmtId="0" fontId="36" fillId="0" borderId="10" xfId="0" applyFont="1" applyFill="1" applyBorder="1" applyAlignment="1">
      <alignment horizontal="center" vertical="center" wrapText="1"/>
    </xf>
    <xf numFmtId="0" fontId="41" fillId="0" borderId="1" xfId="0" applyNumberFormat="1" applyFont="1" applyFill="1" applyBorder="1" applyAlignment="1" applyProtection="1">
      <alignment horizontal="center" vertical="center" wrapText="1"/>
    </xf>
    <xf numFmtId="177" fontId="36" fillId="0" borderId="1" xfId="0" applyNumberFormat="1"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left" vertical="center" wrapText="1"/>
      <protection locked="0"/>
    </xf>
    <xf numFmtId="0" fontId="27" fillId="0" borderId="0" xfId="0" applyFont="1" applyFill="1" applyBorder="1" applyAlignment="1">
      <alignment vertical="center"/>
    </xf>
    <xf numFmtId="0" fontId="0" fillId="0" borderId="0" xfId="0" applyAlignment="1">
      <alignment horizontal="center"/>
    </xf>
    <xf numFmtId="0" fontId="42" fillId="0" borderId="1" xfId="0" applyFont="1" applyFill="1" applyBorder="1" applyAlignment="1">
      <alignment horizontal="center" vertical="center"/>
    </xf>
    <xf numFmtId="176" fontId="43"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181"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27" fillId="0" borderId="1" xfId="0" applyFont="1" applyFill="1" applyBorder="1" applyAlignment="1">
      <alignment horizontal="center" vertical="center" wrapText="1"/>
    </xf>
    <xf numFmtId="181" fontId="27" fillId="0" borderId="1" xfId="0" applyNumberFormat="1" applyFont="1" applyFill="1" applyBorder="1" applyAlignment="1" applyProtection="1">
      <alignment horizontal="center" vertical="center" wrapText="1"/>
      <protection locked="0"/>
    </xf>
    <xf numFmtId="176" fontId="27" fillId="0" borderId="1" xfId="0" applyNumberFormat="1" applyFont="1" applyFill="1" applyBorder="1" applyAlignment="1">
      <alignment horizontal="right" vertical="center" wrapText="1"/>
    </xf>
    <xf numFmtId="176" fontId="27" fillId="0"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8" fillId="0" borderId="0" xfId="0" applyNumberFormat="1" applyFont="1" applyFill="1" applyBorder="1" applyAlignment="1">
      <alignment vertical="center" wrapText="1"/>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1" xfId="0" applyNumberFormat="1" applyFont="1" applyFill="1" applyBorder="1" applyAlignment="1">
      <alignment horizontal="justify" vertical="center" wrapText="1"/>
    </xf>
    <xf numFmtId="0" fontId="45" fillId="0" borderId="0" xfId="0" applyNumberFormat="1" applyFont="1" applyFill="1" applyBorder="1" applyAlignment="1">
      <alignment horizontal="justify" vertical="center" wrapText="1"/>
    </xf>
    <xf numFmtId="0" fontId="45" fillId="0" borderId="1" xfId="0" applyNumberFormat="1" applyFont="1" applyFill="1" applyBorder="1" applyAlignment="1">
      <alignment horizontal="left" vertical="center" wrapText="1"/>
    </xf>
    <xf numFmtId="0" fontId="45" fillId="0" borderId="0" xfId="0" applyNumberFormat="1" applyFont="1" applyFill="1" applyBorder="1" applyAlignment="1">
      <alignment horizontal="left" vertical="center" wrapText="1"/>
    </xf>
    <xf numFmtId="0" fontId="44" fillId="0" borderId="1"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1" xfId="0" applyNumberFormat="1" applyFont="1" applyFill="1" applyBorder="1" applyAlignment="1">
      <alignment horizontal="justify" vertical="center" wrapText="1"/>
    </xf>
    <xf numFmtId="0" fontId="48" fillId="0" borderId="1"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门富力南昆山温泉养生谷E(成控调后分三个标段) 2 2" xfId="49"/>
    <cellStyle name="常规_凯德·风尚三期景观工程植物造价估算" xfId="50"/>
    <cellStyle name="常规 53" xfId="51"/>
    <cellStyle name="常规 2" xfId="52"/>
    <cellStyle name="常规 3 2" xfId="53"/>
    <cellStyle name="常规 5" xfId="54"/>
    <cellStyle name="常规_一、绿化清单1-广东、福建_2" xfId="55"/>
    <cellStyle name="3232" xfId="56"/>
    <cellStyle name="常规 7" xfId="57"/>
    <cellStyle name="常规 3" xfId="58"/>
  </cellStyles>
  <tableStyles count="0" defaultTableStyle="TableStyleMedium9"/>
  <colors>
    <mruColors>
      <color rgb="0000B050"/>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www.wps.cn/officeDocument/2020/cellImage" Target="cellimages.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9.png"/><Relationship Id="rId8" Type="http://schemas.openxmlformats.org/officeDocument/2006/relationships/image" Target="../media/image18.png"/><Relationship Id="rId7" Type="http://schemas.openxmlformats.org/officeDocument/2006/relationships/image" Target="../media/image17.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3" Type="http://schemas.openxmlformats.org/officeDocument/2006/relationships/image" Target="../media/image23.png"/><Relationship Id="rId12" Type="http://schemas.openxmlformats.org/officeDocument/2006/relationships/image" Target="../media/image22.png"/><Relationship Id="rId11" Type="http://schemas.openxmlformats.org/officeDocument/2006/relationships/image" Target="../media/image21.png"/><Relationship Id="rId10" Type="http://schemas.openxmlformats.org/officeDocument/2006/relationships/image" Target="../media/image20.png"/><Relationship Id="rId1" Type="http://schemas.openxmlformats.org/officeDocument/2006/relationships/image" Target="../media/image1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67945</xdr:colOff>
      <xdr:row>32</xdr:row>
      <xdr:rowOff>58420</xdr:rowOff>
    </xdr:from>
    <xdr:to>
      <xdr:col>12</xdr:col>
      <xdr:colOff>493395</xdr:colOff>
      <xdr:row>32</xdr:row>
      <xdr:rowOff>582930</xdr:rowOff>
    </xdr:to>
    <xdr:pic>
      <xdr:nvPicPr>
        <xdr:cNvPr id="4" name="图片 3"/>
        <xdr:cNvPicPr>
          <a:picLocks noChangeAspect="1"/>
        </xdr:cNvPicPr>
      </xdr:nvPicPr>
      <xdr:blipFill>
        <a:blip r:embed="rId1"/>
        <a:stretch>
          <a:fillRect/>
        </a:stretch>
      </xdr:blipFill>
      <xdr:spPr>
        <a:xfrm>
          <a:off x="9662795" y="16158845"/>
          <a:ext cx="425450" cy="524510"/>
        </a:xfrm>
        <a:prstGeom prst="rect">
          <a:avLst/>
        </a:prstGeom>
        <a:noFill/>
        <a:ln w="9525">
          <a:noFill/>
        </a:ln>
      </xdr:spPr>
    </xdr:pic>
    <xdr:clientData/>
  </xdr:twoCellAnchor>
  <xdr:twoCellAnchor editAs="oneCell">
    <xdr:from>
      <xdr:col>12</xdr:col>
      <xdr:colOff>128270</xdr:colOff>
      <xdr:row>33</xdr:row>
      <xdr:rowOff>46355</xdr:rowOff>
    </xdr:from>
    <xdr:to>
      <xdr:col>12</xdr:col>
      <xdr:colOff>559435</xdr:colOff>
      <xdr:row>33</xdr:row>
      <xdr:rowOff>573405</xdr:rowOff>
    </xdr:to>
    <xdr:pic>
      <xdr:nvPicPr>
        <xdr:cNvPr id="5" name="图片 4"/>
        <xdr:cNvPicPr>
          <a:picLocks noChangeAspect="1"/>
        </xdr:cNvPicPr>
      </xdr:nvPicPr>
      <xdr:blipFill>
        <a:blip r:embed="rId2"/>
        <a:stretch>
          <a:fillRect/>
        </a:stretch>
      </xdr:blipFill>
      <xdr:spPr>
        <a:xfrm>
          <a:off x="9723120" y="16756380"/>
          <a:ext cx="431165" cy="527050"/>
        </a:xfrm>
        <a:prstGeom prst="rect">
          <a:avLst/>
        </a:prstGeom>
        <a:noFill/>
        <a:ln w="9525">
          <a:noFill/>
        </a:ln>
      </xdr:spPr>
    </xdr:pic>
    <xdr:clientData/>
  </xdr:twoCellAnchor>
  <xdr:twoCellAnchor editAs="oneCell">
    <xdr:from>
      <xdr:col>12</xdr:col>
      <xdr:colOff>36195</xdr:colOff>
      <xdr:row>34</xdr:row>
      <xdr:rowOff>111125</xdr:rowOff>
    </xdr:from>
    <xdr:to>
      <xdr:col>12</xdr:col>
      <xdr:colOff>536575</xdr:colOff>
      <xdr:row>34</xdr:row>
      <xdr:rowOff>537210</xdr:rowOff>
    </xdr:to>
    <xdr:pic>
      <xdr:nvPicPr>
        <xdr:cNvPr id="6" name="图片 5"/>
        <xdr:cNvPicPr>
          <a:picLocks noChangeAspect="1"/>
        </xdr:cNvPicPr>
      </xdr:nvPicPr>
      <xdr:blipFill>
        <a:blip r:embed="rId3"/>
        <a:stretch>
          <a:fillRect/>
        </a:stretch>
      </xdr:blipFill>
      <xdr:spPr>
        <a:xfrm>
          <a:off x="9631045" y="17430750"/>
          <a:ext cx="500380" cy="426085"/>
        </a:xfrm>
        <a:prstGeom prst="rect">
          <a:avLst/>
        </a:prstGeom>
        <a:noFill/>
        <a:ln w="9525">
          <a:noFill/>
        </a:ln>
      </xdr:spPr>
    </xdr:pic>
    <xdr:clientData/>
  </xdr:twoCellAnchor>
  <xdr:twoCellAnchor editAs="oneCell">
    <xdr:from>
      <xdr:col>12</xdr:col>
      <xdr:colOff>135255</xdr:colOff>
      <xdr:row>35</xdr:row>
      <xdr:rowOff>84455</xdr:rowOff>
    </xdr:from>
    <xdr:to>
      <xdr:col>12</xdr:col>
      <xdr:colOff>535305</xdr:colOff>
      <xdr:row>35</xdr:row>
      <xdr:rowOff>555625</xdr:rowOff>
    </xdr:to>
    <xdr:pic>
      <xdr:nvPicPr>
        <xdr:cNvPr id="7" name="图片 6"/>
        <xdr:cNvPicPr>
          <a:picLocks noChangeAspect="1"/>
        </xdr:cNvPicPr>
      </xdr:nvPicPr>
      <xdr:blipFill>
        <a:blip r:embed="rId4"/>
        <a:stretch>
          <a:fillRect/>
        </a:stretch>
      </xdr:blipFill>
      <xdr:spPr>
        <a:xfrm>
          <a:off x="9730105" y="18013680"/>
          <a:ext cx="400050" cy="471170"/>
        </a:xfrm>
        <a:prstGeom prst="rect">
          <a:avLst/>
        </a:prstGeom>
        <a:noFill/>
        <a:ln w="9525">
          <a:noFill/>
        </a:ln>
      </xdr:spPr>
    </xdr:pic>
    <xdr:clientData/>
  </xdr:twoCellAnchor>
  <xdr:twoCellAnchor editAs="oneCell">
    <xdr:from>
      <xdr:col>12</xdr:col>
      <xdr:colOff>191135</xdr:colOff>
      <xdr:row>36</xdr:row>
      <xdr:rowOff>18415</xdr:rowOff>
    </xdr:from>
    <xdr:to>
      <xdr:col>12</xdr:col>
      <xdr:colOff>480060</xdr:colOff>
      <xdr:row>36</xdr:row>
      <xdr:rowOff>554990</xdr:rowOff>
    </xdr:to>
    <xdr:pic>
      <xdr:nvPicPr>
        <xdr:cNvPr id="8" name="图片 7"/>
        <xdr:cNvPicPr>
          <a:picLocks noChangeAspect="1"/>
        </xdr:cNvPicPr>
      </xdr:nvPicPr>
      <xdr:blipFill>
        <a:blip r:embed="rId5"/>
        <a:stretch>
          <a:fillRect/>
        </a:stretch>
      </xdr:blipFill>
      <xdr:spPr>
        <a:xfrm>
          <a:off x="9785985" y="18557240"/>
          <a:ext cx="288925" cy="536575"/>
        </a:xfrm>
        <a:prstGeom prst="rect">
          <a:avLst/>
        </a:prstGeom>
        <a:noFill/>
        <a:ln w="9525">
          <a:noFill/>
        </a:ln>
      </xdr:spPr>
    </xdr:pic>
    <xdr:clientData/>
  </xdr:twoCellAnchor>
  <xdr:twoCellAnchor editAs="oneCell">
    <xdr:from>
      <xdr:col>12</xdr:col>
      <xdr:colOff>97790</xdr:colOff>
      <xdr:row>38</xdr:row>
      <xdr:rowOff>161925</xdr:rowOff>
    </xdr:from>
    <xdr:to>
      <xdr:col>12</xdr:col>
      <xdr:colOff>730885</xdr:colOff>
      <xdr:row>38</xdr:row>
      <xdr:rowOff>243205</xdr:rowOff>
    </xdr:to>
    <xdr:pic>
      <xdr:nvPicPr>
        <xdr:cNvPr id="9" name="图片 8"/>
        <xdr:cNvPicPr>
          <a:picLocks noChangeAspect="1"/>
        </xdr:cNvPicPr>
      </xdr:nvPicPr>
      <xdr:blipFill>
        <a:blip r:embed="rId6"/>
        <a:stretch>
          <a:fillRect/>
        </a:stretch>
      </xdr:blipFill>
      <xdr:spPr>
        <a:xfrm>
          <a:off x="9692640" y="19919950"/>
          <a:ext cx="633095" cy="81280"/>
        </a:xfrm>
        <a:prstGeom prst="rect">
          <a:avLst/>
        </a:prstGeom>
        <a:noFill/>
        <a:ln w="9525">
          <a:noFill/>
        </a:ln>
      </xdr:spPr>
    </xdr:pic>
    <xdr:clientData/>
  </xdr:twoCellAnchor>
  <xdr:twoCellAnchor editAs="oneCell">
    <xdr:from>
      <xdr:col>12</xdr:col>
      <xdr:colOff>60325</xdr:colOff>
      <xdr:row>39</xdr:row>
      <xdr:rowOff>179070</xdr:rowOff>
    </xdr:from>
    <xdr:to>
      <xdr:col>12</xdr:col>
      <xdr:colOff>687705</xdr:colOff>
      <xdr:row>39</xdr:row>
      <xdr:rowOff>270510</xdr:rowOff>
    </xdr:to>
    <xdr:pic>
      <xdr:nvPicPr>
        <xdr:cNvPr id="10" name="图片 9"/>
        <xdr:cNvPicPr>
          <a:picLocks noChangeAspect="1"/>
        </xdr:cNvPicPr>
      </xdr:nvPicPr>
      <xdr:blipFill>
        <a:blip r:embed="rId7"/>
        <a:stretch>
          <a:fillRect/>
        </a:stretch>
      </xdr:blipFill>
      <xdr:spPr>
        <a:xfrm>
          <a:off x="9655175" y="20546695"/>
          <a:ext cx="627380" cy="91440"/>
        </a:xfrm>
        <a:prstGeom prst="rect">
          <a:avLst/>
        </a:prstGeom>
        <a:noFill/>
        <a:ln w="9525">
          <a:noFill/>
        </a:ln>
      </xdr:spPr>
    </xdr:pic>
    <xdr:clientData/>
  </xdr:twoCellAnchor>
  <xdr:twoCellAnchor editAs="oneCell">
    <xdr:from>
      <xdr:col>12</xdr:col>
      <xdr:colOff>25400</xdr:colOff>
      <xdr:row>40</xdr:row>
      <xdr:rowOff>249555</xdr:rowOff>
    </xdr:from>
    <xdr:to>
      <xdr:col>12</xdr:col>
      <xdr:colOff>705485</xdr:colOff>
      <xdr:row>40</xdr:row>
      <xdr:rowOff>384175</xdr:rowOff>
    </xdr:to>
    <xdr:pic>
      <xdr:nvPicPr>
        <xdr:cNvPr id="11" name="图片 10"/>
        <xdr:cNvPicPr>
          <a:picLocks noChangeAspect="1"/>
        </xdr:cNvPicPr>
      </xdr:nvPicPr>
      <xdr:blipFill>
        <a:blip r:embed="rId8"/>
        <a:stretch>
          <a:fillRect/>
        </a:stretch>
      </xdr:blipFill>
      <xdr:spPr>
        <a:xfrm>
          <a:off x="9620250" y="21226780"/>
          <a:ext cx="680085" cy="134620"/>
        </a:xfrm>
        <a:prstGeom prst="rect">
          <a:avLst/>
        </a:prstGeom>
        <a:noFill/>
        <a:ln w="9525">
          <a:noFill/>
        </a:ln>
      </xdr:spPr>
    </xdr:pic>
    <xdr:clientData/>
  </xdr:twoCellAnchor>
  <xdr:twoCellAnchor editAs="oneCell">
    <xdr:from>
      <xdr:col>12</xdr:col>
      <xdr:colOff>96520</xdr:colOff>
      <xdr:row>41</xdr:row>
      <xdr:rowOff>284480</xdr:rowOff>
    </xdr:from>
    <xdr:to>
      <xdr:col>12</xdr:col>
      <xdr:colOff>720725</xdr:colOff>
      <xdr:row>41</xdr:row>
      <xdr:rowOff>360680</xdr:rowOff>
    </xdr:to>
    <xdr:pic>
      <xdr:nvPicPr>
        <xdr:cNvPr id="12" name="图片 11"/>
        <xdr:cNvPicPr>
          <a:picLocks noChangeAspect="1"/>
        </xdr:cNvPicPr>
      </xdr:nvPicPr>
      <xdr:blipFill>
        <a:blip r:embed="rId9"/>
        <a:stretch>
          <a:fillRect/>
        </a:stretch>
      </xdr:blipFill>
      <xdr:spPr>
        <a:xfrm>
          <a:off x="9691370" y="21871305"/>
          <a:ext cx="624205" cy="76200"/>
        </a:xfrm>
        <a:prstGeom prst="rect">
          <a:avLst/>
        </a:prstGeom>
        <a:noFill/>
        <a:ln w="9525">
          <a:noFill/>
        </a:ln>
      </xdr:spPr>
    </xdr:pic>
    <xdr:clientData/>
  </xdr:twoCellAnchor>
  <xdr:twoCellAnchor editAs="oneCell">
    <xdr:from>
      <xdr:col>12</xdr:col>
      <xdr:colOff>105410</xdr:colOff>
      <xdr:row>37</xdr:row>
      <xdr:rowOff>101600</xdr:rowOff>
    </xdr:from>
    <xdr:to>
      <xdr:col>12</xdr:col>
      <xdr:colOff>662305</xdr:colOff>
      <xdr:row>37</xdr:row>
      <xdr:rowOff>502920</xdr:rowOff>
    </xdr:to>
    <xdr:pic>
      <xdr:nvPicPr>
        <xdr:cNvPr id="13" name="图片 12"/>
        <xdr:cNvPicPr>
          <a:picLocks noChangeAspect="1"/>
        </xdr:cNvPicPr>
      </xdr:nvPicPr>
      <xdr:blipFill>
        <a:blip r:embed="rId10"/>
        <a:stretch>
          <a:fillRect/>
        </a:stretch>
      </xdr:blipFill>
      <xdr:spPr>
        <a:xfrm>
          <a:off x="9700260" y="19250025"/>
          <a:ext cx="556895" cy="4013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114300</xdr:colOff>
      <xdr:row>4</xdr:row>
      <xdr:rowOff>288925</xdr:rowOff>
    </xdr:from>
    <xdr:to>
      <xdr:col>12</xdr:col>
      <xdr:colOff>926465</xdr:colOff>
      <xdr:row>4</xdr:row>
      <xdr:rowOff>937260</xdr:rowOff>
    </xdr:to>
    <xdr:pic>
      <xdr:nvPicPr>
        <xdr:cNvPr id="2" name="图片 1"/>
        <xdr:cNvPicPr>
          <a:picLocks noChangeAspect="1"/>
        </xdr:cNvPicPr>
      </xdr:nvPicPr>
      <xdr:blipFill>
        <a:blip r:embed="rId1"/>
        <a:stretch>
          <a:fillRect/>
        </a:stretch>
      </xdr:blipFill>
      <xdr:spPr>
        <a:xfrm>
          <a:off x="10302240" y="2005330"/>
          <a:ext cx="812165" cy="648335"/>
        </a:xfrm>
        <a:prstGeom prst="rect">
          <a:avLst/>
        </a:prstGeom>
        <a:noFill/>
        <a:ln w="9525">
          <a:noFill/>
        </a:ln>
      </xdr:spPr>
    </xdr:pic>
    <xdr:clientData/>
  </xdr:twoCellAnchor>
  <xdr:twoCellAnchor editAs="oneCell">
    <xdr:from>
      <xdr:col>12</xdr:col>
      <xdr:colOff>85725</xdr:colOff>
      <xdr:row>5</xdr:row>
      <xdr:rowOff>323850</xdr:rowOff>
    </xdr:from>
    <xdr:to>
      <xdr:col>12</xdr:col>
      <xdr:colOff>954405</xdr:colOff>
      <xdr:row>5</xdr:row>
      <xdr:rowOff>876300</xdr:rowOff>
    </xdr:to>
    <xdr:pic>
      <xdr:nvPicPr>
        <xdr:cNvPr id="3" name="图片 2"/>
        <xdr:cNvPicPr>
          <a:picLocks noChangeAspect="1"/>
        </xdr:cNvPicPr>
      </xdr:nvPicPr>
      <xdr:blipFill>
        <a:blip r:embed="rId2"/>
        <a:stretch>
          <a:fillRect/>
        </a:stretch>
      </xdr:blipFill>
      <xdr:spPr>
        <a:xfrm>
          <a:off x="10273665" y="3564255"/>
          <a:ext cx="868680" cy="552450"/>
        </a:xfrm>
        <a:prstGeom prst="rect">
          <a:avLst/>
        </a:prstGeom>
        <a:noFill/>
        <a:ln w="9525">
          <a:noFill/>
        </a:ln>
      </xdr:spPr>
    </xdr:pic>
    <xdr:clientData/>
  </xdr:twoCellAnchor>
  <xdr:twoCellAnchor editAs="oneCell">
    <xdr:from>
      <xdr:col>12</xdr:col>
      <xdr:colOff>104775</xdr:colOff>
      <xdr:row>6</xdr:row>
      <xdr:rowOff>133350</xdr:rowOff>
    </xdr:from>
    <xdr:to>
      <xdr:col>12</xdr:col>
      <xdr:colOff>926465</xdr:colOff>
      <xdr:row>6</xdr:row>
      <xdr:rowOff>686435</xdr:rowOff>
    </xdr:to>
    <xdr:pic>
      <xdr:nvPicPr>
        <xdr:cNvPr id="4" name="图片 3"/>
        <xdr:cNvPicPr>
          <a:picLocks noChangeAspect="1"/>
        </xdr:cNvPicPr>
      </xdr:nvPicPr>
      <xdr:blipFill>
        <a:blip r:embed="rId3"/>
        <a:stretch>
          <a:fillRect/>
        </a:stretch>
      </xdr:blipFill>
      <xdr:spPr>
        <a:xfrm>
          <a:off x="10292715" y="4745355"/>
          <a:ext cx="821690" cy="553085"/>
        </a:xfrm>
        <a:prstGeom prst="rect">
          <a:avLst/>
        </a:prstGeom>
        <a:noFill/>
        <a:ln w="9525">
          <a:noFill/>
        </a:ln>
      </xdr:spPr>
    </xdr:pic>
    <xdr:clientData/>
  </xdr:twoCellAnchor>
  <xdr:twoCellAnchor editAs="oneCell">
    <xdr:from>
      <xdr:col>12</xdr:col>
      <xdr:colOff>133350</xdr:colOff>
      <xdr:row>7</xdr:row>
      <xdr:rowOff>228600</xdr:rowOff>
    </xdr:from>
    <xdr:to>
      <xdr:col>12</xdr:col>
      <xdr:colOff>963295</xdr:colOff>
      <xdr:row>7</xdr:row>
      <xdr:rowOff>703580</xdr:rowOff>
    </xdr:to>
    <xdr:pic>
      <xdr:nvPicPr>
        <xdr:cNvPr id="5" name="图片 4"/>
        <xdr:cNvPicPr>
          <a:picLocks noChangeAspect="1"/>
        </xdr:cNvPicPr>
      </xdr:nvPicPr>
      <xdr:blipFill>
        <a:blip r:embed="rId4"/>
        <a:stretch>
          <a:fillRect/>
        </a:stretch>
      </xdr:blipFill>
      <xdr:spPr>
        <a:xfrm>
          <a:off x="10321290" y="5907405"/>
          <a:ext cx="829945" cy="474980"/>
        </a:xfrm>
        <a:prstGeom prst="rect">
          <a:avLst/>
        </a:prstGeom>
        <a:noFill/>
        <a:ln w="9525">
          <a:noFill/>
        </a:ln>
      </xdr:spPr>
    </xdr:pic>
    <xdr:clientData/>
  </xdr:twoCellAnchor>
  <xdr:twoCellAnchor editAs="oneCell">
    <xdr:from>
      <xdr:col>12</xdr:col>
      <xdr:colOff>161925</xdr:colOff>
      <xdr:row>8</xdr:row>
      <xdr:rowOff>295275</xdr:rowOff>
    </xdr:from>
    <xdr:to>
      <xdr:col>12</xdr:col>
      <xdr:colOff>949325</xdr:colOff>
      <xdr:row>8</xdr:row>
      <xdr:rowOff>763905</xdr:rowOff>
    </xdr:to>
    <xdr:pic>
      <xdr:nvPicPr>
        <xdr:cNvPr id="6" name="图片 5"/>
        <xdr:cNvPicPr>
          <a:picLocks noChangeAspect="1"/>
        </xdr:cNvPicPr>
      </xdr:nvPicPr>
      <xdr:blipFill>
        <a:blip r:embed="rId5"/>
        <a:stretch>
          <a:fillRect/>
        </a:stretch>
      </xdr:blipFill>
      <xdr:spPr>
        <a:xfrm>
          <a:off x="10349865" y="7040880"/>
          <a:ext cx="787400" cy="468630"/>
        </a:xfrm>
        <a:prstGeom prst="rect">
          <a:avLst/>
        </a:prstGeom>
        <a:noFill/>
        <a:ln w="9525">
          <a:noFill/>
        </a:ln>
      </xdr:spPr>
    </xdr:pic>
    <xdr:clientData/>
  </xdr:twoCellAnchor>
  <xdr:twoCellAnchor editAs="oneCell">
    <xdr:from>
      <xdr:col>12</xdr:col>
      <xdr:colOff>133350</xdr:colOff>
      <xdr:row>9</xdr:row>
      <xdr:rowOff>133350</xdr:rowOff>
    </xdr:from>
    <xdr:to>
      <xdr:col>12</xdr:col>
      <xdr:colOff>942975</xdr:colOff>
      <xdr:row>9</xdr:row>
      <xdr:rowOff>752475</xdr:rowOff>
    </xdr:to>
    <xdr:pic>
      <xdr:nvPicPr>
        <xdr:cNvPr id="7" name="图片 6"/>
        <xdr:cNvPicPr>
          <a:picLocks noChangeAspect="1"/>
        </xdr:cNvPicPr>
      </xdr:nvPicPr>
      <xdr:blipFill>
        <a:blip r:embed="rId6"/>
        <a:stretch>
          <a:fillRect/>
        </a:stretch>
      </xdr:blipFill>
      <xdr:spPr>
        <a:xfrm>
          <a:off x="10321290" y="8098155"/>
          <a:ext cx="809625" cy="619125"/>
        </a:xfrm>
        <a:prstGeom prst="rect">
          <a:avLst/>
        </a:prstGeom>
        <a:noFill/>
        <a:ln w="9525">
          <a:noFill/>
        </a:ln>
      </xdr:spPr>
    </xdr:pic>
    <xdr:clientData/>
  </xdr:twoCellAnchor>
  <xdr:twoCellAnchor editAs="oneCell">
    <xdr:from>
      <xdr:col>12</xdr:col>
      <xdr:colOff>219075</xdr:colOff>
      <xdr:row>10</xdr:row>
      <xdr:rowOff>186055</xdr:rowOff>
    </xdr:from>
    <xdr:to>
      <xdr:col>12</xdr:col>
      <xdr:colOff>695325</xdr:colOff>
      <xdr:row>10</xdr:row>
      <xdr:rowOff>621030</xdr:rowOff>
    </xdr:to>
    <xdr:pic>
      <xdr:nvPicPr>
        <xdr:cNvPr id="8" name="图片 7"/>
        <xdr:cNvPicPr>
          <a:picLocks noChangeAspect="1"/>
        </xdr:cNvPicPr>
      </xdr:nvPicPr>
      <xdr:blipFill>
        <a:blip r:embed="rId7"/>
        <a:stretch>
          <a:fillRect/>
        </a:stretch>
      </xdr:blipFill>
      <xdr:spPr>
        <a:xfrm>
          <a:off x="10407015" y="9293860"/>
          <a:ext cx="476250" cy="434975"/>
        </a:xfrm>
        <a:prstGeom prst="rect">
          <a:avLst/>
        </a:prstGeom>
        <a:noFill/>
        <a:ln w="9525">
          <a:noFill/>
        </a:ln>
      </xdr:spPr>
    </xdr:pic>
    <xdr:clientData/>
  </xdr:twoCellAnchor>
  <xdr:twoCellAnchor editAs="oneCell">
    <xdr:from>
      <xdr:col>12</xdr:col>
      <xdr:colOff>142875</xdr:colOff>
      <xdr:row>11</xdr:row>
      <xdr:rowOff>200025</xdr:rowOff>
    </xdr:from>
    <xdr:to>
      <xdr:col>12</xdr:col>
      <xdr:colOff>906145</xdr:colOff>
      <xdr:row>11</xdr:row>
      <xdr:rowOff>744220</xdr:rowOff>
    </xdr:to>
    <xdr:pic>
      <xdr:nvPicPr>
        <xdr:cNvPr id="9" name="图片 8"/>
        <xdr:cNvPicPr>
          <a:picLocks noChangeAspect="1"/>
        </xdr:cNvPicPr>
      </xdr:nvPicPr>
      <xdr:blipFill>
        <a:blip r:embed="rId8"/>
        <a:stretch>
          <a:fillRect/>
        </a:stretch>
      </xdr:blipFill>
      <xdr:spPr>
        <a:xfrm>
          <a:off x="10330815" y="10450830"/>
          <a:ext cx="763270" cy="544195"/>
        </a:xfrm>
        <a:prstGeom prst="rect">
          <a:avLst/>
        </a:prstGeom>
        <a:noFill/>
        <a:ln w="9525">
          <a:noFill/>
        </a:ln>
      </xdr:spPr>
    </xdr:pic>
    <xdr:clientData/>
  </xdr:twoCellAnchor>
  <xdr:twoCellAnchor editAs="oneCell">
    <xdr:from>
      <xdr:col>12</xdr:col>
      <xdr:colOff>27940</xdr:colOff>
      <xdr:row>12</xdr:row>
      <xdr:rowOff>73025</xdr:rowOff>
    </xdr:from>
    <xdr:to>
      <xdr:col>12</xdr:col>
      <xdr:colOff>990600</xdr:colOff>
      <xdr:row>12</xdr:row>
      <xdr:rowOff>929640</xdr:rowOff>
    </xdr:to>
    <xdr:pic>
      <xdr:nvPicPr>
        <xdr:cNvPr id="10" name="图片 9"/>
        <xdr:cNvPicPr>
          <a:picLocks noChangeAspect="1"/>
        </xdr:cNvPicPr>
      </xdr:nvPicPr>
      <xdr:blipFill>
        <a:blip r:embed="rId9"/>
        <a:stretch>
          <a:fillRect/>
        </a:stretch>
      </xdr:blipFill>
      <xdr:spPr>
        <a:xfrm>
          <a:off x="10215880" y="11609705"/>
          <a:ext cx="962660" cy="856615"/>
        </a:xfrm>
        <a:prstGeom prst="rect">
          <a:avLst/>
        </a:prstGeom>
        <a:noFill/>
        <a:ln w="9525">
          <a:noFill/>
        </a:ln>
      </xdr:spPr>
    </xdr:pic>
    <xdr:clientData/>
  </xdr:twoCellAnchor>
  <xdr:twoCellAnchor editAs="oneCell">
    <xdr:from>
      <xdr:col>12</xdr:col>
      <xdr:colOff>83820</xdr:colOff>
      <xdr:row>13</xdr:row>
      <xdr:rowOff>331470</xdr:rowOff>
    </xdr:from>
    <xdr:to>
      <xdr:col>12</xdr:col>
      <xdr:colOff>935355</xdr:colOff>
      <xdr:row>13</xdr:row>
      <xdr:rowOff>670560</xdr:rowOff>
    </xdr:to>
    <xdr:pic>
      <xdr:nvPicPr>
        <xdr:cNvPr id="11" name="图片 10"/>
        <xdr:cNvPicPr>
          <a:picLocks noChangeAspect="1"/>
        </xdr:cNvPicPr>
      </xdr:nvPicPr>
      <xdr:blipFill>
        <a:blip r:embed="rId10"/>
        <a:stretch>
          <a:fillRect/>
        </a:stretch>
      </xdr:blipFill>
      <xdr:spPr>
        <a:xfrm>
          <a:off x="10271760" y="12885420"/>
          <a:ext cx="851535" cy="339090"/>
        </a:xfrm>
        <a:prstGeom prst="rect">
          <a:avLst/>
        </a:prstGeom>
        <a:noFill/>
        <a:ln w="9525">
          <a:noFill/>
        </a:ln>
      </xdr:spPr>
    </xdr:pic>
    <xdr:clientData/>
  </xdr:twoCellAnchor>
  <xdr:twoCellAnchor editAs="oneCell">
    <xdr:from>
      <xdr:col>12</xdr:col>
      <xdr:colOff>66675</xdr:colOff>
      <xdr:row>16</xdr:row>
      <xdr:rowOff>36195</xdr:rowOff>
    </xdr:from>
    <xdr:to>
      <xdr:col>12</xdr:col>
      <xdr:colOff>973455</xdr:colOff>
      <xdr:row>16</xdr:row>
      <xdr:rowOff>746760</xdr:rowOff>
    </xdr:to>
    <xdr:pic>
      <xdr:nvPicPr>
        <xdr:cNvPr id="14" name="图片 13"/>
        <xdr:cNvPicPr>
          <a:picLocks noChangeAspect="1"/>
        </xdr:cNvPicPr>
      </xdr:nvPicPr>
      <xdr:blipFill>
        <a:blip r:embed="rId11"/>
        <a:stretch>
          <a:fillRect/>
        </a:stretch>
      </xdr:blipFill>
      <xdr:spPr>
        <a:xfrm>
          <a:off x="10254615" y="15641955"/>
          <a:ext cx="906780" cy="710565"/>
        </a:xfrm>
        <a:prstGeom prst="rect">
          <a:avLst/>
        </a:prstGeom>
        <a:noFill/>
        <a:ln w="9525">
          <a:noFill/>
        </a:ln>
      </xdr:spPr>
    </xdr:pic>
    <xdr:clientData/>
  </xdr:twoCellAnchor>
  <xdr:twoCellAnchor editAs="oneCell">
    <xdr:from>
      <xdr:col>12</xdr:col>
      <xdr:colOff>60325</xdr:colOff>
      <xdr:row>17</xdr:row>
      <xdr:rowOff>160020</xdr:rowOff>
    </xdr:from>
    <xdr:to>
      <xdr:col>12</xdr:col>
      <xdr:colOff>981075</xdr:colOff>
      <xdr:row>17</xdr:row>
      <xdr:rowOff>784860</xdr:rowOff>
    </xdr:to>
    <xdr:pic>
      <xdr:nvPicPr>
        <xdr:cNvPr id="15" name="图片 14"/>
        <xdr:cNvPicPr>
          <a:picLocks noChangeAspect="1"/>
        </xdr:cNvPicPr>
      </xdr:nvPicPr>
      <xdr:blipFill>
        <a:blip r:embed="rId12"/>
        <a:stretch>
          <a:fillRect/>
        </a:stretch>
      </xdr:blipFill>
      <xdr:spPr>
        <a:xfrm>
          <a:off x="10248265" y="16783050"/>
          <a:ext cx="920750" cy="624840"/>
        </a:xfrm>
        <a:prstGeom prst="rect">
          <a:avLst/>
        </a:prstGeom>
        <a:noFill/>
        <a:ln w="9525">
          <a:noFill/>
        </a:ln>
      </xdr:spPr>
    </xdr:pic>
    <xdr:clientData/>
  </xdr:twoCellAnchor>
  <xdr:twoCellAnchor editAs="oneCell">
    <xdr:from>
      <xdr:col>12</xdr:col>
      <xdr:colOff>28575</xdr:colOff>
      <xdr:row>18</xdr:row>
      <xdr:rowOff>112395</xdr:rowOff>
    </xdr:from>
    <xdr:to>
      <xdr:col>13</xdr:col>
      <xdr:colOff>0</xdr:colOff>
      <xdr:row>18</xdr:row>
      <xdr:rowOff>868680</xdr:rowOff>
    </xdr:to>
    <xdr:pic>
      <xdr:nvPicPr>
        <xdr:cNvPr id="16" name="图片 15"/>
        <xdr:cNvPicPr>
          <a:picLocks noChangeAspect="1"/>
        </xdr:cNvPicPr>
      </xdr:nvPicPr>
      <xdr:blipFill>
        <a:blip r:embed="rId13"/>
        <a:stretch>
          <a:fillRect/>
        </a:stretch>
      </xdr:blipFill>
      <xdr:spPr>
        <a:xfrm>
          <a:off x="10216515" y="17752695"/>
          <a:ext cx="971550" cy="7562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weixin\WeChat%20Files\wxid_u3th4f9h0t0a12\FileStorage\File\2024-07\&#20013;&#39536;&#25253;&#36865;-&#65288;&#26368;&#32456;&#65289;&#20248;&#21270;&#21518;-&#27931;&#23425;&#23665;&#27700;&#25991;&#33489;&#19968;&#26399;&#22823;&#21306;&#26223;&#35266;&#24037;&#31243;&#28165;&#21333;(6.29&#20462;&#259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报价说明"/>
      <sheetName val="汇总表"/>
      <sheetName val="硬质铺装"/>
      <sheetName val="绿植乔木"/>
      <sheetName val="绿植灌木"/>
      <sheetName val="景观水电"/>
      <sheetName val="外网雨污水"/>
      <sheetName val="软装"/>
      <sheetName val="备选类"/>
      <sheetName val="WpsReserved_CellImgList"/>
    </sheetNames>
    <sheetDataSet>
      <sheetData sheetId="0"/>
      <sheetData sheetId="1"/>
      <sheetData sheetId="2">
        <row r="6">
          <cell r="F6">
            <v>3</v>
          </cell>
        </row>
        <row r="6">
          <cell r="H6">
            <v>7</v>
          </cell>
        </row>
        <row r="73">
          <cell r="F73">
            <v>3</v>
          </cell>
        </row>
        <row r="73">
          <cell r="H73">
            <v>8</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38"/>
  <sheetViews>
    <sheetView topLeftCell="A32" workbookViewId="0">
      <selection activeCell="A23" sqref="A23:A24"/>
    </sheetView>
  </sheetViews>
  <sheetFormatPr defaultColWidth="10" defaultRowHeight="14.25" outlineLevelCol="2"/>
  <cols>
    <col min="1" max="1" width="98.8571428571429" style="71" customWidth="1"/>
    <col min="2" max="2" width="10.2857142857143" style="71"/>
    <col min="3" max="3" width="10.2857142857143" style="71" customWidth="1"/>
    <col min="4" max="30" width="10.2857142857143" style="71"/>
    <col min="31" max="16384" width="10" style="71"/>
  </cols>
  <sheetData>
    <row r="1" ht="20.25" spans="1:1">
      <c r="A1" s="315" t="s">
        <v>0</v>
      </c>
    </row>
    <row r="2" s="313" customFormat="1" ht="20.25" spans="1:3">
      <c r="A2" s="316" t="s">
        <v>1</v>
      </c>
      <c r="C2" s="315"/>
    </row>
    <row r="3" s="313" customFormat="1" ht="25.5" spans="1:3">
      <c r="A3" s="316" t="s">
        <v>2</v>
      </c>
      <c r="C3" s="317"/>
    </row>
    <row r="4" s="313" customFormat="1" ht="38.25" spans="1:3">
      <c r="A4" s="316" t="s">
        <v>3</v>
      </c>
      <c r="C4" s="317"/>
    </row>
    <row r="5" s="313" customFormat="1" ht="25.5" spans="1:3">
      <c r="A5" s="316" t="s">
        <v>4</v>
      </c>
      <c r="C5" s="317"/>
    </row>
    <row r="6" s="313" customFormat="1" ht="38.25" spans="1:3">
      <c r="A6" s="316" t="s">
        <v>5</v>
      </c>
      <c r="C6" s="317"/>
    </row>
    <row r="7" s="313" customFormat="1" ht="140.25" spans="1:3">
      <c r="A7" s="316" t="s">
        <v>6</v>
      </c>
      <c r="C7" s="317"/>
    </row>
    <row r="8" s="313" customFormat="1" ht="25.5" spans="1:3">
      <c r="A8" s="318" t="s">
        <v>7</v>
      </c>
      <c r="C8" s="317"/>
    </row>
    <row r="9" s="313" customFormat="1" spans="1:3">
      <c r="A9" s="318" t="s">
        <v>8</v>
      </c>
      <c r="C9" s="319"/>
    </row>
    <row r="10" ht="25.5" spans="1:3">
      <c r="A10" s="318" t="s">
        <v>9</v>
      </c>
      <c r="C10" s="319"/>
    </row>
    <row r="11" ht="20.25" spans="1:3">
      <c r="A11" s="320" t="s">
        <v>10</v>
      </c>
      <c r="C11" s="319"/>
    </row>
    <row r="12" spans="1:3">
      <c r="A12" s="321" t="s">
        <v>11</v>
      </c>
      <c r="C12" s="319"/>
    </row>
    <row r="13" ht="25.5" spans="1:3">
      <c r="A13" s="322" t="s">
        <v>12</v>
      </c>
      <c r="C13" s="319"/>
    </row>
    <row r="14" ht="12.75" spans="1:3">
      <c r="A14" s="322" t="s">
        <v>13</v>
      </c>
      <c r="C14" s="319"/>
    </row>
    <row r="15" spans="1:1">
      <c r="A15" s="321" t="s">
        <v>14</v>
      </c>
    </row>
    <row r="16" ht="25.5" spans="1:1">
      <c r="A16" s="322" t="s">
        <v>15</v>
      </c>
    </row>
    <row r="17" ht="12.75" spans="1:1">
      <c r="A17" s="322" t="s">
        <v>16</v>
      </c>
    </row>
    <row r="18" spans="1:1">
      <c r="A18" s="321" t="s">
        <v>17</v>
      </c>
    </row>
    <row r="19" ht="12.75" spans="1:1">
      <c r="A19" s="316" t="s">
        <v>18</v>
      </c>
    </row>
    <row r="20" ht="12.75" spans="1:1">
      <c r="A20" s="316" t="s">
        <v>19</v>
      </c>
    </row>
    <row r="21" ht="12.75" spans="1:1">
      <c r="A21" s="316" t="s">
        <v>20</v>
      </c>
    </row>
    <row r="22" ht="12.75" spans="1:1">
      <c r="A22" s="316" t="s">
        <v>21</v>
      </c>
    </row>
    <row r="23" ht="12.75" spans="1:1">
      <c r="A23" s="316" t="s">
        <v>22</v>
      </c>
    </row>
    <row r="24" ht="12.75" spans="1:1">
      <c r="A24" s="316" t="s">
        <v>23</v>
      </c>
    </row>
    <row r="25" spans="1:1">
      <c r="A25" s="323" t="s">
        <v>24</v>
      </c>
    </row>
    <row r="26" ht="12.75" spans="1:1">
      <c r="A26" s="322" t="s">
        <v>25</v>
      </c>
    </row>
    <row r="27" ht="12.75" spans="1:1">
      <c r="A27" s="322" t="s">
        <v>26</v>
      </c>
    </row>
    <row r="28" spans="1:1">
      <c r="A28" s="323" t="s">
        <v>27</v>
      </c>
    </row>
    <row r="29" ht="12.75" spans="1:1">
      <c r="A29" s="322" t="s">
        <v>28</v>
      </c>
    </row>
    <row r="30" ht="12.75" spans="1:1">
      <c r="A30" s="322" t="s">
        <v>29</v>
      </c>
    </row>
    <row r="31" s="314" customFormat="1" ht="20.25" spans="1:1">
      <c r="A31" s="320" t="s">
        <v>30</v>
      </c>
    </row>
    <row r="32" ht="39" spans="1:1">
      <c r="A32" s="318" t="s">
        <v>31</v>
      </c>
    </row>
    <row r="33" ht="25.5" spans="1:1">
      <c r="A33" s="318" t="s">
        <v>32</v>
      </c>
    </row>
    <row r="34" ht="25.5" spans="1:1">
      <c r="A34" s="318" t="s">
        <v>33</v>
      </c>
    </row>
    <row r="35" ht="76.5" spans="1:1">
      <c r="A35" s="318" t="s">
        <v>34</v>
      </c>
    </row>
    <row r="36" ht="51" spans="1:1">
      <c r="A36" s="318" t="s">
        <v>35</v>
      </c>
    </row>
    <row r="37" ht="114.75" spans="1:1">
      <c r="A37" s="318" t="s">
        <v>36</v>
      </c>
    </row>
    <row r="38" ht="89.25" spans="1:1">
      <c r="A38" s="318" t="s">
        <v>37</v>
      </c>
    </row>
  </sheetData>
  <sheetProtection formatCells="0" insertHyperlinks="0" autoFilter="0"/>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sheetProtection formatCells="0" insertHyperlinks="0" autoFilter="0"/>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7" sqref="F7"/>
    </sheetView>
  </sheetViews>
  <sheetFormatPr defaultColWidth="8.85714285714286" defaultRowHeight="12.75" outlineLevelCol="6"/>
  <cols>
    <col min="1" max="1" width="5.85714285714286" customWidth="1"/>
    <col min="2" max="2" width="18.1142857142857" customWidth="1"/>
    <col min="3" max="3" width="7.28571428571429" style="299" customWidth="1"/>
    <col min="4" max="4" width="9.42857142857143" customWidth="1"/>
    <col min="5" max="5" width="17.4285714285714" customWidth="1"/>
    <col min="6" max="6" width="17.1428571428571" customWidth="1"/>
    <col min="7" max="7" width="10.2857142857143" customWidth="1"/>
  </cols>
  <sheetData>
    <row r="1" s="71" customFormat="1" ht="81" customHeight="1" spans="1:7">
      <c r="A1" s="72" t="s">
        <v>38</v>
      </c>
      <c r="B1" s="72"/>
      <c r="C1" s="72"/>
      <c r="D1" s="72"/>
      <c r="E1" s="72"/>
      <c r="F1" s="72"/>
      <c r="G1" s="72"/>
    </row>
    <row r="2" s="298" customFormat="1" ht="57" customHeight="1" spans="1:7">
      <c r="A2" s="300" t="s">
        <v>39</v>
      </c>
      <c r="B2" s="300" t="s">
        <v>40</v>
      </c>
      <c r="C2" s="300" t="s">
        <v>41</v>
      </c>
      <c r="D2" s="300" t="s">
        <v>42</v>
      </c>
      <c r="E2" s="301" t="s">
        <v>43</v>
      </c>
      <c r="F2" s="301" t="s">
        <v>44</v>
      </c>
      <c r="G2" s="302" t="s">
        <v>45</v>
      </c>
    </row>
    <row r="3" s="71" customFormat="1" ht="54" customHeight="1" spans="1:7">
      <c r="A3" s="138">
        <v>1</v>
      </c>
      <c r="B3" s="303" t="s">
        <v>46</v>
      </c>
      <c r="C3" s="138" t="s">
        <v>47</v>
      </c>
      <c r="D3" s="304">
        <v>1</v>
      </c>
      <c r="E3" s="305">
        <f>硬质铺装!L267</f>
        <v>2856412.72952905</v>
      </c>
      <c r="F3" s="306">
        <f t="shared" ref="F3:F8" si="0">E3</f>
        <v>2856412.72952905</v>
      </c>
      <c r="G3" s="307"/>
    </row>
    <row r="4" s="71" customFormat="1" ht="54" customHeight="1" spans="1:7">
      <c r="A4" s="138">
        <v>2</v>
      </c>
      <c r="B4" s="303" t="s">
        <v>48</v>
      </c>
      <c r="C4" s="138" t="s">
        <v>47</v>
      </c>
      <c r="D4" s="304">
        <v>1</v>
      </c>
      <c r="E4" s="305">
        <f>绿植乔木!O47</f>
        <v>1064093.04642938</v>
      </c>
      <c r="F4" s="306">
        <f t="shared" si="0"/>
        <v>1064093.04642938</v>
      </c>
      <c r="G4" s="307"/>
    </row>
    <row r="5" s="71" customFormat="1" ht="54.95" customHeight="1" spans="1:7">
      <c r="A5" s="138">
        <v>3</v>
      </c>
      <c r="B5" s="303" t="s">
        <v>49</v>
      </c>
      <c r="C5" s="138" t="s">
        <v>47</v>
      </c>
      <c r="D5" s="304">
        <v>1</v>
      </c>
      <c r="E5" s="305">
        <f>绿植灌木!N49</f>
        <v>1089037.41131535</v>
      </c>
      <c r="F5" s="306">
        <f t="shared" si="0"/>
        <v>1089037.41131535</v>
      </c>
      <c r="G5" s="307"/>
    </row>
    <row r="6" s="71" customFormat="1" ht="54.95" customHeight="1" spans="1:7">
      <c r="A6" s="138">
        <v>4</v>
      </c>
      <c r="B6" s="303" t="s">
        <v>50</v>
      </c>
      <c r="C6" s="138" t="s">
        <v>47</v>
      </c>
      <c r="D6" s="304">
        <v>1</v>
      </c>
      <c r="E6" s="305">
        <f>景观水电!L118</f>
        <v>415896.157133171</v>
      </c>
      <c r="F6" s="306">
        <f t="shared" si="0"/>
        <v>415896.157133171</v>
      </c>
      <c r="G6" s="307"/>
    </row>
    <row r="7" s="71" customFormat="1" ht="54" customHeight="1" spans="1:7">
      <c r="A7" s="138">
        <v>5</v>
      </c>
      <c r="B7" s="303" t="s">
        <v>51</v>
      </c>
      <c r="C7" s="138" t="s">
        <v>47</v>
      </c>
      <c r="D7" s="304">
        <v>1</v>
      </c>
      <c r="E7" s="305">
        <f>'外网雨污水 '!L43</f>
        <v>474787.945545325</v>
      </c>
      <c r="F7" s="306">
        <f t="shared" si="0"/>
        <v>474787.945545325</v>
      </c>
      <c r="G7" s="307"/>
    </row>
    <row r="8" s="71" customFormat="1" ht="54" customHeight="1" spans="1:7">
      <c r="A8" s="138">
        <v>6</v>
      </c>
      <c r="B8" s="303" t="s">
        <v>52</v>
      </c>
      <c r="C8" s="138" t="s">
        <v>47</v>
      </c>
      <c r="D8" s="304">
        <v>1</v>
      </c>
      <c r="E8" s="305">
        <f>软装!L20</f>
        <v>122008.118424</v>
      </c>
      <c r="F8" s="306">
        <f t="shared" si="0"/>
        <v>122008.118424</v>
      </c>
      <c r="G8" s="307"/>
    </row>
    <row r="9" s="298" customFormat="1" ht="57" customHeight="1" spans="1:7">
      <c r="A9" s="308" t="s">
        <v>53</v>
      </c>
      <c r="B9" s="308"/>
      <c r="C9" s="308" t="s">
        <v>54</v>
      </c>
      <c r="D9" s="309"/>
      <c r="E9" s="310"/>
      <c r="F9" s="311">
        <f>SUM(F3:F8)</f>
        <v>6022235.40837628</v>
      </c>
      <c r="G9" s="312"/>
    </row>
  </sheetData>
  <sheetProtection formatCells="0" insertHyperlinks="0" autoFilter="0"/>
  <mergeCells count="2">
    <mergeCell ref="A1:G1"/>
    <mergeCell ref="A9:B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268"/>
  <sheetViews>
    <sheetView workbookViewId="0">
      <pane xSplit="11" ySplit="5" topLeftCell="L6" activePane="bottomRight" state="frozen"/>
      <selection/>
      <selection pane="topRight"/>
      <selection pane="bottomLeft"/>
      <selection pane="bottomRight" activeCell="N211" sqref="N211"/>
    </sheetView>
  </sheetViews>
  <sheetFormatPr defaultColWidth="9.14285714285714" defaultRowHeight="14.25"/>
  <cols>
    <col min="1" max="1" width="5.14285714285714" style="204" customWidth="1"/>
    <col min="2" max="2" width="13.6380952380952" style="205" customWidth="1"/>
    <col min="3" max="3" width="26.8952380952381" style="206" customWidth="1"/>
    <col min="4" max="4" width="6.43809523809524" style="204" customWidth="1"/>
    <col min="5" max="5" width="8.42857142857143" style="207" customWidth="1"/>
    <col min="6" max="6" width="12.1428571428571" style="208" customWidth="1"/>
    <col min="7" max="7" width="10.7142857142857" style="208" customWidth="1"/>
    <col min="8" max="8" width="8" style="208" customWidth="1"/>
    <col min="9" max="9" width="15.9809523809524" style="208" customWidth="1"/>
    <col min="10" max="10" width="13" style="208" customWidth="1"/>
    <col min="11" max="11" width="11.6666666666667" style="208" customWidth="1"/>
    <col min="12" max="12" width="11.8571428571429" style="208" customWidth="1"/>
    <col min="13" max="13" width="11.6666666666667" style="209" customWidth="1"/>
    <col min="14" max="14" width="11.7142857142857" style="210" customWidth="1"/>
    <col min="15" max="15" width="9.14285714285714" style="211" customWidth="1"/>
    <col min="16" max="16384" width="9.14285714285714" style="212"/>
  </cols>
  <sheetData>
    <row r="1" ht="20.25" spans="1:14">
      <c r="A1" s="213" t="s">
        <v>55</v>
      </c>
      <c r="B1" s="213"/>
      <c r="C1" s="213"/>
      <c r="D1" s="213"/>
      <c r="E1" s="214"/>
      <c r="F1" s="215"/>
      <c r="G1" s="215"/>
      <c r="H1" s="215"/>
      <c r="I1" s="215"/>
      <c r="J1" s="215"/>
      <c r="M1" s="245"/>
      <c r="N1" s="245"/>
    </row>
    <row r="2" s="201" customFormat="1" ht="11.25" spans="1:15">
      <c r="A2" s="216" t="s">
        <v>56</v>
      </c>
      <c r="B2" s="216" t="s">
        <v>40</v>
      </c>
      <c r="C2" s="216" t="s">
        <v>57</v>
      </c>
      <c r="D2" s="216" t="s">
        <v>41</v>
      </c>
      <c r="E2" s="216" t="s">
        <v>58</v>
      </c>
      <c r="F2" s="217" t="s">
        <v>59</v>
      </c>
      <c r="G2" s="217"/>
      <c r="H2" s="217"/>
      <c r="I2" s="217"/>
      <c r="J2" s="217"/>
      <c r="K2" s="216" t="s">
        <v>60</v>
      </c>
      <c r="L2" s="216" t="s">
        <v>61</v>
      </c>
      <c r="M2" s="216" t="s">
        <v>45</v>
      </c>
      <c r="N2" s="216" t="s">
        <v>62</v>
      </c>
      <c r="O2" s="246"/>
    </row>
    <row r="3" s="201" customFormat="1" ht="70" customHeight="1" spans="1:15">
      <c r="A3" s="218"/>
      <c r="B3" s="218"/>
      <c r="C3" s="218"/>
      <c r="D3" s="218"/>
      <c r="E3" s="218"/>
      <c r="F3" s="219" t="s">
        <v>63</v>
      </c>
      <c r="G3" s="219" t="s">
        <v>64</v>
      </c>
      <c r="H3" s="219" t="s">
        <v>65</v>
      </c>
      <c r="I3" s="217" t="s">
        <v>66</v>
      </c>
      <c r="J3" s="217" t="s">
        <v>67</v>
      </c>
      <c r="K3" s="218"/>
      <c r="L3" s="218"/>
      <c r="M3" s="218"/>
      <c r="N3" s="218"/>
      <c r="O3" s="246"/>
    </row>
    <row r="4" s="201" customFormat="1" ht="11.25" spans="1:15">
      <c r="A4" s="218"/>
      <c r="B4" s="218"/>
      <c r="C4" s="218"/>
      <c r="D4" s="218"/>
      <c r="E4" s="218"/>
      <c r="F4" s="220"/>
      <c r="G4" s="220"/>
      <c r="H4" s="220"/>
      <c r="I4" s="58">
        <v>0.095</v>
      </c>
      <c r="J4" s="59">
        <v>0.09</v>
      </c>
      <c r="K4" s="218"/>
      <c r="L4" s="218"/>
      <c r="M4" s="218"/>
      <c r="N4" s="218"/>
      <c r="O4" s="246"/>
    </row>
    <row r="5" s="201" customFormat="1" ht="21" spans="1:15">
      <c r="A5" s="221" t="s">
        <v>68</v>
      </c>
      <c r="B5" s="222" t="s">
        <v>69</v>
      </c>
      <c r="C5" s="223"/>
      <c r="D5" s="224"/>
      <c r="E5" s="225"/>
      <c r="F5" s="226"/>
      <c r="G5" s="227"/>
      <c r="H5" s="226"/>
      <c r="I5" s="247"/>
      <c r="J5" s="248"/>
      <c r="K5" s="217"/>
      <c r="L5" s="217"/>
      <c r="M5" s="249"/>
      <c r="N5" s="250"/>
      <c r="O5" s="246"/>
    </row>
    <row r="6" s="201" customFormat="1" ht="52.5" outlineLevel="1" spans="1:15">
      <c r="A6" s="224">
        <v>1</v>
      </c>
      <c r="B6" s="223" t="s">
        <v>70</v>
      </c>
      <c r="C6" s="223" t="s">
        <v>71</v>
      </c>
      <c r="D6" s="224" t="s">
        <v>72</v>
      </c>
      <c r="E6" s="225">
        <f>(942.28*0.27+2790.74*0.37)</f>
        <v>1286.9894</v>
      </c>
      <c r="F6" s="228">
        <v>3</v>
      </c>
      <c r="G6" s="229">
        <v>0</v>
      </c>
      <c r="H6" s="230">
        <v>7</v>
      </c>
      <c r="I6" s="247">
        <f>(F6+G6+H6)*$I$4</f>
        <v>0.95</v>
      </c>
      <c r="J6" s="248">
        <f>(F6+G6+H6+I6)*$J$4</f>
        <v>0.9855</v>
      </c>
      <c r="K6" s="251">
        <f>F6+G6+H6+I6+J6</f>
        <v>11.9355</v>
      </c>
      <c r="L6" s="217">
        <f>K6*E6</f>
        <v>15360.8619837</v>
      </c>
      <c r="M6" s="249"/>
      <c r="N6" s="250"/>
      <c r="O6" s="246"/>
    </row>
    <row r="7" s="201" customFormat="1" ht="21" outlineLevel="1" spans="1:15">
      <c r="A7" s="224">
        <v>2</v>
      </c>
      <c r="B7" s="223" t="s">
        <v>73</v>
      </c>
      <c r="C7" s="223" t="s">
        <v>74</v>
      </c>
      <c r="D7" s="224" t="s">
        <v>75</v>
      </c>
      <c r="E7" s="225">
        <f>2790.74+942.28</f>
        <v>3733.02</v>
      </c>
      <c r="F7" s="228">
        <v>1.2</v>
      </c>
      <c r="G7" s="229">
        <v>0</v>
      </c>
      <c r="H7" s="230">
        <v>1.5</v>
      </c>
      <c r="I7" s="247">
        <f t="shared" ref="I7:I70" si="0">(F7+G7+H7)*$I$4</f>
        <v>0.2565</v>
      </c>
      <c r="J7" s="248">
        <f t="shared" ref="J7:J70" si="1">(F7+G7+H7+I7)*$J$4</f>
        <v>0.266085</v>
      </c>
      <c r="K7" s="251">
        <f t="shared" ref="K7:K70" si="2">F7+G7+H7+I7+J7</f>
        <v>3.222585</v>
      </c>
      <c r="L7" s="217">
        <f t="shared" ref="L7:L70" si="3">K7*E7</f>
        <v>12029.9742567</v>
      </c>
      <c r="M7" s="249"/>
      <c r="N7" s="250"/>
      <c r="O7" s="246"/>
    </row>
    <row r="8" s="201" customFormat="1" ht="42" outlineLevel="1" spans="1:15">
      <c r="A8" s="224">
        <v>3</v>
      </c>
      <c r="B8" s="223" t="s">
        <v>76</v>
      </c>
      <c r="C8" s="223" t="s">
        <v>77</v>
      </c>
      <c r="D8" s="224" t="s">
        <v>72</v>
      </c>
      <c r="E8" s="225">
        <f>E7*0.15</f>
        <v>559.953</v>
      </c>
      <c r="F8" s="228">
        <v>13</v>
      </c>
      <c r="G8" s="229">
        <v>103</v>
      </c>
      <c r="H8" s="230">
        <v>15</v>
      </c>
      <c r="I8" s="247">
        <f t="shared" si="0"/>
        <v>12.445</v>
      </c>
      <c r="J8" s="248">
        <f t="shared" si="1"/>
        <v>12.91005</v>
      </c>
      <c r="K8" s="251">
        <f t="shared" si="2"/>
        <v>156.35505</v>
      </c>
      <c r="L8" s="217">
        <f t="shared" si="3"/>
        <v>87551.47931265</v>
      </c>
      <c r="M8" s="249"/>
      <c r="N8" s="250"/>
      <c r="O8" s="246"/>
    </row>
    <row r="9" s="201" customFormat="1" ht="52.5" outlineLevel="1" spans="1:15">
      <c r="A9" s="224">
        <v>4</v>
      </c>
      <c r="B9" s="223" t="s">
        <v>78</v>
      </c>
      <c r="C9" s="223" t="s">
        <v>79</v>
      </c>
      <c r="D9" s="224" t="s">
        <v>72</v>
      </c>
      <c r="E9" s="225">
        <f>942.28*0.1</f>
        <v>94.228</v>
      </c>
      <c r="F9" s="228">
        <f>G9*0.19</f>
        <v>65.55</v>
      </c>
      <c r="G9" s="229">
        <v>345</v>
      </c>
      <c r="H9" s="230">
        <f>G9*0.05</f>
        <v>17.25</v>
      </c>
      <c r="I9" s="247">
        <f t="shared" si="0"/>
        <v>40.641</v>
      </c>
      <c r="J9" s="248">
        <f t="shared" si="1"/>
        <v>42.15969</v>
      </c>
      <c r="K9" s="251">
        <f t="shared" si="2"/>
        <v>510.60069</v>
      </c>
      <c r="L9" s="217">
        <f t="shared" si="3"/>
        <v>48112.88181732</v>
      </c>
      <c r="M9" s="249"/>
      <c r="N9" s="250"/>
      <c r="O9" s="246"/>
    </row>
    <row r="10" s="201" customFormat="1" ht="52.5" outlineLevel="1" spans="1:15">
      <c r="A10" s="224">
        <v>5</v>
      </c>
      <c r="B10" s="223" t="s">
        <v>80</v>
      </c>
      <c r="C10" s="223" t="s">
        <v>81</v>
      </c>
      <c r="D10" s="224" t="s">
        <v>72</v>
      </c>
      <c r="E10" s="225">
        <f>(2790.74)*0.2</f>
        <v>558.148</v>
      </c>
      <c r="F10" s="228">
        <f>G10*0.19</f>
        <v>65.55</v>
      </c>
      <c r="G10" s="229">
        <v>345</v>
      </c>
      <c r="H10" s="230">
        <f>G10*0.05</f>
        <v>17.25</v>
      </c>
      <c r="I10" s="247">
        <f t="shared" si="0"/>
        <v>40.641</v>
      </c>
      <c r="J10" s="248">
        <f t="shared" si="1"/>
        <v>42.15969</v>
      </c>
      <c r="K10" s="251">
        <f t="shared" si="2"/>
        <v>510.60069</v>
      </c>
      <c r="L10" s="217">
        <f t="shared" si="3"/>
        <v>284990.75392212</v>
      </c>
      <c r="M10" s="249"/>
      <c r="N10" s="250"/>
      <c r="O10" s="246"/>
    </row>
    <row r="11" s="201" customFormat="1" ht="84" outlineLevel="1" spans="1:15">
      <c r="A11" s="224">
        <v>6</v>
      </c>
      <c r="B11" s="223" t="s">
        <v>82</v>
      </c>
      <c r="C11" s="223" t="s">
        <v>83</v>
      </c>
      <c r="D11" s="224" t="s">
        <v>84</v>
      </c>
      <c r="E11" s="231">
        <f>8.588</f>
        <v>8.588</v>
      </c>
      <c r="F11" s="228">
        <v>1200</v>
      </c>
      <c r="G11" s="232">
        <v>4050</v>
      </c>
      <c r="H11" s="230">
        <v>150</v>
      </c>
      <c r="I11" s="247">
        <f t="shared" si="0"/>
        <v>513</v>
      </c>
      <c r="J11" s="248">
        <f t="shared" si="1"/>
        <v>532.17</v>
      </c>
      <c r="K11" s="251">
        <f t="shared" si="2"/>
        <v>6445.17</v>
      </c>
      <c r="L11" s="217">
        <f t="shared" si="3"/>
        <v>55351.11996</v>
      </c>
      <c r="M11" s="249"/>
      <c r="N11" s="250"/>
      <c r="O11" s="246"/>
    </row>
    <row r="12" s="201" customFormat="1" ht="42" outlineLevel="1" spans="1:15">
      <c r="A12" s="224">
        <v>7</v>
      </c>
      <c r="B12" s="223" t="s">
        <v>85</v>
      </c>
      <c r="C12" s="223" t="s">
        <v>86</v>
      </c>
      <c r="D12" s="224" t="s">
        <v>84</v>
      </c>
      <c r="E12" s="231">
        <f>(54.5/0.15+1)*0.6165/1000</f>
        <v>0.2246115</v>
      </c>
      <c r="F12" s="228">
        <v>2400</v>
      </c>
      <c r="G12" s="232">
        <v>0</v>
      </c>
      <c r="H12" s="230">
        <v>150</v>
      </c>
      <c r="I12" s="247">
        <f t="shared" si="0"/>
        <v>242.25</v>
      </c>
      <c r="J12" s="248">
        <f t="shared" si="1"/>
        <v>251.3025</v>
      </c>
      <c r="K12" s="251">
        <f t="shared" si="2"/>
        <v>3043.5525</v>
      </c>
      <c r="L12" s="217">
        <f t="shared" si="3"/>
        <v>683.61689235375</v>
      </c>
      <c r="M12" s="252"/>
      <c r="N12" s="250"/>
      <c r="O12" s="246"/>
    </row>
    <row r="13" s="201" customFormat="1" ht="31.5" outlineLevel="1" spans="1:15">
      <c r="A13" s="224">
        <v>8</v>
      </c>
      <c r="B13" s="223" t="s">
        <v>87</v>
      </c>
      <c r="C13" s="223" t="s">
        <v>88</v>
      </c>
      <c r="D13" s="224" t="s">
        <v>75</v>
      </c>
      <c r="E13" s="225">
        <v>1825.43</v>
      </c>
      <c r="F13" s="228">
        <v>48.5</v>
      </c>
      <c r="G13" s="229">
        <f>66*1.07</f>
        <v>70.62</v>
      </c>
      <c r="H13" s="230">
        <v>13.95</v>
      </c>
      <c r="I13" s="247">
        <f t="shared" si="0"/>
        <v>12.64165</v>
      </c>
      <c r="J13" s="248">
        <f t="shared" si="1"/>
        <v>13.1140485</v>
      </c>
      <c r="K13" s="251">
        <f t="shared" si="2"/>
        <v>158.8256985</v>
      </c>
      <c r="L13" s="217">
        <f t="shared" si="3"/>
        <v>289925.194812855</v>
      </c>
      <c r="M13" s="252"/>
      <c r="N13" s="232" t="s">
        <v>89</v>
      </c>
      <c r="O13" s="246"/>
    </row>
    <row r="14" s="201" customFormat="1" ht="31.5" outlineLevel="1" spans="1:15">
      <c r="A14" s="224">
        <v>9</v>
      </c>
      <c r="B14" s="223" t="s">
        <v>87</v>
      </c>
      <c r="C14" s="223" t="s">
        <v>90</v>
      </c>
      <c r="D14" s="224" t="s">
        <v>75</v>
      </c>
      <c r="E14" s="225">
        <v>580.02</v>
      </c>
      <c r="F14" s="228">
        <v>48.5</v>
      </c>
      <c r="G14" s="229">
        <f>57.2*1.07</f>
        <v>61.204</v>
      </c>
      <c r="H14" s="230">
        <f t="shared" ref="H14:H16" si="4">H13</f>
        <v>13.95</v>
      </c>
      <c r="I14" s="247">
        <f t="shared" si="0"/>
        <v>11.74713</v>
      </c>
      <c r="J14" s="248">
        <f t="shared" si="1"/>
        <v>12.1861017</v>
      </c>
      <c r="K14" s="251">
        <f t="shared" si="2"/>
        <v>147.5872317</v>
      </c>
      <c r="L14" s="217">
        <f t="shared" si="3"/>
        <v>85603.546130634</v>
      </c>
      <c r="M14" s="252"/>
      <c r="N14" s="232" t="s">
        <v>89</v>
      </c>
      <c r="O14" s="246"/>
    </row>
    <row r="15" s="201" customFormat="1" ht="31.5" outlineLevel="1" spans="1:15">
      <c r="A15" s="224">
        <v>10</v>
      </c>
      <c r="B15" s="223" t="s">
        <v>91</v>
      </c>
      <c r="C15" s="223" t="s">
        <v>92</v>
      </c>
      <c r="D15" s="224" t="s">
        <v>75</v>
      </c>
      <c r="E15" s="225">
        <v>177.58</v>
      </c>
      <c r="F15" s="228">
        <v>48.5</v>
      </c>
      <c r="G15" s="229">
        <f>G13</f>
        <v>70.62</v>
      </c>
      <c r="H15" s="230">
        <f t="shared" si="4"/>
        <v>13.95</v>
      </c>
      <c r="I15" s="247">
        <f t="shared" si="0"/>
        <v>12.64165</v>
      </c>
      <c r="J15" s="248">
        <f t="shared" si="1"/>
        <v>13.1140485</v>
      </c>
      <c r="K15" s="251">
        <f t="shared" si="2"/>
        <v>158.8256985</v>
      </c>
      <c r="L15" s="217">
        <f t="shared" si="3"/>
        <v>28204.26753963</v>
      </c>
      <c r="M15" s="252"/>
      <c r="N15" s="232" t="s">
        <v>89</v>
      </c>
      <c r="O15" s="246"/>
    </row>
    <row r="16" s="201" customFormat="1" ht="31.5" outlineLevel="1" spans="1:15">
      <c r="A16" s="224">
        <v>11</v>
      </c>
      <c r="B16" s="223" t="s">
        <v>91</v>
      </c>
      <c r="C16" s="223" t="s">
        <v>93</v>
      </c>
      <c r="D16" s="224" t="s">
        <v>75</v>
      </c>
      <c r="E16" s="225">
        <v>40.82</v>
      </c>
      <c r="F16" s="228">
        <v>48.5</v>
      </c>
      <c r="G16" s="229">
        <f>G14</f>
        <v>61.204</v>
      </c>
      <c r="H16" s="230">
        <f t="shared" si="4"/>
        <v>13.95</v>
      </c>
      <c r="I16" s="247">
        <f t="shared" si="0"/>
        <v>11.74713</v>
      </c>
      <c r="J16" s="248">
        <f t="shared" si="1"/>
        <v>12.1861017</v>
      </c>
      <c r="K16" s="251">
        <f t="shared" si="2"/>
        <v>147.5872317</v>
      </c>
      <c r="L16" s="217">
        <f t="shared" si="3"/>
        <v>6024.510797994</v>
      </c>
      <c r="M16" s="252"/>
      <c r="N16" s="232" t="s">
        <v>89</v>
      </c>
      <c r="O16" s="246"/>
    </row>
    <row r="17" s="201" customFormat="1" ht="31.5" outlineLevel="1" spans="1:15">
      <c r="A17" s="224">
        <v>12</v>
      </c>
      <c r="B17" s="223" t="s">
        <v>94</v>
      </c>
      <c r="C17" s="223" t="s">
        <v>95</v>
      </c>
      <c r="D17" s="224" t="s">
        <v>75</v>
      </c>
      <c r="E17" s="225">
        <v>583.42</v>
      </c>
      <c r="F17" s="228">
        <v>30</v>
      </c>
      <c r="G17" s="229">
        <v>38</v>
      </c>
      <c r="H17" s="230">
        <v>15</v>
      </c>
      <c r="I17" s="247">
        <f t="shared" si="0"/>
        <v>7.885</v>
      </c>
      <c r="J17" s="248">
        <f t="shared" si="1"/>
        <v>8.17965</v>
      </c>
      <c r="K17" s="251">
        <f t="shared" si="2"/>
        <v>99.06465</v>
      </c>
      <c r="L17" s="217">
        <f t="shared" si="3"/>
        <v>57796.298103</v>
      </c>
      <c r="M17" s="252"/>
      <c r="N17" s="250"/>
      <c r="O17" s="246"/>
    </row>
    <row r="18" s="201" customFormat="1" ht="31.5" outlineLevel="1" spans="1:15">
      <c r="A18" s="224">
        <v>13</v>
      </c>
      <c r="B18" s="223" t="s">
        <v>96</v>
      </c>
      <c r="C18" s="223" t="s">
        <v>97</v>
      </c>
      <c r="D18" s="224" t="s">
        <v>75</v>
      </c>
      <c r="E18" s="225">
        <v>379.62</v>
      </c>
      <c r="F18" s="228">
        <v>48.5</v>
      </c>
      <c r="G18" s="229">
        <f>G15</f>
        <v>70.62</v>
      </c>
      <c r="H18" s="230">
        <f>H16</f>
        <v>13.95</v>
      </c>
      <c r="I18" s="247">
        <f t="shared" si="0"/>
        <v>12.64165</v>
      </c>
      <c r="J18" s="248">
        <f t="shared" si="1"/>
        <v>13.1140485</v>
      </c>
      <c r="K18" s="251">
        <f t="shared" si="2"/>
        <v>158.8256985</v>
      </c>
      <c r="L18" s="217">
        <f t="shared" si="3"/>
        <v>60293.41166457</v>
      </c>
      <c r="M18" s="252"/>
      <c r="N18" s="232" t="s">
        <v>89</v>
      </c>
      <c r="O18" s="246"/>
    </row>
    <row r="19" s="201" customFormat="1" ht="31.5" outlineLevel="1" spans="1:15">
      <c r="A19" s="224">
        <v>14</v>
      </c>
      <c r="B19" s="223" t="s">
        <v>96</v>
      </c>
      <c r="C19" s="223" t="s">
        <v>98</v>
      </c>
      <c r="D19" s="224" t="s">
        <v>75</v>
      </c>
      <c r="E19" s="225">
        <v>44.66</v>
      </c>
      <c r="F19" s="228">
        <v>48.5</v>
      </c>
      <c r="G19" s="229">
        <f>G16</f>
        <v>61.204</v>
      </c>
      <c r="H19" s="230">
        <f t="shared" ref="H19:H22" si="5">H18</f>
        <v>13.95</v>
      </c>
      <c r="I19" s="247">
        <f t="shared" si="0"/>
        <v>11.74713</v>
      </c>
      <c r="J19" s="248">
        <f t="shared" si="1"/>
        <v>12.1861017</v>
      </c>
      <c r="K19" s="251">
        <f t="shared" si="2"/>
        <v>147.5872317</v>
      </c>
      <c r="L19" s="217">
        <f t="shared" si="3"/>
        <v>6591.245767722</v>
      </c>
      <c r="M19" s="252"/>
      <c r="N19" s="232" t="s">
        <v>89</v>
      </c>
      <c r="O19" s="246"/>
    </row>
    <row r="20" s="201" customFormat="1" ht="31.5" outlineLevel="1" spans="1:15">
      <c r="A20" s="224">
        <v>15</v>
      </c>
      <c r="B20" s="223" t="s">
        <v>99</v>
      </c>
      <c r="C20" s="223" t="s">
        <v>100</v>
      </c>
      <c r="D20" s="224" t="s">
        <v>75</v>
      </c>
      <c r="E20" s="225">
        <v>24.63</v>
      </c>
      <c r="F20" s="228">
        <v>48.5</v>
      </c>
      <c r="G20" s="229">
        <f t="shared" ref="G20:G22" si="6">G19</f>
        <v>61.204</v>
      </c>
      <c r="H20" s="230">
        <f t="shared" si="5"/>
        <v>13.95</v>
      </c>
      <c r="I20" s="247">
        <f t="shared" si="0"/>
        <v>11.74713</v>
      </c>
      <c r="J20" s="248">
        <f t="shared" si="1"/>
        <v>12.1861017</v>
      </c>
      <c r="K20" s="251">
        <f t="shared" si="2"/>
        <v>147.5872317</v>
      </c>
      <c r="L20" s="217">
        <f t="shared" si="3"/>
        <v>3635.073516771</v>
      </c>
      <c r="M20" s="252"/>
      <c r="N20" s="232" t="s">
        <v>89</v>
      </c>
      <c r="O20" s="246"/>
    </row>
    <row r="21" s="201" customFormat="1" ht="31.5" outlineLevel="1" spans="1:15">
      <c r="A21" s="224">
        <v>16</v>
      </c>
      <c r="B21" s="223" t="s">
        <v>101</v>
      </c>
      <c r="C21" s="223" t="s">
        <v>102</v>
      </c>
      <c r="D21" s="224" t="s">
        <v>75</v>
      </c>
      <c r="E21" s="225">
        <f>54.13-6.85</f>
        <v>47.28</v>
      </c>
      <c r="F21" s="228">
        <v>48.5</v>
      </c>
      <c r="G21" s="229">
        <f t="shared" si="6"/>
        <v>61.204</v>
      </c>
      <c r="H21" s="230">
        <f t="shared" si="5"/>
        <v>13.95</v>
      </c>
      <c r="I21" s="247">
        <f t="shared" si="0"/>
        <v>11.74713</v>
      </c>
      <c r="J21" s="248">
        <f t="shared" si="1"/>
        <v>12.1861017</v>
      </c>
      <c r="K21" s="251">
        <f t="shared" si="2"/>
        <v>147.5872317</v>
      </c>
      <c r="L21" s="217">
        <f t="shared" si="3"/>
        <v>6977.924314776</v>
      </c>
      <c r="M21" s="252"/>
      <c r="N21" s="232" t="s">
        <v>89</v>
      </c>
      <c r="O21" s="246"/>
    </row>
    <row r="22" s="201" customFormat="1" ht="31.5" outlineLevel="1" spans="1:15">
      <c r="A22" s="224">
        <v>17</v>
      </c>
      <c r="B22" s="223" t="s">
        <v>101</v>
      </c>
      <c r="C22" s="223" t="s">
        <v>102</v>
      </c>
      <c r="D22" s="224" t="s">
        <v>75</v>
      </c>
      <c r="E22" s="225">
        <v>6.85</v>
      </c>
      <c r="F22" s="228">
        <v>48.5</v>
      </c>
      <c r="G22" s="229">
        <f t="shared" si="6"/>
        <v>61.204</v>
      </c>
      <c r="H22" s="230">
        <f t="shared" si="5"/>
        <v>13.95</v>
      </c>
      <c r="I22" s="247">
        <f t="shared" si="0"/>
        <v>11.74713</v>
      </c>
      <c r="J22" s="248">
        <f t="shared" si="1"/>
        <v>12.1861017</v>
      </c>
      <c r="K22" s="251">
        <f t="shared" si="2"/>
        <v>147.5872317</v>
      </c>
      <c r="L22" s="217">
        <f t="shared" si="3"/>
        <v>1010.972537145</v>
      </c>
      <c r="M22" s="252"/>
      <c r="N22" s="232" t="s">
        <v>89</v>
      </c>
      <c r="O22" s="246"/>
    </row>
    <row r="23" s="201" customFormat="1" ht="31.5" outlineLevel="1" spans="1:15">
      <c r="A23" s="224">
        <v>18</v>
      </c>
      <c r="B23" s="223" t="s">
        <v>103</v>
      </c>
      <c r="C23" s="223" t="s">
        <v>104</v>
      </c>
      <c r="D23" s="224" t="s">
        <v>75</v>
      </c>
      <c r="E23" s="225">
        <v>2.09</v>
      </c>
      <c r="F23" s="228">
        <v>120</v>
      </c>
      <c r="G23" s="233">
        <v>300</v>
      </c>
      <c r="H23" s="230">
        <v>25</v>
      </c>
      <c r="I23" s="247">
        <f t="shared" si="0"/>
        <v>42.275</v>
      </c>
      <c r="J23" s="248">
        <f t="shared" si="1"/>
        <v>43.85475</v>
      </c>
      <c r="K23" s="251">
        <f t="shared" si="2"/>
        <v>531.12975</v>
      </c>
      <c r="L23" s="217">
        <f t="shared" si="3"/>
        <v>1110.0611775</v>
      </c>
      <c r="M23" s="252"/>
      <c r="N23" s="250"/>
      <c r="O23" s="246"/>
    </row>
    <row r="24" s="201" customFormat="1" ht="63" outlineLevel="1" spans="1:15">
      <c r="A24" s="224">
        <v>19</v>
      </c>
      <c r="B24" s="223" t="s">
        <v>105</v>
      </c>
      <c r="C24" s="223" t="s">
        <v>106</v>
      </c>
      <c r="D24" s="224" t="s">
        <v>107</v>
      </c>
      <c r="E24" s="217">
        <f>3.1+4.5+3.1+4.5</f>
        <v>15.2</v>
      </c>
      <c r="F24" s="228">
        <v>12</v>
      </c>
      <c r="G24" s="234">
        <v>37</v>
      </c>
      <c r="H24" s="235">
        <v>5</v>
      </c>
      <c r="I24" s="247">
        <f t="shared" si="0"/>
        <v>5.13</v>
      </c>
      <c r="J24" s="248">
        <f t="shared" si="1"/>
        <v>5.3217</v>
      </c>
      <c r="K24" s="251">
        <f t="shared" si="2"/>
        <v>64.4517</v>
      </c>
      <c r="L24" s="217">
        <f t="shared" si="3"/>
        <v>979.66584</v>
      </c>
      <c r="M24" s="252"/>
      <c r="N24" s="250"/>
      <c r="O24" s="246"/>
    </row>
    <row r="25" s="201" customFormat="1" ht="31.5" outlineLevel="1" spans="1:15">
      <c r="A25" s="224">
        <v>20</v>
      </c>
      <c r="B25" s="223" t="s">
        <v>108</v>
      </c>
      <c r="C25" s="223" t="s">
        <v>109</v>
      </c>
      <c r="D25" s="224" t="s">
        <v>75</v>
      </c>
      <c r="E25" s="217">
        <v>9.19</v>
      </c>
      <c r="F25" s="228">
        <v>55.2</v>
      </c>
      <c r="G25" s="236">
        <v>140</v>
      </c>
      <c r="H25" s="230">
        <v>17</v>
      </c>
      <c r="I25" s="247">
        <f t="shared" si="0"/>
        <v>20.159</v>
      </c>
      <c r="J25" s="248">
        <f t="shared" si="1"/>
        <v>20.91231</v>
      </c>
      <c r="K25" s="251">
        <f t="shared" si="2"/>
        <v>253.27131</v>
      </c>
      <c r="L25" s="217">
        <f t="shared" si="3"/>
        <v>2327.5633389</v>
      </c>
      <c r="M25" s="252"/>
      <c r="N25" s="250"/>
      <c r="O25" s="246"/>
    </row>
    <row r="26" s="201" customFormat="1" ht="73.5" spans="1:15">
      <c r="A26" s="227" t="s">
        <v>110</v>
      </c>
      <c r="B26" s="237" t="s">
        <v>111</v>
      </c>
      <c r="C26" s="238"/>
      <c r="D26" s="227"/>
      <c r="E26" s="217"/>
      <c r="F26" s="217"/>
      <c r="G26" s="217"/>
      <c r="H26" s="217"/>
      <c r="I26" s="247">
        <f t="shared" si="0"/>
        <v>0</v>
      </c>
      <c r="J26" s="248">
        <f t="shared" si="1"/>
        <v>0</v>
      </c>
      <c r="K26" s="251">
        <f t="shared" si="2"/>
        <v>0</v>
      </c>
      <c r="L26" s="217">
        <f t="shared" si="3"/>
        <v>0</v>
      </c>
      <c r="M26" s="252"/>
      <c r="N26" s="250"/>
      <c r="O26" s="246"/>
    </row>
    <row r="27" s="201" customFormat="1" ht="52.5" outlineLevel="1" spans="1:15">
      <c r="A27" s="227">
        <v>1</v>
      </c>
      <c r="B27" s="238" t="s">
        <v>70</v>
      </c>
      <c r="C27" s="238" t="s">
        <v>112</v>
      </c>
      <c r="D27" s="227" t="s">
        <v>72</v>
      </c>
      <c r="E27" s="217">
        <f>832.26*0.43</f>
        <v>357.8718</v>
      </c>
      <c r="F27" s="228">
        <v>3</v>
      </c>
      <c r="G27" s="229">
        <v>0</v>
      </c>
      <c r="H27" s="230">
        <v>7</v>
      </c>
      <c r="I27" s="247">
        <f t="shared" si="0"/>
        <v>0.95</v>
      </c>
      <c r="J27" s="248">
        <f t="shared" si="1"/>
        <v>0.9855</v>
      </c>
      <c r="K27" s="251">
        <f t="shared" si="2"/>
        <v>11.9355</v>
      </c>
      <c r="L27" s="217">
        <f t="shared" si="3"/>
        <v>4271.3788689</v>
      </c>
      <c r="M27" s="252"/>
      <c r="N27" s="250"/>
      <c r="O27" s="246"/>
    </row>
    <row r="28" s="201" customFormat="1" ht="31.5" outlineLevel="1" spans="1:15">
      <c r="A28" s="227">
        <v>2</v>
      </c>
      <c r="B28" s="238" t="s">
        <v>73</v>
      </c>
      <c r="C28" s="238" t="s">
        <v>113</v>
      </c>
      <c r="D28" s="227" t="s">
        <v>75</v>
      </c>
      <c r="E28" s="217">
        <v>832.26</v>
      </c>
      <c r="F28" s="228">
        <v>1.2</v>
      </c>
      <c r="G28" s="229">
        <v>0</v>
      </c>
      <c r="H28" s="230">
        <v>1.5</v>
      </c>
      <c r="I28" s="247">
        <f t="shared" si="0"/>
        <v>0.2565</v>
      </c>
      <c r="J28" s="248">
        <f t="shared" si="1"/>
        <v>0.266085</v>
      </c>
      <c r="K28" s="251">
        <f t="shared" si="2"/>
        <v>3.222585</v>
      </c>
      <c r="L28" s="217">
        <f t="shared" si="3"/>
        <v>2682.0285921</v>
      </c>
      <c r="M28" s="252"/>
      <c r="N28" s="250"/>
      <c r="O28" s="246"/>
    </row>
    <row r="29" s="201" customFormat="1" ht="42" outlineLevel="1" spans="1:15">
      <c r="A29" s="227">
        <v>3</v>
      </c>
      <c r="B29" s="238" t="s">
        <v>76</v>
      </c>
      <c r="C29" s="238" t="s">
        <v>114</v>
      </c>
      <c r="D29" s="227" t="s">
        <v>72</v>
      </c>
      <c r="E29" s="217">
        <f>832.26*0.15</f>
        <v>124.839</v>
      </c>
      <c r="F29" s="228">
        <v>13</v>
      </c>
      <c r="G29" s="229">
        <v>103</v>
      </c>
      <c r="H29" s="230">
        <v>15</v>
      </c>
      <c r="I29" s="247">
        <f t="shared" si="0"/>
        <v>12.445</v>
      </c>
      <c r="J29" s="248">
        <f t="shared" si="1"/>
        <v>12.91005</v>
      </c>
      <c r="K29" s="251">
        <f t="shared" si="2"/>
        <v>156.35505</v>
      </c>
      <c r="L29" s="217">
        <f t="shared" si="3"/>
        <v>19519.20808695</v>
      </c>
      <c r="M29" s="252"/>
      <c r="N29" s="250"/>
      <c r="O29" s="246"/>
    </row>
    <row r="30" s="201" customFormat="1" ht="63" outlineLevel="1" spans="1:15">
      <c r="A30" s="227">
        <v>4</v>
      </c>
      <c r="B30" s="238" t="s">
        <v>115</v>
      </c>
      <c r="C30" s="238" t="s">
        <v>116</v>
      </c>
      <c r="D30" s="227" t="s">
        <v>72</v>
      </c>
      <c r="E30" s="217">
        <f>832.26*0.2</f>
        <v>166.452</v>
      </c>
      <c r="F30" s="228">
        <f>G30*0.19</f>
        <v>65.55</v>
      </c>
      <c r="G30" s="229">
        <v>345</v>
      </c>
      <c r="H30" s="230">
        <f>G30*0.05</f>
        <v>17.25</v>
      </c>
      <c r="I30" s="247">
        <f t="shared" si="0"/>
        <v>40.641</v>
      </c>
      <c r="J30" s="248">
        <f t="shared" si="1"/>
        <v>42.15969</v>
      </c>
      <c r="K30" s="251">
        <f t="shared" si="2"/>
        <v>510.60069</v>
      </c>
      <c r="L30" s="217">
        <f t="shared" si="3"/>
        <v>84990.50605188</v>
      </c>
      <c r="M30" s="252"/>
      <c r="N30" s="250"/>
      <c r="O30" s="246"/>
    </row>
    <row r="31" s="201" customFormat="1" ht="52.5" outlineLevel="1" spans="1:15">
      <c r="A31" s="227">
        <v>5</v>
      </c>
      <c r="B31" s="239" t="s">
        <v>117</v>
      </c>
      <c r="C31" s="238" t="s">
        <v>118</v>
      </c>
      <c r="D31" s="240" t="s">
        <v>75</v>
      </c>
      <c r="E31" s="217">
        <v>162.43</v>
      </c>
      <c r="F31" s="228">
        <v>8</v>
      </c>
      <c r="G31" s="229">
        <v>80</v>
      </c>
      <c r="H31" s="230">
        <v>15</v>
      </c>
      <c r="I31" s="247">
        <f t="shared" si="0"/>
        <v>9.785</v>
      </c>
      <c r="J31" s="248">
        <f t="shared" si="1"/>
        <v>10.15065</v>
      </c>
      <c r="K31" s="251">
        <f t="shared" si="2"/>
        <v>122.93565</v>
      </c>
      <c r="L31" s="217">
        <f t="shared" si="3"/>
        <v>19968.4376295</v>
      </c>
      <c r="M31" s="252"/>
      <c r="N31" s="250"/>
      <c r="O31" s="246"/>
    </row>
    <row r="32" s="201" customFormat="1" ht="31.5" outlineLevel="1" spans="1:15">
      <c r="A32" s="224">
        <v>6</v>
      </c>
      <c r="B32" s="223" t="s">
        <v>119</v>
      </c>
      <c r="C32" s="223" t="s">
        <v>120</v>
      </c>
      <c r="D32" s="224" t="s">
        <v>75</v>
      </c>
      <c r="E32" s="225">
        <v>45.03</v>
      </c>
      <c r="F32" s="228">
        <v>15</v>
      </c>
      <c r="G32" s="234">
        <v>23</v>
      </c>
      <c r="H32" s="230">
        <v>5</v>
      </c>
      <c r="I32" s="247">
        <f t="shared" si="0"/>
        <v>4.085</v>
      </c>
      <c r="J32" s="248">
        <f t="shared" si="1"/>
        <v>4.23765</v>
      </c>
      <c r="K32" s="251">
        <f t="shared" si="2"/>
        <v>51.32265</v>
      </c>
      <c r="L32" s="217">
        <f t="shared" si="3"/>
        <v>2311.0589295</v>
      </c>
      <c r="M32" s="252"/>
      <c r="N32" s="250"/>
      <c r="O32" s="253"/>
    </row>
    <row r="33" s="201" customFormat="1" ht="48" customHeight="1" outlineLevel="1" spans="1:15">
      <c r="A33" s="224">
        <v>7</v>
      </c>
      <c r="B33" s="223" t="s">
        <v>121</v>
      </c>
      <c r="C33" s="223" t="s">
        <v>122</v>
      </c>
      <c r="D33" s="224" t="s">
        <v>123</v>
      </c>
      <c r="E33" s="225">
        <v>2</v>
      </c>
      <c r="F33" s="226">
        <v>98.25</v>
      </c>
      <c r="G33" s="227">
        <v>52.72</v>
      </c>
      <c r="H33" s="226">
        <v>1.3</v>
      </c>
      <c r="I33" s="247">
        <f t="shared" si="0"/>
        <v>14.46565</v>
      </c>
      <c r="J33" s="248">
        <f t="shared" si="1"/>
        <v>15.0062085</v>
      </c>
      <c r="K33" s="251">
        <f t="shared" si="2"/>
        <v>181.7418585</v>
      </c>
      <c r="L33" s="217">
        <f t="shared" si="3"/>
        <v>363.483717</v>
      </c>
      <c r="M33" s="252"/>
      <c r="N33" s="250"/>
      <c r="O33" s="253"/>
    </row>
    <row r="34" s="201" customFormat="1" ht="48" customHeight="1" outlineLevel="1" spans="1:15">
      <c r="A34" s="224">
        <v>8</v>
      </c>
      <c r="B34" s="223" t="s">
        <v>124</v>
      </c>
      <c r="C34" s="223" t="s">
        <v>122</v>
      </c>
      <c r="D34" s="224" t="s">
        <v>123</v>
      </c>
      <c r="E34" s="225">
        <v>2</v>
      </c>
      <c r="F34" s="226">
        <v>98.25</v>
      </c>
      <c r="G34" s="227">
        <v>52.72</v>
      </c>
      <c r="H34" s="226">
        <v>1.3</v>
      </c>
      <c r="I34" s="247">
        <f t="shared" si="0"/>
        <v>14.46565</v>
      </c>
      <c r="J34" s="248">
        <f t="shared" si="1"/>
        <v>15.0062085</v>
      </c>
      <c r="K34" s="251">
        <f t="shared" si="2"/>
        <v>181.7418585</v>
      </c>
      <c r="L34" s="217">
        <f t="shared" si="3"/>
        <v>363.483717</v>
      </c>
      <c r="M34" s="252"/>
      <c r="N34" s="250"/>
      <c r="O34" s="253"/>
    </row>
    <row r="35" s="201" customFormat="1" ht="48" customHeight="1" outlineLevel="1" spans="1:15">
      <c r="A35" s="224">
        <v>9</v>
      </c>
      <c r="B35" s="223" t="s">
        <v>125</v>
      </c>
      <c r="C35" s="223" t="s">
        <v>122</v>
      </c>
      <c r="D35" s="224" t="s">
        <v>123</v>
      </c>
      <c r="E35" s="225">
        <v>1</v>
      </c>
      <c r="F35" s="226">
        <v>98.25</v>
      </c>
      <c r="G35" s="227">
        <v>52.72</v>
      </c>
      <c r="H35" s="226">
        <v>1.3</v>
      </c>
      <c r="I35" s="247">
        <f t="shared" si="0"/>
        <v>14.46565</v>
      </c>
      <c r="J35" s="248">
        <f t="shared" si="1"/>
        <v>15.0062085</v>
      </c>
      <c r="K35" s="251">
        <f t="shared" si="2"/>
        <v>181.7418585</v>
      </c>
      <c r="L35" s="217">
        <f t="shared" si="3"/>
        <v>181.7418585</v>
      </c>
      <c r="M35" s="252"/>
      <c r="N35" s="250"/>
      <c r="O35" s="253"/>
    </row>
    <row r="36" s="201" customFormat="1" ht="48" customHeight="1" outlineLevel="1" spans="1:15">
      <c r="A36" s="224">
        <v>10</v>
      </c>
      <c r="B36" s="223" t="s">
        <v>126</v>
      </c>
      <c r="C36" s="223" t="s">
        <v>122</v>
      </c>
      <c r="D36" s="224" t="s">
        <v>123</v>
      </c>
      <c r="E36" s="225">
        <v>5</v>
      </c>
      <c r="F36" s="226">
        <v>98.25</v>
      </c>
      <c r="G36" s="227">
        <v>52.72</v>
      </c>
      <c r="H36" s="226">
        <v>1.3</v>
      </c>
      <c r="I36" s="247">
        <f t="shared" si="0"/>
        <v>14.46565</v>
      </c>
      <c r="J36" s="248">
        <f t="shared" si="1"/>
        <v>15.0062085</v>
      </c>
      <c r="K36" s="251">
        <f t="shared" si="2"/>
        <v>181.7418585</v>
      </c>
      <c r="L36" s="217">
        <f t="shared" si="3"/>
        <v>908.7092925</v>
      </c>
      <c r="M36" s="252"/>
      <c r="N36" s="250"/>
      <c r="O36" s="253"/>
    </row>
    <row r="37" s="201" customFormat="1" ht="48" customHeight="1" outlineLevel="1" spans="1:15">
      <c r="A37" s="224">
        <v>11</v>
      </c>
      <c r="B37" s="223" t="s">
        <v>127</v>
      </c>
      <c r="C37" s="223" t="s">
        <v>122</v>
      </c>
      <c r="D37" s="224" t="s">
        <v>123</v>
      </c>
      <c r="E37" s="225">
        <v>1</v>
      </c>
      <c r="F37" s="226">
        <v>98.25</v>
      </c>
      <c r="G37" s="227">
        <v>52.72</v>
      </c>
      <c r="H37" s="226">
        <v>1.3</v>
      </c>
      <c r="I37" s="247">
        <f t="shared" si="0"/>
        <v>14.46565</v>
      </c>
      <c r="J37" s="248">
        <f t="shared" si="1"/>
        <v>15.0062085</v>
      </c>
      <c r="K37" s="251">
        <f t="shared" si="2"/>
        <v>181.7418585</v>
      </c>
      <c r="L37" s="217">
        <f t="shared" si="3"/>
        <v>181.7418585</v>
      </c>
      <c r="M37" s="252"/>
      <c r="N37" s="250"/>
      <c r="O37" s="253"/>
    </row>
    <row r="38" s="201" customFormat="1" ht="48" customHeight="1" outlineLevel="1" spans="1:15">
      <c r="A38" s="224">
        <v>12</v>
      </c>
      <c r="B38" s="223" t="s">
        <v>128</v>
      </c>
      <c r="C38" s="223" t="s">
        <v>122</v>
      </c>
      <c r="D38" s="224" t="s">
        <v>123</v>
      </c>
      <c r="E38" s="225">
        <v>1</v>
      </c>
      <c r="F38" s="226">
        <v>98.25</v>
      </c>
      <c r="G38" s="227">
        <v>52.72</v>
      </c>
      <c r="H38" s="226">
        <v>1.3</v>
      </c>
      <c r="I38" s="247">
        <f t="shared" si="0"/>
        <v>14.46565</v>
      </c>
      <c r="J38" s="248">
        <f t="shared" si="1"/>
        <v>15.0062085</v>
      </c>
      <c r="K38" s="251">
        <f t="shared" si="2"/>
        <v>181.7418585</v>
      </c>
      <c r="L38" s="217">
        <f t="shared" si="3"/>
        <v>181.7418585</v>
      </c>
      <c r="M38" s="252"/>
      <c r="N38" s="250"/>
      <c r="O38" s="253"/>
    </row>
    <row r="39" s="201" customFormat="1" ht="48" customHeight="1" outlineLevel="1" spans="1:15">
      <c r="A39" s="224">
        <v>13</v>
      </c>
      <c r="B39" s="223" t="s">
        <v>129</v>
      </c>
      <c r="C39" s="223" t="s">
        <v>122</v>
      </c>
      <c r="D39" s="224" t="s">
        <v>123</v>
      </c>
      <c r="E39" s="225">
        <v>1</v>
      </c>
      <c r="F39" s="226">
        <v>98.25</v>
      </c>
      <c r="G39" s="227">
        <v>52.72</v>
      </c>
      <c r="H39" s="226">
        <v>1.3</v>
      </c>
      <c r="I39" s="247">
        <f t="shared" si="0"/>
        <v>14.46565</v>
      </c>
      <c r="J39" s="248">
        <f t="shared" si="1"/>
        <v>15.0062085</v>
      </c>
      <c r="K39" s="251">
        <f t="shared" si="2"/>
        <v>181.7418585</v>
      </c>
      <c r="L39" s="217">
        <f t="shared" si="3"/>
        <v>181.7418585</v>
      </c>
      <c r="M39" s="252"/>
      <c r="N39" s="250"/>
      <c r="O39" s="253"/>
    </row>
    <row r="40" s="201" customFormat="1" ht="48" customHeight="1" outlineLevel="1" spans="1:15">
      <c r="A40" s="224">
        <v>14</v>
      </c>
      <c r="B40" s="223" t="s">
        <v>130</v>
      </c>
      <c r="C40" s="223" t="s">
        <v>122</v>
      </c>
      <c r="D40" s="224" t="s">
        <v>123</v>
      </c>
      <c r="E40" s="225">
        <v>1</v>
      </c>
      <c r="F40" s="226">
        <v>98.25</v>
      </c>
      <c r="G40" s="227">
        <v>52.72</v>
      </c>
      <c r="H40" s="226">
        <v>1.3</v>
      </c>
      <c r="I40" s="247">
        <f t="shared" si="0"/>
        <v>14.46565</v>
      </c>
      <c r="J40" s="248">
        <f t="shared" si="1"/>
        <v>15.0062085</v>
      </c>
      <c r="K40" s="251">
        <f t="shared" si="2"/>
        <v>181.7418585</v>
      </c>
      <c r="L40" s="217">
        <f t="shared" si="3"/>
        <v>181.7418585</v>
      </c>
      <c r="M40" s="252"/>
      <c r="N40" s="250"/>
      <c r="O40" s="253"/>
    </row>
    <row r="41" s="201" customFormat="1" ht="48" customHeight="1" outlineLevel="1" spans="1:15">
      <c r="A41" s="224">
        <v>15</v>
      </c>
      <c r="B41" s="223" t="s">
        <v>131</v>
      </c>
      <c r="C41" s="223" t="s">
        <v>122</v>
      </c>
      <c r="D41" s="224" t="s">
        <v>123</v>
      </c>
      <c r="E41" s="225">
        <v>1</v>
      </c>
      <c r="F41" s="226">
        <v>98.25</v>
      </c>
      <c r="G41" s="227">
        <v>52.72</v>
      </c>
      <c r="H41" s="226">
        <v>1.3</v>
      </c>
      <c r="I41" s="247">
        <f t="shared" si="0"/>
        <v>14.46565</v>
      </c>
      <c r="J41" s="248">
        <f t="shared" si="1"/>
        <v>15.0062085</v>
      </c>
      <c r="K41" s="251">
        <f t="shared" si="2"/>
        <v>181.7418585</v>
      </c>
      <c r="L41" s="217">
        <f t="shared" si="3"/>
        <v>181.7418585</v>
      </c>
      <c r="M41" s="252"/>
      <c r="N41" s="250"/>
      <c r="O41" s="253"/>
    </row>
    <row r="42" s="201" customFormat="1" ht="48" customHeight="1" outlineLevel="1" spans="1:15">
      <c r="A42" s="224">
        <v>16</v>
      </c>
      <c r="B42" s="223" t="s">
        <v>132</v>
      </c>
      <c r="C42" s="223" t="s">
        <v>122</v>
      </c>
      <c r="D42" s="224" t="s">
        <v>123</v>
      </c>
      <c r="E42" s="225">
        <v>1</v>
      </c>
      <c r="F42" s="226">
        <v>98.25</v>
      </c>
      <c r="G42" s="227">
        <v>52.72</v>
      </c>
      <c r="H42" s="226">
        <v>1.3</v>
      </c>
      <c r="I42" s="247">
        <f t="shared" si="0"/>
        <v>14.46565</v>
      </c>
      <c r="J42" s="248">
        <f t="shared" si="1"/>
        <v>15.0062085</v>
      </c>
      <c r="K42" s="251">
        <f t="shared" si="2"/>
        <v>181.7418585</v>
      </c>
      <c r="L42" s="217">
        <f t="shared" si="3"/>
        <v>181.7418585</v>
      </c>
      <c r="M42" s="252"/>
      <c r="N42" s="250"/>
      <c r="O42" s="253"/>
    </row>
    <row r="43" s="201" customFormat="1" ht="31.5" outlineLevel="1" spans="1:15">
      <c r="A43" s="224">
        <v>17</v>
      </c>
      <c r="B43" s="223" t="s">
        <v>91</v>
      </c>
      <c r="C43" s="223" t="s">
        <v>92</v>
      </c>
      <c r="D43" s="224" t="s">
        <v>75</v>
      </c>
      <c r="E43" s="225">
        <v>12.39</v>
      </c>
      <c r="F43" s="228">
        <v>48.5</v>
      </c>
      <c r="G43" s="228">
        <f>G18</f>
        <v>70.62</v>
      </c>
      <c r="H43" s="228">
        <f>H18</f>
        <v>13.95</v>
      </c>
      <c r="I43" s="247">
        <f t="shared" si="0"/>
        <v>12.64165</v>
      </c>
      <c r="J43" s="248">
        <f t="shared" si="1"/>
        <v>13.1140485</v>
      </c>
      <c r="K43" s="251">
        <f t="shared" si="2"/>
        <v>158.8256985</v>
      </c>
      <c r="L43" s="217">
        <f t="shared" si="3"/>
        <v>1967.850404415</v>
      </c>
      <c r="M43" s="252"/>
      <c r="N43" s="232" t="s">
        <v>89</v>
      </c>
      <c r="O43" s="246"/>
    </row>
    <row r="44" s="201" customFormat="1" ht="52.5" outlineLevel="1" spans="1:15">
      <c r="A44" s="224">
        <v>18</v>
      </c>
      <c r="B44" s="239" t="s">
        <v>133</v>
      </c>
      <c r="C44" s="238" t="s">
        <v>134</v>
      </c>
      <c r="D44" s="240" t="s">
        <v>75</v>
      </c>
      <c r="E44" s="217">
        <f>832.26-12.39</f>
        <v>819.87</v>
      </c>
      <c r="F44" s="228">
        <f t="shared" ref="F44:H44" si="7">F31</f>
        <v>8</v>
      </c>
      <c r="G44" s="228">
        <f t="shared" si="7"/>
        <v>80</v>
      </c>
      <c r="H44" s="228">
        <f t="shared" si="7"/>
        <v>15</v>
      </c>
      <c r="I44" s="247">
        <f t="shared" si="0"/>
        <v>9.785</v>
      </c>
      <c r="J44" s="248">
        <f t="shared" si="1"/>
        <v>10.15065</v>
      </c>
      <c r="K44" s="251">
        <f t="shared" si="2"/>
        <v>122.93565</v>
      </c>
      <c r="L44" s="217">
        <f t="shared" si="3"/>
        <v>100791.2513655</v>
      </c>
      <c r="M44" s="252"/>
      <c r="N44" s="250"/>
      <c r="O44" s="246"/>
    </row>
    <row r="45" s="201" customFormat="1" ht="31.5" spans="1:15">
      <c r="A45" s="241" t="s">
        <v>135</v>
      </c>
      <c r="B45" s="237" t="s">
        <v>136</v>
      </c>
      <c r="C45" s="239"/>
      <c r="D45" s="240"/>
      <c r="E45" s="242"/>
      <c r="F45" s="217"/>
      <c r="G45" s="217"/>
      <c r="H45" s="217"/>
      <c r="I45" s="247">
        <f t="shared" si="0"/>
        <v>0</v>
      </c>
      <c r="J45" s="248">
        <f t="shared" si="1"/>
        <v>0</v>
      </c>
      <c r="K45" s="251">
        <f t="shared" si="2"/>
        <v>0</v>
      </c>
      <c r="L45" s="217">
        <f t="shared" si="3"/>
        <v>0</v>
      </c>
      <c r="M45" s="252"/>
      <c r="N45" s="250"/>
      <c r="O45" s="253"/>
    </row>
    <row r="46" s="201" customFormat="1" ht="52.5" outlineLevel="1" spans="1:15">
      <c r="A46" s="224">
        <v>1</v>
      </c>
      <c r="B46" s="223" t="s">
        <v>70</v>
      </c>
      <c r="C46" s="223" t="s">
        <v>71</v>
      </c>
      <c r="D46" s="224" t="s">
        <v>72</v>
      </c>
      <c r="E46" s="225">
        <f>367.89*0.365</f>
        <v>134.27985</v>
      </c>
      <c r="F46" s="228">
        <v>3</v>
      </c>
      <c r="G46" s="229">
        <v>0</v>
      </c>
      <c r="H46" s="230">
        <v>7</v>
      </c>
      <c r="I46" s="247">
        <f t="shared" si="0"/>
        <v>0.95</v>
      </c>
      <c r="J46" s="248">
        <f t="shared" si="1"/>
        <v>0.9855</v>
      </c>
      <c r="K46" s="251">
        <f t="shared" si="2"/>
        <v>11.9355</v>
      </c>
      <c r="L46" s="217">
        <f t="shared" si="3"/>
        <v>1602.697149675</v>
      </c>
      <c r="M46" s="252"/>
      <c r="N46" s="250"/>
      <c r="O46" s="246"/>
    </row>
    <row r="47" s="201" customFormat="1" ht="31.5" outlineLevel="1" spans="1:15">
      <c r="A47" s="224">
        <v>2</v>
      </c>
      <c r="B47" s="223" t="s">
        <v>73</v>
      </c>
      <c r="C47" s="223" t="s">
        <v>137</v>
      </c>
      <c r="D47" s="224" t="s">
        <v>75</v>
      </c>
      <c r="E47" s="225">
        <v>367.89</v>
      </c>
      <c r="F47" s="228">
        <v>1.2</v>
      </c>
      <c r="G47" s="229">
        <v>0</v>
      </c>
      <c r="H47" s="230">
        <v>1.5</v>
      </c>
      <c r="I47" s="247">
        <f t="shared" si="0"/>
        <v>0.2565</v>
      </c>
      <c r="J47" s="248">
        <f t="shared" si="1"/>
        <v>0.266085</v>
      </c>
      <c r="K47" s="251">
        <f t="shared" si="2"/>
        <v>3.222585</v>
      </c>
      <c r="L47" s="217">
        <f t="shared" si="3"/>
        <v>1185.55679565</v>
      </c>
      <c r="M47" s="252"/>
      <c r="N47" s="250"/>
      <c r="O47" s="246"/>
    </row>
    <row r="48" s="201" customFormat="1" ht="31.5" outlineLevel="1" spans="1:15">
      <c r="A48" s="224">
        <v>3</v>
      </c>
      <c r="B48" s="223" t="s">
        <v>76</v>
      </c>
      <c r="C48" s="223" t="s">
        <v>138</v>
      </c>
      <c r="D48" s="224" t="s">
        <v>72</v>
      </c>
      <c r="E48" s="225">
        <f>367.89*0.15</f>
        <v>55.1835</v>
      </c>
      <c r="F48" s="228">
        <v>13</v>
      </c>
      <c r="G48" s="229">
        <v>103</v>
      </c>
      <c r="H48" s="230">
        <v>15</v>
      </c>
      <c r="I48" s="247">
        <f t="shared" si="0"/>
        <v>12.445</v>
      </c>
      <c r="J48" s="248">
        <f t="shared" si="1"/>
        <v>12.91005</v>
      </c>
      <c r="K48" s="251">
        <f t="shared" si="2"/>
        <v>156.35505</v>
      </c>
      <c r="L48" s="217">
        <f t="shared" si="3"/>
        <v>8628.218901675</v>
      </c>
      <c r="M48" s="252"/>
      <c r="N48" s="250"/>
      <c r="O48" s="246"/>
    </row>
    <row r="49" s="201" customFormat="1" ht="63" outlineLevel="1" spans="1:15">
      <c r="A49" s="224">
        <v>4</v>
      </c>
      <c r="B49" s="223" t="s">
        <v>115</v>
      </c>
      <c r="C49" s="223" t="s">
        <v>116</v>
      </c>
      <c r="D49" s="224" t="s">
        <v>72</v>
      </c>
      <c r="E49" s="225">
        <f>367.89*0.2</f>
        <v>73.578</v>
      </c>
      <c r="F49" s="228">
        <f>G49*0.19</f>
        <v>65.55</v>
      </c>
      <c r="G49" s="229">
        <v>345</v>
      </c>
      <c r="H49" s="230">
        <f>G49*0.05</f>
        <v>17.25</v>
      </c>
      <c r="I49" s="247">
        <f t="shared" si="0"/>
        <v>40.641</v>
      </c>
      <c r="J49" s="248">
        <f t="shared" si="1"/>
        <v>42.15969</v>
      </c>
      <c r="K49" s="251">
        <f t="shared" si="2"/>
        <v>510.60069</v>
      </c>
      <c r="L49" s="217">
        <f t="shared" si="3"/>
        <v>37568.97756882</v>
      </c>
      <c r="M49" s="252"/>
      <c r="N49" s="250"/>
      <c r="O49" s="246"/>
    </row>
    <row r="50" s="201" customFormat="1" ht="21" outlineLevel="1" spans="1:15">
      <c r="A50" s="224">
        <v>5</v>
      </c>
      <c r="B50" s="223" t="s">
        <v>119</v>
      </c>
      <c r="C50" s="223" t="s">
        <v>139</v>
      </c>
      <c r="D50" s="224" t="s">
        <v>75</v>
      </c>
      <c r="E50" s="225">
        <v>48.85</v>
      </c>
      <c r="F50" s="228">
        <v>15</v>
      </c>
      <c r="G50" s="234">
        <v>23</v>
      </c>
      <c r="H50" s="230">
        <v>5</v>
      </c>
      <c r="I50" s="247">
        <f t="shared" si="0"/>
        <v>4.085</v>
      </c>
      <c r="J50" s="248">
        <f t="shared" si="1"/>
        <v>4.23765</v>
      </c>
      <c r="K50" s="251">
        <f t="shared" si="2"/>
        <v>51.32265</v>
      </c>
      <c r="L50" s="217">
        <f t="shared" si="3"/>
        <v>2507.1114525</v>
      </c>
      <c r="M50" s="252"/>
      <c r="N50" s="250"/>
      <c r="O50" s="253"/>
    </row>
    <row r="51" s="201" customFormat="1" ht="42" outlineLevel="1" spans="1:15">
      <c r="A51" s="224">
        <v>6</v>
      </c>
      <c r="B51" s="223" t="s">
        <v>140</v>
      </c>
      <c r="C51" s="223" t="s">
        <v>141</v>
      </c>
      <c r="D51" s="224" t="s">
        <v>75</v>
      </c>
      <c r="E51" s="225">
        <v>367.89</v>
      </c>
      <c r="F51" s="217">
        <v>15</v>
      </c>
      <c r="G51" s="217">
        <v>58.23</v>
      </c>
      <c r="H51" s="217">
        <v>10.23</v>
      </c>
      <c r="I51" s="247">
        <f t="shared" si="0"/>
        <v>7.9287</v>
      </c>
      <c r="J51" s="248">
        <f t="shared" si="1"/>
        <v>8.224983</v>
      </c>
      <c r="K51" s="251">
        <f t="shared" si="2"/>
        <v>99.613683</v>
      </c>
      <c r="L51" s="217">
        <f t="shared" si="3"/>
        <v>36646.87783887</v>
      </c>
      <c r="M51" s="252"/>
      <c r="N51" s="250"/>
      <c r="O51" s="253"/>
    </row>
    <row r="52" s="201" customFormat="1" ht="31.5" spans="1:15">
      <c r="A52" s="241" t="s">
        <v>142</v>
      </c>
      <c r="B52" s="237" t="s">
        <v>143</v>
      </c>
      <c r="C52" s="239"/>
      <c r="D52" s="240"/>
      <c r="E52" s="242"/>
      <c r="F52" s="217"/>
      <c r="G52" s="217"/>
      <c r="H52" s="217"/>
      <c r="I52" s="247">
        <f t="shared" si="0"/>
        <v>0</v>
      </c>
      <c r="J52" s="248">
        <f t="shared" si="1"/>
        <v>0</v>
      </c>
      <c r="K52" s="251">
        <f t="shared" si="2"/>
        <v>0</v>
      </c>
      <c r="L52" s="217">
        <f t="shared" si="3"/>
        <v>0</v>
      </c>
      <c r="M52" s="252"/>
      <c r="N52" s="250"/>
      <c r="O52" s="246"/>
    </row>
    <row r="53" s="201" customFormat="1" ht="52.5" outlineLevel="1" spans="1:15">
      <c r="A53" s="224">
        <v>1</v>
      </c>
      <c r="B53" s="223" t="s">
        <v>70</v>
      </c>
      <c r="C53" s="223" t="s">
        <v>71</v>
      </c>
      <c r="D53" s="224" t="s">
        <v>72</v>
      </c>
      <c r="E53" s="225">
        <f>223.79*0.31</f>
        <v>69.3749</v>
      </c>
      <c r="F53" s="228">
        <v>3</v>
      </c>
      <c r="G53" s="229">
        <v>0</v>
      </c>
      <c r="H53" s="230">
        <v>7</v>
      </c>
      <c r="I53" s="247">
        <f t="shared" si="0"/>
        <v>0.95</v>
      </c>
      <c r="J53" s="248">
        <f t="shared" si="1"/>
        <v>0.9855</v>
      </c>
      <c r="K53" s="251">
        <f t="shared" si="2"/>
        <v>11.9355</v>
      </c>
      <c r="L53" s="217">
        <f t="shared" si="3"/>
        <v>828.02411895</v>
      </c>
      <c r="M53" s="252"/>
      <c r="N53" s="250"/>
      <c r="O53" s="246"/>
    </row>
    <row r="54" s="201" customFormat="1" ht="31.5" outlineLevel="1" spans="1:15">
      <c r="A54" s="224">
        <v>2</v>
      </c>
      <c r="B54" s="223" t="s">
        <v>73</v>
      </c>
      <c r="C54" s="223" t="s">
        <v>137</v>
      </c>
      <c r="D54" s="224" t="s">
        <v>75</v>
      </c>
      <c r="E54" s="225">
        <v>223.79</v>
      </c>
      <c r="F54" s="228">
        <v>1.2</v>
      </c>
      <c r="G54" s="229">
        <v>0</v>
      </c>
      <c r="H54" s="230">
        <v>1.5</v>
      </c>
      <c r="I54" s="247">
        <f t="shared" si="0"/>
        <v>0.2565</v>
      </c>
      <c r="J54" s="248">
        <f t="shared" si="1"/>
        <v>0.266085</v>
      </c>
      <c r="K54" s="251">
        <f t="shared" si="2"/>
        <v>3.222585</v>
      </c>
      <c r="L54" s="217">
        <f t="shared" si="3"/>
        <v>721.18229715</v>
      </c>
      <c r="M54" s="252"/>
      <c r="N54" s="250"/>
      <c r="O54" s="246"/>
    </row>
    <row r="55" s="201" customFormat="1" ht="31.5" outlineLevel="1" spans="1:15">
      <c r="A55" s="224">
        <v>3</v>
      </c>
      <c r="B55" s="223" t="s">
        <v>76</v>
      </c>
      <c r="C55" s="223" t="s">
        <v>138</v>
      </c>
      <c r="D55" s="224" t="s">
        <v>72</v>
      </c>
      <c r="E55" s="225">
        <f>223.79*0.15</f>
        <v>33.5685</v>
      </c>
      <c r="F55" s="228">
        <v>13</v>
      </c>
      <c r="G55" s="229">
        <v>103</v>
      </c>
      <c r="H55" s="230">
        <v>15</v>
      </c>
      <c r="I55" s="247">
        <f t="shared" si="0"/>
        <v>12.445</v>
      </c>
      <c r="J55" s="248">
        <f t="shared" si="1"/>
        <v>12.91005</v>
      </c>
      <c r="K55" s="251">
        <f t="shared" si="2"/>
        <v>156.35505</v>
      </c>
      <c r="L55" s="217">
        <f t="shared" si="3"/>
        <v>5248.604495925</v>
      </c>
      <c r="M55" s="252"/>
      <c r="N55" s="250"/>
      <c r="O55" s="246"/>
    </row>
    <row r="56" s="201" customFormat="1" ht="63" outlineLevel="1" spans="1:15">
      <c r="A56" s="224">
        <v>4</v>
      </c>
      <c r="B56" s="223" t="s">
        <v>115</v>
      </c>
      <c r="C56" s="223" t="s">
        <v>144</v>
      </c>
      <c r="D56" s="224" t="s">
        <v>72</v>
      </c>
      <c r="E56" s="225">
        <f>0.1*223.79</f>
        <v>22.379</v>
      </c>
      <c r="F56" s="228">
        <f>G56*0.19</f>
        <v>65.55</v>
      </c>
      <c r="G56" s="229">
        <v>345</v>
      </c>
      <c r="H56" s="230">
        <f>G56*0.05</f>
        <v>17.25</v>
      </c>
      <c r="I56" s="247">
        <f t="shared" si="0"/>
        <v>40.641</v>
      </c>
      <c r="J56" s="248">
        <f t="shared" si="1"/>
        <v>42.15969</v>
      </c>
      <c r="K56" s="251">
        <f t="shared" si="2"/>
        <v>510.60069</v>
      </c>
      <c r="L56" s="217">
        <f t="shared" si="3"/>
        <v>11426.73284151</v>
      </c>
      <c r="M56" s="252"/>
      <c r="N56" s="250"/>
      <c r="O56" s="246"/>
    </row>
    <row r="57" s="201" customFormat="1" ht="73.5" outlineLevel="1" spans="1:15">
      <c r="A57" s="224">
        <v>5</v>
      </c>
      <c r="B57" s="223" t="s">
        <v>145</v>
      </c>
      <c r="C57" s="223" t="s">
        <v>146</v>
      </c>
      <c r="D57" s="224" t="s">
        <v>75</v>
      </c>
      <c r="E57" s="225">
        <f>100.143+123.646</f>
        <v>223.789</v>
      </c>
      <c r="F57" s="228">
        <v>37.2</v>
      </c>
      <c r="G57" s="236">
        <v>118.45</v>
      </c>
      <c r="H57" s="235">
        <v>8</v>
      </c>
      <c r="I57" s="247">
        <f t="shared" si="0"/>
        <v>15.54675</v>
      </c>
      <c r="J57" s="248">
        <f t="shared" si="1"/>
        <v>16.1277075</v>
      </c>
      <c r="K57" s="251">
        <f t="shared" si="2"/>
        <v>195.3244575</v>
      </c>
      <c r="L57" s="217">
        <f t="shared" si="3"/>
        <v>43711.4650194675</v>
      </c>
      <c r="M57" s="249"/>
      <c r="N57" s="250"/>
      <c r="O57" s="246"/>
    </row>
    <row r="58" s="201" customFormat="1" ht="21" spans="1:15">
      <c r="A58" s="241" t="s">
        <v>147</v>
      </c>
      <c r="B58" s="237" t="s">
        <v>148</v>
      </c>
      <c r="C58" s="223"/>
      <c r="D58" s="224"/>
      <c r="E58" s="224"/>
      <c r="F58" s="243"/>
      <c r="G58" s="243"/>
      <c r="H58" s="244"/>
      <c r="I58" s="247">
        <f t="shared" si="0"/>
        <v>0</v>
      </c>
      <c r="J58" s="248">
        <f t="shared" si="1"/>
        <v>0</v>
      </c>
      <c r="K58" s="251">
        <f t="shared" si="2"/>
        <v>0</v>
      </c>
      <c r="L58" s="217">
        <f t="shared" si="3"/>
        <v>0</v>
      </c>
      <c r="M58" s="252"/>
      <c r="N58" s="254"/>
      <c r="O58" s="246"/>
    </row>
    <row r="59" s="201" customFormat="1" ht="52.5" outlineLevel="1" spans="1:15">
      <c r="A59" s="224">
        <v>1</v>
      </c>
      <c r="B59" s="223" t="s">
        <v>149</v>
      </c>
      <c r="C59" s="223" t="s">
        <v>71</v>
      </c>
      <c r="D59" s="224" t="s">
        <v>72</v>
      </c>
      <c r="E59" s="225">
        <v>57.5</v>
      </c>
      <c r="F59" s="228">
        <v>3</v>
      </c>
      <c r="G59" s="229">
        <v>0</v>
      </c>
      <c r="H59" s="230">
        <v>7</v>
      </c>
      <c r="I59" s="247">
        <f t="shared" si="0"/>
        <v>0.95</v>
      </c>
      <c r="J59" s="248">
        <f t="shared" si="1"/>
        <v>0.9855</v>
      </c>
      <c r="K59" s="251">
        <f t="shared" si="2"/>
        <v>11.9355</v>
      </c>
      <c r="L59" s="217">
        <f t="shared" si="3"/>
        <v>686.29125</v>
      </c>
      <c r="M59" s="252"/>
      <c r="N59" s="254"/>
      <c r="O59" s="246"/>
    </row>
    <row r="60" s="201" customFormat="1" ht="21" outlineLevel="1" spans="1:15">
      <c r="A60" s="224">
        <v>2</v>
      </c>
      <c r="B60" s="223" t="s">
        <v>73</v>
      </c>
      <c r="C60" s="223" t="s">
        <v>74</v>
      </c>
      <c r="D60" s="224" t="s">
        <v>75</v>
      </c>
      <c r="E60" s="225">
        <v>35.94</v>
      </c>
      <c r="F60" s="228">
        <v>1.2</v>
      </c>
      <c r="G60" s="229">
        <v>0</v>
      </c>
      <c r="H60" s="230">
        <v>1.5</v>
      </c>
      <c r="I60" s="247">
        <f t="shared" si="0"/>
        <v>0.2565</v>
      </c>
      <c r="J60" s="248">
        <f t="shared" si="1"/>
        <v>0.266085</v>
      </c>
      <c r="K60" s="251">
        <f t="shared" si="2"/>
        <v>3.222585</v>
      </c>
      <c r="L60" s="217">
        <f t="shared" si="3"/>
        <v>115.8197049</v>
      </c>
      <c r="M60" s="252"/>
      <c r="N60" s="254"/>
      <c r="O60" s="246"/>
    </row>
    <row r="61" s="201" customFormat="1" ht="42" outlineLevel="1" spans="1:15">
      <c r="A61" s="224">
        <v>3</v>
      </c>
      <c r="B61" s="223" t="s">
        <v>76</v>
      </c>
      <c r="C61" s="223" t="s">
        <v>150</v>
      </c>
      <c r="D61" s="224" t="s">
        <v>72</v>
      </c>
      <c r="E61" s="225">
        <v>3.59</v>
      </c>
      <c r="F61" s="228">
        <v>13</v>
      </c>
      <c r="G61" s="229">
        <v>103</v>
      </c>
      <c r="H61" s="230">
        <v>15</v>
      </c>
      <c r="I61" s="247">
        <f t="shared" si="0"/>
        <v>12.445</v>
      </c>
      <c r="J61" s="248">
        <f t="shared" si="1"/>
        <v>12.91005</v>
      </c>
      <c r="K61" s="251">
        <f t="shared" si="2"/>
        <v>156.35505</v>
      </c>
      <c r="L61" s="217">
        <f t="shared" si="3"/>
        <v>561.3146295</v>
      </c>
      <c r="M61" s="252"/>
      <c r="N61" s="254"/>
      <c r="O61" s="246"/>
    </row>
    <row r="62" s="201" customFormat="1" ht="52.5" outlineLevel="1" spans="1:15">
      <c r="A62" s="224">
        <v>4</v>
      </c>
      <c r="B62" s="223" t="s">
        <v>115</v>
      </c>
      <c r="C62" s="223" t="s">
        <v>79</v>
      </c>
      <c r="D62" s="224" t="s">
        <v>72</v>
      </c>
      <c r="E62" s="225">
        <f>3.59*2</f>
        <v>7.18</v>
      </c>
      <c r="F62" s="228">
        <f>G62*0.19</f>
        <v>65.55</v>
      </c>
      <c r="G62" s="229">
        <v>345</v>
      </c>
      <c r="H62" s="230">
        <f>G62*0.05</f>
        <v>17.25</v>
      </c>
      <c r="I62" s="247">
        <f t="shared" si="0"/>
        <v>40.641</v>
      </c>
      <c r="J62" s="248">
        <f t="shared" si="1"/>
        <v>42.15969</v>
      </c>
      <c r="K62" s="251">
        <f t="shared" si="2"/>
        <v>510.60069</v>
      </c>
      <c r="L62" s="217">
        <f t="shared" si="3"/>
        <v>3666.1129542</v>
      </c>
      <c r="M62" s="252"/>
      <c r="N62" s="254"/>
      <c r="O62" s="246"/>
    </row>
    <row r="63" s="201" customFormat="1" ht="56.6" customHeight="1" outlineLevel="1" spans="1:15">
      <c r="A63" s="224">
        <v>5</v>
      </c>
      <c r="B63" s="223" t="s">
        <v>151</v>
      </c>
      <c r="C63" s="223" t="s">
        <v>152</v>
      </c>
      <c r="D63" s="224" t="s">
        <v>72</v>
      </c>
      <c r="E63" s="225">
        <v>82.45</v>
      </c>
      <c r="F63" s="228">
        <f>120*0+90</f>
        <v>90</v>
      </c>
      <c r="G63" s="229">
        <v>370</v>
      </c>
      <c r="H63" s="230">
        <v>40</v>
      </c>
      <c r="I63" s="247">
        <f t="shared" si="0"/>
        <v>47.5</v>
      </c>
      <c r="J63" s="248">
        <f t="shared" si="1"/>
        <v>49.275</v>
      </c>
      <c r="K63" s="251">
        <f t="shared" si="2"/>
        <v>596.775</v>
      </c>
      <c r="L63" s="217">
        <f t="shared" si="3"/>
        <v>49204.09875</v>
      </c>
      <c r="M63" s="252"/>
      <c r="N63" s="254"/>
      <c r="O63" s="246"/>
    </row>
    <row r="64" s="201" customFormat="1" ht="52.5" outlineLevel="1" spans="1:15">
      <c r="A64" s="224">
        <v>6</v>
      </c>
      <c r="B64" s="223" t="s">
        <v>153</v>
      </c>
      <c r="C64" s="223" t="s">
        <v>154</v>
      </c>
      <c r="D64" s="224" t="s">
        <v>84</v>
      </c>
      <c r="E64" s="231">
        <v>0.09</v>
      </c>
      <c r="F64" s="228">
        <v>1200</v>
      </c>
      <c r="G64" s="232">
        <v>4050</v>
      </c>
      <c r="H64" s="230">
        <v>150</v>
      </c>
      <c r="I64" s="247">
        <f t="shared" si="0"/>
        <v>513</v>
      </c>
      <c r="J64" s="248">
        <f t="shared" si="1"/>
        <v>532.17</v>
      </c>
      <c r="K64" s="251">
        <f t="shared" si="2"/>
        <v>6445.17</v>
      </c>
      <c r="L64" s="217">
        <f t="shared" si="3"/>
        <v>580.0653</v>
      </c>
      <c r="M64" s="252"/>
      <c r="N64" s="254"/>
      <c r="O64" s="246"/>
    </row>
    <row r="65" s="201" customFormat="1" ht="52.5" outlineLevel="1" spans="1:15">
      <c r="A65" s="224">
        <v>7</v>
      </c>
      <c r="B65" s="223" t="s">
        <v>153</v>
      </c>
      <c r="C65" s="223" t="s">
        <v>155</v>
      </c>
      <c r="D65" s="224" t="s">
        <v>84</v>
      </c>
      <c r="E65" s="231">
        <v>0.1</v>
      </c>
      <c r="F65" s="228">
        <v>1200</v>
      </c>
      <c r="G65" s="232">
        <v>4050</v>
      </c>
      <c r="H65" s="230">
        <v>150</v>
      </c>
      <c r="I65" s="247">
        <f t="shared" si="0"/>
        <v>513</v>
      </c>
      <c r="J65" s="248">
        <f t="shared" si="1"/>
        <v>532.17</v>
      </c>
      <c r="K65" s="251">
        <f t="shared" si="2"/>
        <v>6445.17</v>
      </c>
      <c r="L65" s="217">
        <f t="shared" si="3"/>
        <v>644.517</v>
      </c>
      <c r="M65" s="252"/>
      <c r="N65" s="254"/>
      <c r="O65" s="246"/>
    </row>
    <row r="66" s="201" customFormat="1" ht="42" outlineLevel="1" spans="1:15">
      <c r="A66" s="224">
        <v>8</v>
      </c>
      <c r="B66" s="223" t="s">
        <v>156</v>
      </c>
      <c r="C66" s="223" t="s">
        <v>157</v>
      </c>
      <c r="D66" s="224" t="s">
        <v>75</v>
      </c>
      <c r="E66" s="225">
        <f>0.35*6</f>
        <v>2.1</v>
      </c>
      <c r="F66" s="228">
        <v>144</v>
      </c>
      <c r="G66" s="233">
        <v>420</v>
      </c>
      <c r="H66" s="230">
        <v>20</v>
      </c>
      <c r="I66" s="247">
        <f t="shared" si="0"/>
        <v>55.48</v>
      </c>
      <c r="J66" s="248">
        <f t="shared" si="1"/>
        <v>57.5532</v>
      </c>
      <c r="K66" s="251">
        <f t="shared" si="2"/>
        <v>697.0332</v>
      </c>
      <c r="L66" s="217">
        <f t="shared" si="3"/>
        <v>1463.76972</v>
      </c>
      <c r="M66" s="252"/>
      <c r="N66" s="254"/>
      <c r="O66" s="246"/>
    </row>
    <row r="67" s="201" customFormat="1" ht="31.5" outlineLevel="1" spans="1:15">
      <c r="A67" s="224">
        <v>9</v>
      </c>
      <c r="B67" s="223" t="s">
        <v>158</v>
      </c>
      <c r="C67" s="223" t="s">
        <v>159</v>
      </c>
      <c r="D67" s="224" t="s">
        <v>75</v>
      </c>
      <c r="E67" s="225">
        <f>8.656*2+40.07*3.6-1.2</f>
        <v>160.364</v>
      </c>
      <c r="F67" s="228">
        <v>125</v>
      </c>
      <c r="G67" s="229">
        <v>173</v>
      </c>
      <c r="H67" s="230">
        <v>20</v>
      </c>
      <c r="I67" s="247">
        <f t="shared" si="0"/>
        <v>30.21</v>
      </c>
      <c r="J67" s="248">
        <f t="shared" si="1"/>
        <v>31.3389</v>
      </c>
      <c r="K67" s="251">
        <f t="shared" si="2"/>
        <v>379.5489</v>
      </c>
      <c r="L67" s="217">
        <f t="shared" si="3"/>
        <v>60865.9797996</v>
      </c>
      <c r="M67" s="252"/>
      <c r="N67" s="254"/>
      <c r="O67" s="246"/>
    </row>
    <row r="68" s="201" customFormat="1" ht="42" outlineLevel="1" spans="1:15">
      <c r="A68" s="224">
        <v>10</v>
      </c>
      <c r="B68" s="223" t="s">
        <v>103</v>
      </c>
      <c r="C68" s="223" t="s">
        <v>160</v>
      </c>
      <c r="D68" s="224" t="s">
        <v>75</v>
      </c>
      <c r="E68" s="225">
        <f>(0.27+3.9*0.03+0.54)*2</f>
        <v>1.854</v>
      </c>
      <c r="F68" s="228">
        <v>120</v>
      </c>
      <c r="G68" s="233">
        <v>280</v>
      </c>
      <c r="H68" s="230">
        <v>25</v>
      </c>
      <c r="I68" s="247">
        <f t="shared" si="0"/>
        <v>40.375</v>
      </c>
      <c r="J68" s="248">
        <f t="shared" si="1"/>
        <v>41.88375</v>
      </c>
      <c r="K68" s="251">
        <f t="shared" si="2"/>
        <v>507.25875</v>
      </c>
      <c r="L68" s="217">
        <f t="shared" si="3"/>
        <v>940.4577225</v>
      </c>
      <c r="M68" s="252"/>
      <c r="N68" s="254"/>
      <c r="O68" s="246"/>
    </row>
    <row r="69" s="201" customFormat="1" ht="31.5" outlineLevel="1" spans="1:15">
      <c r="A69" s="224">
        <v>11</v>
      </c>
      <c r="B69" s="223" t="s">
        <v>161</v>
      </c>
      <c r="C69" s="223" t="s">
        <v>162</v>
      </c>
      <c r="D69" s="224" t="s">
        <v>84</v>
      </c>
      <c r="E69" s="225">
        <f>((14.4+1.8*2)*3.33/1000)*2</f>
        <v>0.11988</v>
      </c>
      <c r="F69" s="228">
        <v>2500</v>
      </c>
      <c r="G69" s="229">
        <v>5800</v>
      </c>
      <c r="H69" s="230">
        <v>900</v>
      </c>
      <c r="I69" s="247">
        <f t="shared" si="0"/>
        <v>874</v>
      </c>
      <c r="J69" s="248">
        <f t="shared" si="1"/>
        <v>906.66</v>
      </c>
      <c r="K69" s="251">
        <f t="shared" si="2"/>
        <v>10980.66</v>
      </c>
      <c r="L69" s="217">
        <f t="shared" si="3"/>
        <v>1316.3615208</v>
      </c>
      <c r="M69" s="252"/>
      <c r="N69" s="254"/>
      <c r="O69" s="246"/>
    </row>
    <row r="70" s="201" customFormat="1" ht="21" outlineLevel="1" spans="1:15">
      <c r="A70" s="224">
        <v>12</v>
      </c>
      <c r="B70" s="223" t="s">
        <v>163</v>
      </c>
      <c r="C70" s="223" t="s">
        <v>164</v>
      </c>
      <c r="D70" s="224" t="s">
        <v>84</v>
      </c>
      <c r="E70" s="225">
        <f>42.28*43.96/1000</f>
        <v>1.8586288</v>
      </c>
      <c r="F70" s="228">
        <v>2500</v>
      </c>
      <c r="G70" s="229">
        <v>4580</v>
      </c>
      <c r="H70" s="230">
        <v>700</v>
      </c>
      <c r="I70" s="247">
        <f t="shared" si="0"/>
        <v>739.1</v>
      </c>
      <c r="J70" s="248">
        <f t="shared" si="1"/>
        <v>766.719</v>
      </c>
      <c r="K70" s="251">
        <f t="shared" si="2"/>
        <v>9285.819</v>
      </c>
      <c r="L70" s="217">
        <f t="shared" si="3"/>
        <v>17258.8906249872</v>
      </c>
      <c r="M70" s="252"/>
      <c r="N70" s="254"/>
      <c r="O70" s="246"/>
    </row>
    <row r="71" s="201" customFormat="1" ht="11.25" spans="1:15">
      <c r="A71" s="221" t="s">
        <v>165</v>
      </c>
      <c r="B71" s="222" t="s">
        <v>166</v>
      </c>
      <c r="C71" s="223"/>
      <c r="D71" s="224"/>
      <c r="E71" s="225"/>
      <c r="F71" s="243"/>
      <c r="G71" s="243"/>
      <c r="H71" s="244"/>
      <c r="I71" s="247">
        <f t="shared" ref="I71:I134" si="8">(F71+G71+H71)*$I$4</f>
        <v>0</v>
      </c>
      <c r="J71" s="248">
        <f t="shared" ref="J71:J134" si="9">(F71+G71+H71+I71)*$J$4</f>
        <v>0</v>
      </c>
      <c r="K71" s="251">
        <f t="shared" ref="K71:K134" si="10">F71+G71+H71+I71+J71</f>
        <v>0</v>
      </c>
      <c r="L71" s="217">
        <f t="shared" ref="L71:L134" si="11">K71*E71</f>
        <v>0</v>
      </c>
      <c r="M71" s="252"/>
      <c r="N71" s="254"/>
      <c r="O71" s="246"/>
    </row>
    <row r="72" s="201" customFormat="1" ht="52.5" outlineLevel="1" spans="1:15">
      <c r="A72" s="224">
        <v>1</v>
      </c>
      <c r="B72" s="223" t="s">
        <v>70</v>
      </c>
      <c r="C72" s="223" t="s">
        <v>71</v>
      </c>
      <c r="D72" s="224" t="s">
        <v>72</v>
      </c>
      <c r="E72" s="225">
        <f>(4.786+6.32+0.5)*(0.2)</f>
        <v>2.3212</v>
      </c>
      <c r="F72" s="228">
        <v>3</v>
      </c>
      <c r="G72" s="229">
        <v>0</v>
      </c>
      <c r="H72" s="230">
        <v>7</v>
      </c>
      <c r="I72" s="247">
        <f t="shared" si="8"/>
        <v>0.95</v>
      </c>
      <c r="J72" s="248">
        <f t="shared" si="9"/>
        <v>0.9855</v>
      </c>
      <c r="K72" s="251">
        <f t="shared" si="10"/>
        <v>11.9355</v>
      </c>
      <c r="L72" s="217">
        <f t="shared" si="11"/>
        <v>27.7046826</v>
      </c>
      <c r="M72" s="252"/>
      <c r="N72" s="254"/>
      <c r="O72" s="246"/>
    </row>
    <row r="73" s="201" customFormat="1" ht="73.5" outlineLevel="1" spans="1:15">
      <c r="A73" s="224">
        <v>2</v>
      </c>
      <c r="B73" s="223" t="s">
        <v>167</v>
      </c>
      <c r="C73" s="223" t="s">
        <v>168</v>
      </c>
      <c r="D73" s="224" t="s">
        <v>72</v>
      </c>
      <c r="E73" s="225">
        <f>E72-(4.786+6.32)*(0.2)</f>
        <v>0.1</v>
      </c>
      <c r="F73" s="228">
        <f>F81</f>
        <v>3</v>
      </c>
      <c r="G73" s="229">
        <v>0</v>
      </c>
      <c r="H73" s="230">
        <f>6*0+8</f>
        <v>8</v>
      </c>
      <c r="I73" s="247">
        <f t="shared" si="8"/>
        <v>1.045</v>
      </c>
      <c r="J73" s="248">
        <f t="shared" si="9"/>
        <v>1.08405</v>
      </c>
      <c r="K73" s="251">
        <f t="shared" si="10"/>
        <v>13.12905</v>
      </c>
      <c r="L73" s="217">
        <f t="shared" si="11"/>
        <v>1.312905</v>
      </c>
      <c r="M73" s="252"/>
      <c r="N73" s="254"/>
      <c r="O73" s="246"/>
    </row>
    <row r="74" s="201" customFormat="1" ht="21" outlineLevel="1" spans="1:15">
      <c r="A74" s="224">
        <v>3</v>
      </c>
      <c r="B74" s="223" t="s">
        <v>73</v>
      </c>
      <c r="C74" s="223" t="s">
        <v>74</v>
      </c>
      <c r="D74" s="224" t="s">
        <v>75</v>
      </c>
      <c r="E74" s="225">
        <f>4.786+6.32</f>
        <v>11.106</v>
      </c>
      <c r="F74" s="228">
        <v>1.2</v>
      </c>
      <c r="G74" s="229">
        <v>0</v>
      </c>
      <c r="H74" s="230">
        <v>1.5</v>
      </c>
      <c r="I74" s="247">
        <f t="shared" si="8"/>
        <v>0.2565</v>
      </c>
      <c r="J74" s="248">
        <f t="shared" si="9"/>
        <v>0.266085</v>
      </c>
      <c r="K74" s="251">
        <f t="shared" si="10"/>
        <v>3.222585</v>
      </c>
      <c r="L74" s="217">
        <f t="shared" si="11"/>
        <v>35.79002901</v>
      </c>
      <c r="M74" s="252"/>
      <c r="N74" s="254"/>
      <c r="O74" s="246"/>
    </row>
    <row r="75" s="201" customFormat="1" ht="52.5" outlineLevel="1" spans="1:15">
      <c r="A75" s="224">
        <v>4</v>
      </c>
      <c r="B75" s="223" t="s">
        <v>115</v>
      </c>
      <c r="C75" s="223" t="s">
        <v>169</v>
      </c>
      <c r="D75" s="224" t="s">
        <v>72</v>
      </c>
      <c r="E75" s="225">
        <f>(4.786+6.32)*0.1</f>
        <v>1.1106</v>
      </c>
      <c r="F75" s="228">
        <f>G75*0.19</f>
        <v>65.55</v>
      </c>
      <c r="G75" s="229">
        <v>345</v>
      </c>
      <c r="H75" s="230">
        <f>G75*0.05</f>
        <v>17.25</v>
      </c>
      <c r="I75" s="247">
        <f t="shared" si="8"/>
        <v>40.641</v>
      </c>
      <c r="J75" s="248">
        <f t="shared" si="9"/>
        <v>42.15969</v>
      </c>
      <c r="K75" s="251">
        <f t="shared" si="10"/>
        <v>510.60069</v>
      </c>
      <c r="L75" s="217">
        <f t="shared" si="11"/>
        <v>567.073126314</v>
      </c>
      <c r="M75" s="252"/>
      <c r="N75" s="254"/>
      <c r="O75" s="246"/>
    </row>
    <row r="76" s="201" customFormat="1" ht="42" outlineLevel="1" spans="1:15">
      <c r="A76" s="224">
        <v>5</v>
      </c>
      <c r="B76" s="223" t="s">
        <v>76</v>
      </c>
      <c r="C76" s="223" t="s">
        <v>170</v>
      </c>
      <c r="D76" s="224" t="s">
        <v>72</v>
      </c>
      <c r="E76" s="225">
        <f>E75</f>
        <v>1.1106</v>
      </c>
      <c r="F76" s="228">
        <v>13</v>
      </c>
      <c r="G76" s="229">
        <v>103</v>
      </c>
      <c r="H76" s="230">
        <v>15</v>
      </c>
      <c r="I76" s="247">
        <f t="shared" si="8"/>
        <v>12.445</v>
      </c>
      <c r="J76" s="248">
        <f t="shared" si="9"/>
        <v>12.91005</v>
      </c>
      <c r="K76" s="251">
        <f t="shared" si="10"/>
        <v>156.35505</v>
      </c>
      <c r="L76" s="217">
        <f t="shared" si="11"/>
        <v>173.64791853</v>
      </c>
      <c r="M76" s="252"/>
      <c r="N76" s="254"/>
      <c r="O76" s="246"/>
    </row>
    <row r="77" s="201" customFormat="1" ht="31.5" outlineLevel="1" spans="1:15">
      <c r="A77" s="224">
        <v>6</v>
      </c>
      <c r="B77" s="223" t="s">
        <v>171</v>
      </c>
      <c r="C77" s="223" t="s">
        <v>172</v>
      </c>
      <c r="D77" s="224" t="s">
        <v>75</v>
      </c>
      <c r="E77" s="225">
        <f>(4.786+6.32)*0.3/2</f>
        <v>1.6659</v>
      </c>
      <c r="F77" s="228">
        <f>F88</f>
        <v>210</v>
      </c>
      <c r="G77" s="229">
        <f>G88</f>
        <v>270</v>
      </c>
      <c r="H77" s="230">
        <v>102</v>
      </c>
      <c r="I77" s="247">
        <f t="shared" si="8"/>
        <v>55.29</v>
      </c>
      <c r="J77" s="248">
        <f t="shared" si="9"/>
        <v>57.3561</v>
      </c>
      <c r="K77" s="251">
        <f t="shared" si="10"/>
        <v>694.6461</v>
      </c>
      <c r="L77" s="217">
        <f t="shared" si="11"/>
        <v>1157.21093799</v>
      </c>
      <c r="M77" s="252"/>
      <c r="N77" s="254"/>
      <c r="O77" s="246"/>
    </row>
    <row r="78" s="201" customFormat="1" ht="63" outlineLevel="1" spans="1:15">
      <c r="A78" s="224">
        <v>7</v>
      </c>
      <c r="B78" s="223" t="s">
        <v>173</v>
      </c>
      <c r="C78" s="223" t="s">
        <v>174</v>
      </c>
      <c r="D78" s="224" t="s">
        <v>75</v>
      </c>
      <c r="E78" s="225">
        <f>6.32+4.786+7.9*0.15*2+6*0.15*2+0.8*0.3*2</f>
        <v>15.756</v>
      </c>
      <c r="F78" s="228">
        <v>78</v>
      </c>
      <c r="G78" s="229">
        <v>143.75</v>
      </c>
      <c r="H78" s="230">
        <v>20</v>
      </c>
      <c r="I78" s="247">
        <f t="shared" si="8"/>
        <v>22.96625</v>
      </c>
      <c r="J78" s="248">
        <f t="shared" si="9"/>
        <v>23.8244625</v>
      </c>
      <c r="K78" s="251">
        <f t="shared" si="10"/>
        <v>288.5407125</v>
      </c>
      <c r="L78" s="217">
        <f t="shared" si="11"/>
        <v>4546.24746615</v>
      </c>
      <c r="M78" s="252"/>
      <c r="N78" s="254"/>
      <c r="O78" s="246"/>
    </row>
    <row r="79" s="202" customFormat="1" ht="21" spans="1:15">
      <c r="A79" s="221" t="s">
        <v>175</v>
      </c>
      <c r="B79" s="222" t="s">
        <v>176</v>
      </c>
      <c r="C79" s="223"/>
      <c r="D79" s="224"/>
      <c r="E79" s="225"/>
      <c r="F79" s="227"/>
      <c r="G79" s="227"/>
      <c r="H79" s="227"/>
      <c r="I79" s="247">
        <f t="shared" si="8"/>
        <v>0</v>
      </c>
      <c r="J79" s="248">
        <f t="shared" si="9"/>
        <v>0</v>
      </c>
      <c r="K79" s="251">
        <f t="shared" si="10"/>
        <v>0</v>
      </c>
      <c r="L79" s="217">
        <f t="shared" si="11"/>
        <v>0</v>
      </c>
      <c r="M79" s="249"/>
      <c r="N79" s="250"/>
      <c r="O79" s="246"/>
    </row>
    <row r="80" s="202" customFormat="1" ht="52.5" outlineLevel="1" spans="1:15">
      <c r="A80" s="224">
        <v>1</v>
      </c>
      <c r="B80" s="223" t="s">
        <v>70</v>
      </c>
      <c r="C80" s="223" t="s">
        <v>71</v>
      </c>
      <c r="D80" s="224" t="s">
        <v>72</v>
      </c>
      <c r="E80" s="225">
        <v>269.95</v>
      </c>
      <c r="F80" s="228">
        <v>3</v>
      </c>
      <c r="G80" s="229">
        <v>0</v>
      </c>
      <c r="H80" s="230">
        <v>7</v>
      </c>
      <c r="I80" s="247">
        <f t="shared" si="8"/>
        <v>0.95</v>
      </c>
      <c r="J80" s="248">
        <f t="shared" si="9"/>
        <v>0.9855</v>
      </c>
      <c r="K80" s="251">
        <f t="shared" si="10"/>
        <v>11.9355</v>
      </c>
      <c r="L80" s="217">
        <f t="shared" si="11"/>
        <v>3221.988225</v>
      </c>
      <c r="M80" s="249"/>
      <c r="N80" s="250"/>
      <c r="O80" s="246"/>
    </row>
    <row r="81" s="202" customFormat="1" ht="73.5" outlineLevel="1" spans="1:15">
      <c r="A81" s="224">
        <v>2</v>
      </c>
      <c r="B81" s="223" t="s">
        <v>167</v>
      </c>
      <c r="C81" s="223" t="s">
        <v>168</v>
      </c>
      <c r="D81" s="224" t="s">
        <v>72</v>
      </c>
      <c r="E81" s="225">
        <v>140.93</v>
      </c>
      <c r="F81" s="228">
        <v>3</v>
      </c>
      <c r="G81" s="229">
        <v>0</v>
      </c>
      <c r="H81" s="230">
        <f>6*0+8</f>
        <v>8</v>
      </c>
      <c r="I81" s="247">
        <f t="shared" si="8"/>
        <v>1.045</v>
      </c>
      <c r="J81" s="248">
        <f t="shared" si="9"/>
        <v>1.08405</v>
      </c>
      <c r="K81" s="251">
        <f t="shared" si="10"/>
        <v>13.12905</v>
      </c>
      <c r="L81" s="217">
        <f t="shared" si="11"/>
        <v>1850.2770165</v>
      </c>
      <c r="M81" s="249"/>
      <c r="N81" s="250"/>
      <c r="O81" s="246"/>
    </row>
    <row r="82" s="202" customFormat="1" ht="21" outlineLevel="1" spans="1:15">
      <c r="A82" s="224">
        <v>3</v>
      </c>
      <c r="B82" s="223" t="s">
        <v>73</v>
      </c>
      <c r="C82" s="223" t="s">
        <v>74</v>
      </c>
      <c r="D82" s="224" t="s">
        <v>75</v>
      </c>
      <c r="E82" s="225">
        <v>295.49</v>
      </c>
      <c r="F82" s="228">
        <v>1.2</v>
      </c>
      <c r="G82" s="233">
        <v>0</v>
      </c>
      <c r="H82" s="230">
        <v>1.5</v>
      </c>
      <c r="I82" s="247">
        <f t="shared" si="8"/>
        <v>0.2565</v>
      </c>
      <c r="J82" s="248">
        <f t="shared" si="9"/>
        <v>0.266085</v>
      </c>
      <c r="K82" s="251">
        <f t="shared" si="10"/>
        <v>3.222585</v>
      </c>
      <c r="L82" s="217">
        <f t="shared" si="11"/>
        <v>952.24164165</v>
      </c>
      <c r="M82" s="249"/>
      <c r="N82" s="250"/>
      <c r="O82" s="246"/>
    </row>
    <row r="83" s="202" customFormat="1" ht="42" outlineLevel="1" spans="1:15">
      <c r="A83" s="224">
        <v>4</v>
      </c>
      <c r="B83" s="223" t="s">
        <v>76</v>
      </c>
      <c r="C83" s="223" t="s">
        <v>77</v>
      </c>
      <c r="D83" s="224" t="s">
        <v>72</v>
      </c>
      <c r="E83" s="225">
        <v>29.55</v>
      </c>
      <c r="F83" s="228">
        <v>13</v>
      </c>
      <c r="G83" s="229">
        <v>103</v>
      </c>
      <c r="H83" s="230">
        <v>15</v>
      </c>
      <c r="I83" s="247">
        <f t="shared" si="8"/>
        <v>12.445</v>
      </c>
      <c r="J83" s="248">
        <f t="shared" si="9"/>
        <v>12.91005</v>
      </c>
      <c r="K83" s="251">
        <f t="shared" si="10"/>
        <v>156.35505</v>
      </c>
      <c r="L83" s="217">
        <f t="shared" si="11"/>
        <v>4620.2917275</v>
      </c>
      <c r="M83" s="249"/>
      <c r="N83" s="250"/>
      <c r="O83" s="246"/>
    </row>
    <row r="84" s="202" customFormat="1" ht="52.5" outlineLevel="1" spans="1:15">
      <c r="A84" s="224">
        <v>5</v>
      </c>
      <c r="B84" s="223" t="s">
        <v>115</v>
      </c>
      <c r="C84" s="223" t="s">
        <v>169</v>
      </c>
      <c r="D84" s="224" t="s">
        <v>72</v>
      </c>
      <c r="E84" s="225">
        <v>23.87</v>
      </c>
      <c r="F84" s="228">
        <f>G84*0.19</f>
        <v>65.55</v>
      </c>
      <c r="G84" s="229">
        <v>345</v>
      </c>
      <c r="H84" s="230">
        <f>G84*0.05</f>
        <v>17.25</v>
      </c>
      <c r="I84" s="247">
        <f t="shared" si="8"/>
        <v>40.641</v>
      </c>
      <c r="J84" s="248">
        <f t="shared" si="9"/>
        <v>42.15969</v>
      </c>
      <c r="K84" s="251">
        <f t="shared" si="10"/>
        <v>510.60069</v>
      </c>
      <c r="L84" s="217">
        <f t="shared" si="11"/>
        <v>12188.0384703</v>
      </c>
      <c r="M84" s="249"/>
      <c r="N84" s="250"/>
      <c r="O84" s="246"/>
    </row>
    <row r="85" s="202" customFormat="1" ht="52.5" outlineLevel="1" spans="1:15">
      <c r="A85" s="224">
        <v>6</v>
      </c>
      <c r="B85" s="223" t="s">
        <v>177</v>
      </c>
      <c r="C85" s="223" t="s">
        <v>178</v>
      </c>
      <c r="D85" s="224" t="s">
        <v>72</v>
      </c>
      <c r="E85" s="225">
        <v>4.95</v>
      </c>
      <c r="F85" s="228">
        <v>120</v>
      </c>
      <c r="G85" s="233">
        <v>380</v>
      </c>
      <c r="H85" s="230">
        <v>40</v>
      </c>
      <c r="I85" s="247">
        <f t="shared" si="8"/>
        <v>51.3</v>
      </c>
      <c r="J85" s="248">
        <f t="shared" si="9"/>
        <v>53.217</v>
      </c>
      <c r="K85" s="251">
        <f t="shared" si="10"/>
        <v>644.517</v>
      </c>
      <c r="L85" s="217">
        <f t="shared" si="11"/>
        <v>3190.35915</v>
      </c>
      <c r="M85" s="252"/>
      <c r="N85" s="250"/>
      <c r="O85" s="246"/>
    </row>
    <row r="86" s="202" customFormat="1" ht="52.5" outlineLevel="1" spans="1:15">
      <c r="A86" s="224">
        <v>7</v>
      </c>
      <c r="B86" s="223" t="s">
        <v>179</v>
      </c>
      <c r="C86" s="223" t="s">
        <v>180</v>
      </c>
      <c r="D86" s="224" t="s">
        <v>72</v>
      </c>
      <c r="E86" s="225">
        <v>14.26</v>
      </c>
      <c r="F86" s="228">
        <v>120</v>
      </c>
      <c r="G86" s="229">
        <v>370</v>
      </c>
      <c r="H86" s="230">
        <v>40</v>
      </c>
      <c r="I86" s="247">
        <f t="shared" si="8"/>
        <v>50.35</v>
      </c>
      <c r="J86" s="248">
        <f t="shared" si="9"/>
        <v>52.2315</v>
      </c>
      <c r="K86" s="251">
        <f t="shared" si="10"/>
        <v>632.5815</v>
      </c>
      <c r="L86" s="217">
        <f t="shared" si="11"/>
        <v>9020.61219</v>
      </c>
      <c r="M86" s="249"/>
      <c r="N86" s="250"/>
      <c r="O86" s="246"/>
    </row>
    <row r="87" s="202" customFormat="1" ht="52.5" outlineLevel="1" spans="1:15">
      <c r="A87" s="224">
        <v>8</v>
      </c>
      <c r="B87" s="223" t="s">
        <v>153</v>
      </c>
      <c r="C87" s="223" t="s">
        <v>181</v>
      </c>
      <c r="D87" s="224" t="s">
        <v>84</v>
      </c>
      <c r="E87" s="231">
        <v>3.251</v>
      </c>
      <c r="F87" s="228">
        <v>1200</v>
      </c>
      <c r="G87" s="232">
        <v>4050</v>
      </c>
      <c r="H87" s="230">
        <v>150</v>
      </c>
      <c r="I87" s="247">
        <f t="shared" si="8"/>
        <v>513</v>
      </c>
      <c r="J87" s="248">
        <f t="shared" si="9"/>
        <v>532.17</v>
      </c>
      <c r="K87" s="251">
        <f t="shared" si="10"/>
        <v>6445.17</v>
      </c>
      <c r="L87" s="217">
        <f t="shared" si="11"/>
        <v>20953.24767</v>
      </c>
      <c r="M87" s="249"/>
      <c r="N87" s="250"/>
      <c r="O87" s="246"/>
    </row>
    <row r="88" s="202" customFormat="1" ht="52.5" outlineLevel="1" spans="1:15">
      <c r="A88" s="224">
        <v>9</v>
      </c>
      <c r="B88" s="255" t="s">
        <v>182</v>
      </c>
      <c r="C88" s="223" t="s">
        <v>183</v>
      </c>
      <c r="D88" s="224" t="s">
        <v>72</v>
      </c>
      <c r="E88" s="225">
        <v>57.76</v>
      </c>
      <c r="F88" s="228">
        <v>210</v>
      </c>
      <c r="G88" s="233">
        <v>270</v>
      </c>
      <c r="H88" s="230">
        <v>27</v>
      </c>
      <c r="I88" s="247">
        <f t="shared" si="8"/>
        <v>48.165</v>
      </c>
      <c r="J88" s="248">
        <f t="shared" si="9"/>
        <v>49.96485</v>
      </c>
      <c r="K88" s="251">
        <f t="shared" si="10"/>
        <v>605.12985</v>
      </c>
      <c r="L88" s="217">
        <f t="shared" si="11"/>
        <v>34952.300136</v>
      </c>
      <c r="M88" s="249"/>
      <c r="N88" s="250"/>
      <c r="O88" s="246"/>
    </row>
    <row r="89" s="202" customFormat="1" ht="56.25" outlineLevel="1" spans="1:15">
      <c r="A89" s="224">
        <v>10</v>
      </c>
      <c r="B89" s="223" t="s">
        <v>184</v>
      </c>
      <c r="C89" s="256" t="s">
        <v>185</v>
      </c>
      <c r="D89" s="224" t="s">
        <v>72</v>
      </c>
      <c r="E89" s="225">
        <v>10.85</v>
      </c>
      <c r="F89" s="228">
        <v>120</v>
      </c>
      <c r="G89" s="229">
        <v>370</v>
      </c>
      <c r="H89" s="230">
        <v>40</v>
      </c>
      <c r="I89" s="247">
        <f t="shared" si="8"/>
        <v>50.35</v>
      </c>
      <c r="J89" s="248">
        <f t="shared" si="9"/>
        <v>52.2315</v>
      </c>
      <c r="K89" s="251">
        <f t="shared" si="10"/>
        <v>632.5815</v>
      </c>
      <c r="L89" s="217">
        <f t="shared" si="11"/>
        <v>6863.509275</v>
      </c>
      <c r="M89" s="252"/>
      <c r="N89" s="250"/>
      <c r="O89" s="246"/>
    </row>
    <row r="90" s="202" customFormat="1" ht="56.25" outlineLevel="1" spans="1:15">
      <c r="A90" s="224">
        <v>11</v>
      </c>
      <c r="B90" s="223" t="s">
        <v>186</v>
      </c>
      <c r="C90" s="256" t="s">
        <v>187</v>
      </c>
      <c r="D90" s="224" t="s">
        <v>72</v>
      </c>
      <c r="E90" s="225">
        <v>8.25</v>
      </c>
      <c r="F90" s="228">
        <v>120</v>
      </c>
      <c r="G90" s="229">
        <v>370</v>
      </c>
      <c r="H90" s="230">
        <v>40</v>
      </c>
      <c r="I90" s="247">
        <f t="shared" si="8"/>
        <v>50.35</v>
      </c>
      <c r="J90" s="248">
        <f t="shared" si="9"/>
        <v>52.2315</v>
      </c>
      <c r="K90" s="251">
        <f t="shared" si="10"/>
        <v>632.5815</v>
      </c>
      <c r="L90" s="217">
        <f t="shared" si="11"/>
        <v>5218.797375</v>
      </c>
      <c r="M90" s="252"/>
      <c r="N90" s="250"/>
      <c r="O90" s="246"/>
    </row>
    <row r="91" s="202" customFormat="1" ht="55.5" outlineLevel="1" spans="1:15">
      <c r="A91" s="224">
        <v>12</v>
      </c>
      <c r="B91" s="223" t="s">
        <v>188</v>
      </c>
      <c r="C91" s="256" t="s">
        <v>189</v>
      </c>
      <c r="D91" s="224" t="s">
        <v>75</v>
      </c>
      <c r="E91" s="225">
        <v>227.7</v>
      </c>
      <c r="F91" s="228">
        <v>32</v>
      </c>
      <c r="G91" s="233">
        <v>33.23</v>
      </c>
      <c r="H91" s="230">
        <v>3</v>
      </c>
      <c r="I91" s="247">
        <f t="shared" si="8"/>
        <v>6.48185</v>
      </c>
      <c r="J91" s="248">
        <f t="shared" si="9"/>
        <v>6.7240665</v>
      </c>
      <c r="K91" s="251">
        <f t="shared" si="10"/>
        <v>81.4359165</v>
      </c>
      <c r="L91" s="217">
        <f t="shared" si="11"/>
        <v>18542.95818705</v>
      </c>
      <c r="M91" s="252"/>
      <c r="N91" s="265" t="s">
        <v>190</v>
      </c>
      <c r="O91" s="253"/>
    </row>
    <row r="92" s="202" customFormat="1" ht="52.5" outlineLevel="1" spans="1:15">
      <c r="A92" s="224">
        <v>13</v>
      </c>
      <c r="B92" s="223" t="s">
        <v>191</v>
      </c>
      <c r="C92" s="223" t="s">
        <v>192</v>
      </c>
      <c r="D92" s="224" t="s">
        <v>75</v>
      </c>
      <c r="E92" s="225">
        <v>54.44626</v>
      </c>
      <c r="F92" s="228">
        <v>55.2</v>
      </c>
      <c r="G92" s="233">
        <v>240</v>
      </c>
      <c r="H92" s="230">
        <v>17</v>
      </c>
      <c r="I92" s="247">
        <f t="shared" si="8"/>
        <v>29.659</v>
      </c>
      <c r="J92" s="248">
        <f t="shared" si="9"/>
        <v>30.76731</v>
      </c>
      <c r="K92" s="251">
        <f t="shared" si="10"/>
        <v>372.62631</v>
      </c>
      <c r="L92" s="217">
        <f t="shared" si="11"/>
        <v>20288.1089571006</v>
      </c>
      <c r="M92" s="252"/>
      <c r="N92" s="250"/>
      <c r="O92" s="246"/>
    </row>
    <row r="93" s="202" customFormat="1" ht="115.5" outlineLevel="1" spans="1:15">
      <c r="A93" s="224">
        <v>14</v>
      </c>
      <c r="B93" s="223" t="s">
        <v>193</v>
      </c>
      <c r="C93" s="223" t="s">
        <v>194</v>
      </c>
      <c r="D93" s="224" t="s">
        <v>107</v>
      </c>
      <c r="E93" s="225">
        <v>251.13</v>
      </c>
      <c r="F93" s="228">
        <v>75</v>
      </c>
      <c r="G93" s="233">
        <v>335</v>
      </c>
      <c r="H93" s="230">
        <v>15</v>
      </c>
      <c r="I93" s="247">
        <f t="shared" si="8"/>
        <v>40.375</v>
      </c>
      <c r="J93" s="248">
        <f t="shared" si="9"/>
        <v>41.88375</v>
      </c>
      <c r="K93" s="251">
        <f t="shared" si="10"/>
        <v>507.25875</v>
      </c>
      <c r="L93" s="217">
        <f t="shared" si="11"/>
        <v>127387.8898875</v>
      </c>
      <c r="M93" s="249"/>
      <c r="N93" s="250"/>
      <c r="O93" s="253"/>
    </row>
    <row r="94" s="202" customFormat="1" ht="42" outlineLevel="1" spans="1:15">
      <c r="A94" s="224">
        <v>15</v>
      </c>
      <c r="B94" s="223" t="s">
        <v>195</v>
      </c>
      <c r="C94" s="223" t="s">
        <v>196</v>
      </c>
      <c r="D94" s="224" t="s">
        <v>197</v>
      </c>
      <c r="E94" s="257">
        <v>13</v>
      </c>
      <c r="F94" s="228">
        <v>45</v>
      </c>
      <c r="G94" s="233">
        <v>400</v>
      </c>
      <c r="H94" s="230">
        <v>59</v>
      </c>
      <c r="I94" s="247">
        <f t="shared" si="8"/>
        <v>47.88</v>
      </c>
      <c r="J94" s="248">
        <f t="shared" si="9"/>
        <v>49.6692</v>
      </c>
      <c r="K94" s="251">
        <f t="shared" si="10"/>
        <v>601.5492</v>
      </c>
      <c r="L94" s="217">
        <f t="shared" si="11"/>
        <v>7820.1396</v>
      </c>
      <c r="M94" s="249"/>
      <c r="N94" s="250"/>
      <c r="O94" s="253"/>
    </row>
    <row r="95" s="203" customFormat="1" ht="11.25" spans="1:15">
      <c r="A95" s="221" t="s">
        <v>198</v>
      </c>
      <c r="B95" s="222" t="s">
        <v>199</v>
      </c>
      <c r="C95" s="239"/>
      <c r="D95" s="240"/>
      <c r="E95" s="258"/>
      <c r="F95" s="259"/>
      <c r="G95" s="259"/>
      <c r="H95" s="259"/>
      <c r="I95" s="247">
        <f t="shared" si="8"/>
        <v>0</v>
      </c>
      <c r="J95" s="248">
        <f t="shared" si="9"/>
        <v>0</v>
      </c>
      <c r="K95" s="251">
        <f t="shared" si="10"/>
        <v>0</v>
      </c>
      <c r="L95" s="217">
        <f t="shared" si="11"/>
        <v>0</v>
      </c>
      <c r="M95" s="252"/>
      <c r="N95" s="254"/>
      <c r="O95" s="246"/>
    </row>
    <row r="96" s="203" customFormat="1" ht="11.25" outlineLevel="1" spans="1:15">
      <c r="A96" s="239"/>
      <c r="B96" s="239" t="s">
        <v>200</v>
      </c>
      <c r="C96" s="239"/>
      <c r="D96" s="240"/>
      <c r="E96" s="258"/>
      <c r="F96" s="259"/>
      <c r="G96" s="259"/>
      <c r="H96" s="259"/>
      <c r="I96" s="247">
        <f t="shared" si="8"/>
        <v>0</v>
      </c>
      <c r="J96" s="248">
        <f t="shared" si="9"/>
        <v>0</v>
      </c>
      <c r="K96" s="251">
        <f t="shared" si="10"/>
        <v>0</v>
      </c>
      <c r="L96" s="217">
        <f t="shared" si="11"/>
        <v>0</v>
      </c>
      <c r="M96" s="252"/>
      <c r="N96" s="254"/>
      <c r="O96" s="246"/>
    </row>
    <row r="97" s="203" customFormat="1" ht="52.5" outlineLevel="1" spans="1:15">
      <c r="A97" s="227">
        <v>1</v>
      </c>
      <c r="B97" s="238" t="s">
        <v>201</v>
      </c>
      <c r="C97" s="238" t="s">
        <v>112</v>
      </c>
      <c r="D97" s="227" t="s">
        <v>72</v>
      </c>
      <c r="E97" s="217">
        <f>14.01+7.72</f>
        <v>21.73</v>
      </c>
      <c r="F97" s="228">
        <v>3</v>
      </c>
      <c r="G97" s="229">
        <v>0</v>
      </c>
      <c r="H97" s="230">
        <v>7</v>
      </c>
      <c r="I97" s="247">
        <f t="shared" si="8"/>
        <v>0.95</v>
      </c>
      <c r="J97" s="248">
        <f t="shared" si="9"/>
        <v>0.9855</v>
      </c>
      <c r="K97" s="251">
        <f t="shared" si="10"/>
        <v>11.9355</v>
      </c>
      <c r="L97" s="217">
        <f t="shared" si="11"/>
        <v>259.358415</v>
      </c>
      <c r="M97" s="252"/>
      <c r="N97" s="254"/>
      <c r="O97" s="246"/>
    </row>
    <row r="98" s="203" customFormat="1" ht="73.5" outlineLevel="1" spans="1:15">
      <c r="A98" s="227">
        <v>2</v>
      </c>
      <c r="B98" s="238" t="s">
        <v>167</v>
      </c>
      <c r="C98" s="238" t="s">
        <v>168</v>
      </c>
      <c r="D98" s="227" t="s">
        <v>72</v>
      </c>
      <c r="E98" s="217">
        <v>2.36</v>
      </c>
      <c r="F98" s="228">
        <v>3</v>
      </c>
      <c r="G98" s="229">
        <v>0</v>
      </c>
      <c r="H98" s="230">
        <f>6*0+8</f>
        <v>8</v>
      </c>
      <c r="I98" s="247">
        <f t="shared" si="8"/>
        <v>1.045</v>
      </c>
      <c r="J98" s="248">
        <f t="shared" si="9"/>
        <v>1.08405</v>
      </c>
      <c r="K98" s="251">
        <f t="shared" si="10"/>
        <v>13.12905</v>
      </c>
      <c r="L98" s="217">
        <f t="shared" si="11"/>
        <v>30.984558</v>
      </c>
      <c r="M98" s="252"/>
      <c r="N98" s="254"/>
      <c r="O98" s="246"/>
    </row>
    <row r="99" s="203" customFormat="1" ht="63" outlineLevel="1" spans="1:15">
      <c r="A99" s="227">
        <v>3</v>
      </c>
      <c r="B99" s="238" t="s">
        <v>115</v>
      </c>
      <c r="C99" s="238" t="s">
        <v>144</v>
      </c>
      <c r="D99" s="227" t="s">
        <v>72</v>
      </c>
      <c r="E99" s="217">
        <f>2.8+2.95+7.66</f>
        <v>13.41</v>
      </c>
      <c r="F99" s="228">
        <f>G99*0.19</f>
        <v>65.55</v>
      </c>
      <c r="G99" s="229">
        <v>345</v>
      </c>
      <c r="H99" s="230">
        <f>G99*0.05</f>
        <v>17.25</v>
      </c>
      <c r="I99" s="247">
        <f t="shared" si="8"/>
        <v>40.641</v>
      </c>
      <c r="J99" s="248">
        <f t="shared" si="9"/>
        <v>42.15969</v>
      </c>
      <c r="K99" s="251">
        <f t="shared" si="10"/>
        <v>510.60069</v>
      </c>
      <c r="L99" s="217">
        <f t="shared" si="11"/>
        <v>6847.1552529</v>
      </c>
      <c r="M99" s="252"/>
      <c r="N99" s="254"/>
      <c r="O99" s="246"/>
    </row>
    <row r="100" s="203" customFormat="1" ht="23.65" customHeight="1" outlineLevel="1" spans="1:15">
      <c r="A100" s="227">
        <v>4</v>
      </c>
      <c r="B100" s="223" t="s">
        <v>76</v>
      </c>
      <c r="C100" s="223" t="s">
        <v>138</v>
      </c>
      <c r="D100" s="224" t="s">
        <v>72</v>
      </c>
      <c r="E100" s="225">
        <f>2.8+2.95+8.02</f>
        <v>13.77</v>
      </c>
      <c r="F100" s="228">
        <v>13</v>
      </c>
      <c r="G100" s="229">
        <v>103</v>
      </c>
      <c r="H100" s="230">
        <v>15</v>
      </c>
      <c r="I100" s="247">
        <f t="shared" si="8"/>
        <v>12.445</v>
      </c>
      <c r="J100" s="248">
        <f t="shared" si="9"/>
        <v>12.91005</v>
      </c>
      <c r="K100" s="251">
        <f t="shared" si="10"/>
        <v>156.35505</v>
      </c>
      <c r="L100" s="217">
        <f t="shared" si="11"/>
        <v>2153.0090385</v>
      </c>
      <c r="M100" s="252"/>
      <c r="N100" s="254"/>
      <c r="O100" s="246"/>
    </row>
    <row r="101" s="203" customFormat="1" ht="16" customHeight="1" outlineLevel="1" spans="1:15">
      <c r="A101" s="227">
        <v>5</v>
      </c>
      <c r="B101" s="223" t="s">
        <v>202</v>
      </c>
      <c r="C101" s="223" t="s">
        <v>203</v>
      </c>
      <c r="D101" s="224" t="s">
        <v>72</v>
      </c>
      <c r="E101" s="225">
        <f>5.64+4.64</f>
        <v>10.28</v>
      </c>
      <c r="F101" s="228">
        <v>80</v>
      </c>
      <c r="G101" s="233">
        <v>350</v>
      </c>
      <c r="H101" s="230">
        <v>10</v>
      </c>
      <c r="I101" s="247">
        <f t="shared" si="8"/>
        <v>41.8</v>
      </c>
      <c r="J101" s="248">
        <f t="shared" si="9"/>
        <v>43.362</v>
      </c>
      <c r="K101" s="251">
        <f t="shared" si="10"/>
        <v>525.162</v>
      </c>
      <c r="L101" s="217">
        <f t="shared" si="11"/>
        <v>5398.66536</v>
      </c>
      <c r="M101" s="252"/>
      <c r="N101" s="254"/>
      <c r="O101" s="246"/>
    </row>
    <row r="102" s="203" customFormat="1" ht="42" outlineLevel="1" spans="1:15">
      <c r="A102" s="227">
        <v>5</v>
      </c>
      <c r="B102" s="223" t="s">
        <v>153</v>
      </c>
      <c r="C102" s="223" t="s">
        <v>204</v>
      </c>
      <c r="D102" s="224" t="s">
        <v>84</v>
      </c>
      <c r="E102" s="260">
        <v>0.91</v>
      </c>
      <c r="F102" s="228">
        <v>1200</v>
      </c>
      <c r="G102" s="232">
        <v>4050</v>
      </c>
      <c r="H102" s="230">
        <v>150</v>
      </c>
      <c r="I102" s="247">
        <f t="shared" si="8"/>
        <v>513</v>
      </c>
      <c r="J102" s="248">
        <f t="shared" si="9"/>
        <v>532.17</v>
      </c>
      <c r="K102" s="251">
        <f t="shared" si="10"/>
        <v>6445.17</v>
      </c>
      <c r="L102" s="217">
        <f t="shared" si="11"/>
        <v>5865.1047</v>
      </c>
      <c r="M102" s="266"/>
      <c r="N102" s="267"/>
      <c r="O102" s="246"/>
    </row>
    <row r="103" s="203" customFormat="1" ht="63" outlineLevel="1" spans="1:15">
      <c r="A103" s="227">
        <v>6</v>
      </c>
      <c r="B103" s="238" t="s">
        <v>205</v>
      </c>
      <c r="C103" s="238" t="s">
        <v>206</v>
      </c>
      <c r="D103" s="227" t="s">
        <v>72</v>
      </c>
      <c r="E103" s="217">
        <v>8.12</v>
      </c>
      <c r="F103" s="228">
        <v>120</v>
      </c>
      <c r="G103" s="233">
        <v>380</v>
      </c>
      <c r="H103" s="230">
        <v>40</v>
      </c>
      <c r="I103" s="247">
        <f t="shared" si="8"/>
        <v>51.3</v>
      </c>
      <c r="J103" s="248">
        <f t="shared" si="9"/>
        <v>53.217</v>
      </c>
      <c r="K103" s="251">
        <f t="shared" si="10"/>
        <v>644.517</v>
      </c>
      <c r="L103" s="217">
        <f t="shared" si="11"/>
        <v>5233.47804</v>
      </c>
      <c r="M103" s="252"/>
      <c r="N103" s="254"/>
      <c r="O103" s="246"/>
    </row>
    <row r="104" s="203" customFormat="1" ht="52.5" outlineLevel="1" spans="1:15">
      <c r="A104" s="227">
        <v>7</v>
      </c>
      <c r="B104" s="238" t="s">
        <v>207</v>
      </c>
      <c r="C104" s="238" t="s">
        <v>208</v>
      </c>
      <c r="D104" s="227" t="s">
        <v>72</v>
      </c>
      <c r="E104" s="217">
        <v>3.28</v>
      </c>
      <c r="F104" s="228">
        <v>120</v>
      </c>
      <c r="G104" s="233">
        <v>380</v>
      </c>
      <c r="H104" s="230">
        <v>40</v>
      </c>
      <c r="I104" s="247">
        <f t="shared" si="8"/>
        <v>51.3</v>
      </c>
      <c r="J104" s="248">
        <f t="shared" si="9"/>
        <v>53.217</v>
      </c>
      <c r="K104" s="251">
        <f t="shared" si="10"/>
        <v>644.517</v>
      </c>
      <c r="L104" s="217">
        <f t="shared" si="11"/>
        <v>2114.01576</v>
      </c>
      <c r="M104" s="252"/>
      <c r="N104" s="254"/>
      <c r="O104" s="246"/>
    </row>
    <row r="105" s="203" customFormat="1" ht="42" outlineLevel="1" spans="1:15">
      <c r="A105" s="227">
        <v>8</v>
      </c>
      <c r="B105" s="238" t="s">
        <v>209</v>
      </c>
      <c r="C105" s="238" t="s">
        <v>210</v>
      </c>
      <c r="D105" s="227" t="s">
        <v>72</v>
      </c>
      <c r="E105" s="217">
        <v>0.43</v>
      </c>
      <c r="F105" s="228">
        <v>120</v>
      </c>
      <c r="G105" s="233">
        <v>390</v>
      </c>
      <c r="H105" s="230">
        <v>40</v>
      </c>
      <c r="I105" s="247">
        <f t="shared" si="8"/>
        <v>52.25</v>
      </c>
      <c r="J105" s="248">
        <f t="shared" si="9"/>
        <v>54.2025</v>
      </c>
      <c r="K105" s="251">
        <f t="shared" si="10"/>
        <v>656.4525</v>
      </c>
      <c r="L105" s="217">
        <f t="shared" si="11"/>
        <v>282.274575</v>
      </c>
      <c r="M105" s="252"/>
      <c r="N105" s="254"/>
      <c r="O105" s="246"/>
    </row>
    <row r="106" s="203" customFormat="1" ht="11.25" outlineLevel="1" spans="1:15">
      <c r="A106" s="227"/>
      <c r="B106" s="238" t="s">
        <v>211</v>
      </c>
      <c r="C106" s="238"/>
      <c r="D106" s="227"/>
      <c r="E106" s="261"/>
      <c r="F106" s="259"/>
      <c r="G106" s="259"/>
      <c r="H106" s="259"/>
      <c r="I106" s="247">
        <f t="shared" si="8"/>
        <v>0</v>
      </c>
      <c r="J106" s="248">
        <f t="shared" si="9"/>
        <v>0</v>
      </c>
      <c r="K106" s="251">
        <f t="shared" si="10"/>
        <v>0</v>
      </c>
      <c r="L106" s="217">
        <f t="shared" si="11"/>
        <v>0</v>
      </c>
      <c r="M106" s="252"/>
      <c r="N106" s="254"/>
      <c r="O106" s="246"/>
    </row>
    <row r="107" s="203" customFormat="1" ht="45" customHeight="1" outlineLevel="1" spans="1:15">
      <c r="A107" s="227"/>
      <c r="B107" s="238" t="s">
        <v>212</v>
      </c>
      <c r="C107" s="238" t="s">
        <v>213</v>
      </c>
      <c r="D107" s="227" t="s">
        <v>214</v>
      </c>
      <c r="E107" s="261">
        <v>96</v>
      </c>
      <c r="F107" s="228">
        <v>12</v>
      </c>
      <c r="G107" s="262">
        <v>25</v>
      </c>
      <c r="H107" s="263">
        <v>5</v>
      </c>
      <c r="I107" s="247">
        <f t="shared" si="8"/>
        <v>3.99</v>
      </c>
      <c r="J107" s="248">
        <f t="shared" si="9"/>
        <v>4.1391</v>
      </c>
      <c r="K107" s="251">
        <f t="shared" si="10"/>
        <v>50.1291</v>
      </c>
      <c r="L107" s="217">
        <f t="shared" si="11"/>
        <v>4812.3936</v>
      </c>
      <c r="M107" s="252"/>
      <c r="N107" s="254"/>
      <c r="O107" s="246"/>
    </row>
    <row r="108" s="203" customFormat="1" ht="42" outlineLevel="1" spans="1:15">
      <c r="A108" s="227">
        <v>1</v>
      </c>
      <c r="B108" s="238" t="s">
        <v>215</v>
      </c>
      <c r="C108" s="238" t="s">
        <v>216</v>
      </c>
      <c r="D108" s="227" t="s">
        <v>84</v>
      </c>
      <c r="E108" s="264">
        <v>2.038</v>
      </c>
      <c r="F108" s="228">
        <v>3020</v>
      </c>
      <c r="G108" s="229">
        <v>4750</v>
      </c>
      <c r="H108" s="230">
        <v>790</v>
      </c>
      <c r="I108" s="247">
        <f t="shared" si="8"/>
        <v>813.2</v>
      </c>
      <c r="J108" s="248">
        <f t="shared" si="9"/>
        <v>843.588</v>
      </c>
      <c r="K108" s="251">
        <f t="shared" si="10"/>
        <v>10216.788</v>
      </c>
      <c r="L108" s="217">
        <f t="shared" si="11"/>
        <v>20821.813944</v>
      </c>
      <c r="M108" s="252"/>
      <c r="N108" s="249" t="s">
        <v>217</v>
      </c>
      <c r="O108" s="246"/>
    </row>
    <row r="109" s="203" customFormat="1" ht="63" outlineLevel="1" spans="1:15">
      <c r="A109" s="227">
        <v>2</v>
      </c>
      <c r="B109" s="238" t="s">
        <v>218</v>
      </c>
      <c r="C109" s="238" t="s">
        <v>219</v>
      </c>
      <c r="D109" s="227" t="s">
        <v>84</v>
      </c>
      <c r="E109" s="264">
        <v>1.23</v>
      </c>
      <c r="F109" s="228">
        <v>3020</v>
      </c>
      <c r="G109" s="229">
        <v>4750</v>
      </c>
      <c r="H109" s="230">
        <v>790</v>
      </c>
      <c r="I109" s="247">
        <f t="shared" si="8"/>
        <v>813.2</v>
      </c>
      <c r="J109" s="248">
        <f t="shared" si="9"/>
        <v>843.588</v>
      </c>
      <c r="K109" s="251">
        <f t="shared" si="10"/>
        <v>10216.788</v>
      </c>
      <c r="L109" s="217">
        <f t="shared" si="11"/>
        <v>12566.64924</v>
      </c>
      <c r="M109" s="252"/>
      <c r="N109" s="249" t="s">
        <v>217</v>
      </c>
      <c r="O109" s="246"/>
    </row>
    <row r="110" s="203" customFormat="1" ht="31.5" outlineLevel="1" spans="1:15">
      <c r="A110" s="227">
        <v>3</v>
      </c>
      <c r="B110" s="223" t="s">
        <v>220</v>
      </c>
      <c r="C110" s="239" t="s">
        <v>221</v>
      </c>
      <c r="D110" s="240" t="s">
        <v>75</v>
      </c>
      <c r="E110" s="225">
        <v>50.75</v>
      </c>
      <c r="F110" s="228">
        <v>90</v>
      </c>
      <c r="G110" s="262">
        <v>175</v>
      </c>
      <c r="H110" s="263">
        <v>30</v>
      </c>
      <c r="I110" s="247">
        <f t="shared" si="8"/>
        <v>28.025</v>
      </c>
      <c r="J110" s="248">
        <f t="shared" si="9"/>
        <v>29.07225</v>
      </c>
      <c r="K110" s="251">
        <f t="shared" si="10"/>
        <v>352.09725</v>
      </c>
      <c r="L110" s="217">
        <f t="shared" si="11"/>
        <v>17868.9354375</v>
      </c>
      <c r="M110" s="252"/>
      <c r="N110" s="254"/>
      <c r="O110" s="246"/>
    </row>
    <row r="111" s="203" customFormat="1" ht="52.5" outlineLevel="1" spans="1:15">
      <c r="A111" s="227">
        <v>4</v>
      </c>
      <c r="B111" s="238" t="s">
        <v>222</v>
      </c>
      <c r="C111" s="238" t="s">
        <v>223</v>
      </c>
      <c r="D111" s="227" t="s">
        <v>75</v>
      </c>
      <c r="E111" s="217">
        <v>76.19</v>
      </c>
      <c r="F111" s="228">
        <v>45</v>
      </c>
      <c r="G111" s="262">
        <v>260</v>
      </c>
      <c r="H111" s="263">
        <v>15</v>
      </c>
      <c r="I111" s="247">
        <f t="shared" si="8"/>
        <v>30.4</v>
      </c>
      <c r="J111" s="248">
        <f t="shared" si="9"/>
        <v>31.536</v>
      </c>
      <c r="K111" s="251">
        <f t="shared" si="10"/>
        <v>381.936</v>
      </c>
      <c r="L111" s="217">
        <f t="shared" si="11"/>
        <v>29099.70384</v>
      </c>
      <c r="M111" s="252"/>
      <c r="N111" s="249" t="s">
        <v>224</v>
      </c>
      <c r="O111" s="246"/>
    </row>
    <row r="112" s="203" customFormat="1" ht="52.5" outlineLevel="1" spans="1:15">
      <c r="A112" s="227">
        <v>5</v>
      </c>
      <c r="B112" s="238" t="s">
        <v>225</v>
      </c>
      <c r="C112" s="238" t="s">
        <v>226</v>
      </c>
      <c r="D112" s="227" t="s">
        <v>84</v>
      </c>
      <c r="E112" s="264">
        <v>0.12</v>
      </c>
      <c r="F112" s="228">
        <v>2500</v>
      </c>
      <c r="G112" s="262">
        <v>4830</v>
      </c>
      <c r="H112" s="263">
        <v>1100</v>
      </c>
      <c r="I112" s="247">
        <f t="shared" si="8"/>
        <v>800.85</v>
      </c>
      <c r="J112" s="248">
        <f t="shared" si="9"/>
        <v>830.7765</v>
      </c>
      <c r="K112" s="251">
        <f t="shared" si="10"/>
        <v>10061.6265</v>
      </c>
      <c r="L112" s="217">
        <f t="shared" si="11"/>
        <v>1207.39518</v>
      </c>
      <c r="M112" s="252"/>
      <c r="N112" s="254"/>
      <c r="O112" s="246"/>
    </row>
    <row r="113" s="203" customFormat="1" ht="84" outlineLevel="1" spans="1:15">
      <c r="A113" s="227">
        <v>6</v>
      </c>
      <c r="B113" s="238" t="s">
        <v>227</v>
      </c>
      <c r="C113" s="238" t="s">
        <v>228</v>
      </c>
      <c r="D113" s="227" t="s">
        <v>75</v>
      </c>
      <c r="E113" s="217">
        <v>105.84</v>
      </c>
      <c r="F113" s="228">
        <v>60</v>
      </c>
      <c r="G113" s="262">
        <v>345</v>
      </c>
      <c r="H113" s="263">
        <v>20</v>
      </c>
      <c r="I113" s="247">
        <f t="shared" si="8"/>
        <v>40.375</v>
      </c>
      <c r="J113" s="248">
        <f t="shared" si="9"/>
        <v>41.88375</v>
      </c>
      <c r="K113" s="251">
        <f t="shared" si="10"/>
        <v>507.25875</v>
      </c>
      <c r="L113" s="217">
        <f t="shared" si="11"/>
        <v>53688.2661</v>
      </c>
      <c r="M113" s="252"/>
      <c r="N113" s="254"/>
      <c r="O113" s="246"/>
    </row>
    <row r="114" s="203" customFormat="1" ht="11.25" outlineLevel="1" spans="1:15">
      <c r="A114" s="239"/>
      <c r="B114" s="239" t="s">
        <v>229</v>
      </c>
      <c r="C114" s="239"/>
      <c r="D114" s="240"/>
      <c r="E114" s="258"/>
      <c r="F114" s="259"/>
      <c r="G114" s="259"/>
      <c r="H114" s="259"/>
      <c r="I114" s="247">
        <f t="shared" si="8"/>
        <v>0</v>
      </c>
      <c r="J114" s="248">
        <f t="shared" si="9"/>
        <v>0</v>
      </c>
      <c r="K114" s="251">
        <f t="shared" si="10"/>
        <v>0</v>
      </c>
      <c r="L114" s="217">
        <f t="shared" si="11"/>
        <v>0</v>
      </c>
      <c r="M114" s="252"/>
      <c r="N114" s="254"/>
      <c r="O114" s="246"/>
    </row>
    <row r="115" s="203" customFormat="1" ht="52.5" outlineLevel="1" spans="1:15">
      <c r="A115" s="227">
        <v>1</v>
      </c>
      <c r="B115" s="238" t="s">
        <v>70</v>
      </c>
      <c r="C115" s="238" t="s">
        <v>112</v>
      </c>
      <c r="D115" s="227" t="s">
        <v>72</v>
      </c>
      <c r="E115" s="217">
        <v>14.9525</v>
      </c>
      <c r="F115" s="228">
        <v>3</v>
      </c>
      <c r="G115" s="229">
        <v>0</v>
      </c>
      <c r="H115" s="230">
        <v>7</v>
      </c>
      <c r="I115" s="247">
        <f t="shared" si="8"/>
        <v>0.95</v>
      </c>
      <c r="J115" s="248">
        <f t="shared" si="9"/>
        <v>0.9855</v>
      </c>
      <c r="K115" s="251">
        <f t="shared" si="10"/>
        <v>11.9355</v>
      </c>
      <c r="L115" s="217">
        <f t="shared" si="11"/>
        <v>178.46556375</v>
      </c>
      <c r="M115" s="252"/>
      <c r="N115" s="254"/>
      <c r="O115" s="246"/>
    </row>
    <row r="116" s="203" customFormat="1" ht="31.5" outlineLevel="1" spans="1:15">
      <c r="A116" s="227">
        <v>2</v>
      </c>
      <c r="B116" s="238" t="s">
        <v>73</v>
      </c>
      <c r="C116" s="238" t="s">
        <v>113</v>
      </c>
      <c r="D116" s="227" t="s">
        <v>75</v>
      </c>
      <c r="E116" s="217">
        <v>56.37</v>
      </c>
      <c r="F116" s="228">
        <v>1.2</v>
      </c>
      <c r="G116" s="233">
        <v>0</v>
      </c>
      <c r="H116" s="230">
        <v>1.5</v>
      </c>
      <c r="I116" s="247">
        <f t="shared" si="8"/>
        <v>0.2565</v>
      </c>
      <c r="J116" s="248">
        <f t="shared" si="9"/>
        <v>0.266085</v>
      </c>
      <c r="K116" s="251">
        <f t="shared" si="10"/>
        <v>3.222585</v>
      </c>
      <c r="L116" s="217">
        <f t="shared" si="11"/>
        <v>181.65711645</v>
      </c>
      <c r="M116" s="252"/>
      <c r="N116" s="254"/>
      <c r="O116" s="246"/>
    </row>
    <row r="117" s="203" customFormat="1" ht="42" outlineLevel="1" spans="1:15">
      <c r="A117" s="227">
        <v>3</v>
      </c>
      <c r="B117" s="238" t="s">
        <v>76</v>
      </c>
      <c r="C117" s="238" t="s">
        <v>230</v>
      </c>
      <c r="D117" s="227" t="s">
        <v>72</v>
      </c>
      <c r="E117" s="217">
        <f>E118</f>
        <v>6.497</v>
      </c>
      <c r="F117" s="228">
        <v>13</v>
      </c>
      <c r="G117" s="229">
        <v>103</v>
      </c>
      <c r="H117" s="230">
        <v>15</v>
      </c>
      <c r="I117" s="247">
        <f t="shared" si="8"/>
        <v>12.445</v>
      </c>
      <c r="J117" s="248">
        <f t="shared" si="9"/>
        <v>12.91005</v>
      </c>
      <c r="K117" s="251">
        <f t="shared" si="10"/>
        <v>156.35505</v>
      </c>
      <c r="L117" s="217">
        <f t="shared" si="11"/>
        <v>1015.83875985</v>
      </c>
      <c r="M117" s="252"/>
      <c r="N117" s="254"/>
      <c r="O117" s="246"/>
    </row>
    <row r="118" s="203" customFormat="1" ht="63" outlineLevel="1" spans="1:15">
      <c r="A118" s="227">
        <v>4</v>
      </c>
      <c r="B118" s="238" t="s">
        <v>115</v>
      </c>
      <c r="C118" s="238" t="s">
        <v>144</v>
      </c>
      <c r="D118" s="227" t="s">
        <v>72</v>
      </c>
      <c r="E118" s="217">
        <v>6.497</v>
      </c>
      <c r="F118" s="228">
        <f>G118*0.19</f>
        <v>65.55</v>
      </c>
      <c r="G118" s="229">
        <v>345</v>
      </c>
      <c r="H118" s="230">
        <f>G118*0.05</f>
        <v>17.25</v>
      </c>
      <c r="I118" s="247">
        <f t="shared" si="8"/>
        <v>40.641</v>
      </c>
      <c r="J118" s="248">
        <f t="shared" si="9"/>
        <v>42.15969</v>
      </c>
      <c r="K118" s="251">
        <f t="shared" si="10"/>
        <v>510.60069</v>
      </c>
      <c r="L118" s="217">
        <f t="shared" si="11"/>
        <v>3317.37268293</v>
      </c>
      <c r="M118" s="252"/>
      <c r="N118" s="254"/>
      <c r="O118" s="246"/>
    </row>
    <row r="119" s="203" customFormat="1" ht="52.5" outlineLevel="1" spans="1:15">
      <c r="A119" s="227">
        <v>5</v>
      </c>
      <c r="B119" s="255" t="s">
        <v>231</v>
      </c>
      <c r="C119" s="238" t="s">
        <v>232</v>
      </c>
      <c r="D119" s="240" t="s">
        <v>75</v>
      </c>
      <c r="E119" s="226">
        <v>168.58</v>
      </c>
      <c r="F119" s="228">
        <v>48.5</v>
      </c>
      <c r="G119" s="229">
        <f>G43</f>
        <v>70.62</v>
      </c>
      <c r="H119" s="230">
        <f>H43</f>
        <v>13.95</v>
      </c>
      <c r="I119" s="247">
        <f t="shared" si="8"/>
        <v>12.64165</v>
      </c>
      <c r="J119" s="248">
        <f t="shared" si="9"/>
        <v>13.1140485</v>
      </c>
      <c r="K119" s="251">
        <f t="shared" si="10"/>
        <v>158.8256985</v>
      </c>
      <c r="L119" s="217">
        <f t="shared" si="11"/>
        <v>26774.83625313</v>
      </c>
      <c r="M119" s="252"/>
      <c r="N119" s="232" t="s">
        <v>89</v>
      </c>
      <c r="O119" s="246"/>
    </row>
    <row r="120" s="203" customFormat="1" ht="31.5" outlineLevel="1" spans="1:15">
      <c r="A120" s="227">
        <v>6</v>
      </c>
      <c r="B120" s="255" t="s">
        <v>233</v>
      </c>
      <c r="C120" s="223" t="s">
        <v>234</v>
      </c>
      <c r="D120" s="224" t="s">
        <v>75</v>
      </c>
      <c r="E120" s="225">
        <f>7.5+19.91</f>
        <v>27.41</v>
      </c>
      <c r="F120" s="228">
        <v>55.2</v>
      </c>
      <c r="G120" s="233">
        <v>230</v>
      </c>
      <c r="H120" s="230">
        <v>17</v>
      </c>
      <c r="I120" s="247">
        <f t="shared" si="8"/>
        <v>28.709</v>
      </c>
      <c r="J120" s="248">
        <f t="shared" si="9"/>
        <v>29.78181</v>
      </c>
      <c r="K120" s="251">
        <f t="shared" si="10"/>
        <v>360.69081</v>
      </c>
      <c r="L120" s="217">
        <f t="shared" si="11"/>
        <v>9886.5351021</v>
      </c>
      <c r="M120" s="252"/>
      <c r="N120" s="254"/>
      <c r="O120" s="246"/>
    </row>
    <row r="121" s="203" customFormat="1" ht="42" outlineLevel="1" spans="1:15">
      <c r="A121" s="227">
        <v>7</v>
      </c>
      <c r="B121" s="255" t="s">
        <v>233</v>
      </c>
      <c r="C121" s="238" t="s">
        <v>235</v>
      </c>
      <c r="D121" s="240" t="s">
        <v>75</v>
      </c>
      <c r="E121" s="226">
        <v>3.57</v>
      </c>
      <c r="F121" s="228">
        <v>55.2</v>
      </c>
      <c r="G121" s="233">
        <v>80.5</v>
      </c>
      <c r="H121" s="230">
        <f>H119</f>
        <v>13.95</v>
      </c>
      <c r="I121" s="247">
        <f t="shared" si="8"/>
        <v>14.21675</v>
      </c>
      <c r="J121" s="248">
        <f t="shared" si="9"/>
        <v>14.7480075</v>
      </c>
      <c r="K121" s="251">
        <f t="shared" si="10"/>
        <v>178.6147575</v>
      </c>
      <c r="L121" s="217">
        <f t="shared" si="11"/>
        <v>637.654684275</v>
      </c>
      <c r="M121" s="252"/>
      <c r="N121" s="254"/>
      <c r="O121" s="246"/>
    </row>
    <row r="122" s="203" customFormat="1" ht="42" outlineLevel="1" spans="1:15">
      <c r="A122" s="227">
        <v>8</v>
      </c>
      <c r="B122" s="238" t="s">
        <v>236</v>
      </c>
      <c r="C122" s="238" t="s">
        <v>237</v>
      </c>
      <c r="D122" s="227" t="s">
        <v>75</v>
      </c>
      <c r="E122" s="217">
        <v>24.84</v>
      </c>
      <c r="F122" s="228">
        <v>48.5</v>
      </c>
      <c r="G122" s="229">
        <f>G119</f>
        <v>70.62</v>
      </c>
      <c r="H122" s="230">
        <f>H119</f>
        <v>13.95</v>
      </c>
      <c r="I122" s="247">
        <f t="shared" si="8"/>
        <v>12.64165</v>
      </c>
      <c r="J122" s="248">
        <f t="shared" si="9"/>
        <v>13.1140485</v>
      </c>
      <c r="K122" s="251">
        <f t="shared" si="10"/>
        <v>158.8256985</v>
      </c>
      <c r="L122" s="217">
        <f t="shared" si="11"/>
        <v>3945.23035074</v>
      </c>
      <c r="M122" s="252"/>
      <c r="N122" s="232" t="s">
        <v>89</v>
      </c>
      <c r="O122" s="246"/>
    </row>
    <row r="123" s="203" customFormat="1" ht="30" customHeight="1" outlineLevel="1" spans="1:15">
      <c r="A123" s="240">
        <v>6</v>
      </c>
      <c r="B123" s="238" t="s">
        <v>238</v>
      </c>
      <c r="C123" s="238" t="s">
        <v>239</v>
      </c>
      <c r="D123" s="227" t="s">
        <v>75</v>
      </c>
      <c r="E123" s="217">
        <v>3.39</v>
      </c>
      <c r="F123" s="228">
        <v>40</v>
      </c>
      <c r="G123" s="229">
        <v>65</v>
      </c>
      <c r="H123" s="230">
        <f>H122</f>
        <v>13.95</v>
      </c>
      <c r="I123" s="247">
        <f t="shared" si="8"/>
        <v>11.30025</v>
      </c>
      <c r="J123" s="248">
        <f t="shared" si="9"/>
        <v>11.7225225</v>
      </c>
      <c r="K123" s="251">
        <f t="shared" si="10"/>
        <v>141.9727725</v>
      </c>
      <c r="L123" s="217">
        <f t="shared" si="11"/>
        <v>481.287698775</v>
      </c>
      <c r="M123" s="252"/>
      <c r="N123" s="254"/>
      <c r="O123" s="246"/>
    </row>
    <row r="124" s="203" customFormat="1" ht="63" outlineLevel="1" spans="1:15">
      <c r="A124" s="227">
        <v>10</v>
      </c>
      <c r="B124" s="223" t="s">
        <v>240</v>
      </c>
      <c r="C124" s="223" t="s">
        <v>241</v>
      </c>
      <c r="D124" s="224" t="s">
        <v>75</v>
      </c>
      <c r="E124" s="225">
        <v>0.9</v>
      </c>
      <c r="F124" s="228">
        <v>300</v>
      </c>
      <c r="G124" s="233">
        <v>1469</v>
      </c>
      <c r="H124" s="230">
        <v>150</v>
      </c>
      <c r="I124" s="247">
        <f t="shared" si="8"/>
        <v>182.305</v>
      </c>
      <c r="J124" s="248">
        <f t="shared" si="9"/>
        <v>189.11745</v>
      </c>
      <c r="K124" s="251">
        <f t="shared" si="10"/>
        <v>2290.42245</v>
      </c>
      <c r="L124" s="217">
        <f t="shared" si="11"/>
        <v>2061.380205</v>
      </c>
      <c r="M124" s="252"/>
      <c r="N124" s="254"/>
      <c r="O124" s="246"/>
    </row>
    <row r="125" s="203" customFormat="1" ht="11.25" spans="1:15">
      <c r="A125" s="221" t="s">
        <v>242</v>
      </c>
      <c r="B125" s="222" t="s">
        <v>243</v>
      </c>
      <c r="C125" s="238"/>
      <c r="D125" s="240"/>
      <c r="E125" s="258"/>
      <c r="F125" s="259"/>
      <c r="G125" s="259"/>
      <c r="H125" s="259"/>
      <c r="I125" s="247">
        <f t="shared" si="8"/>
        <v>0</v>
      </c>
      <c r="J125" s="248">
        <f t="shared" si="9"/>
        <v>0</v>
      </c>
      <c r="K125" s="251">
        <f t="shared" si="10"/>
        <v>0</v>
      </c>
      <c r="L125" s="217">
        <f t="shared" si="11"/>
        <v>0</v>
      </c>
      <c r="M125" s="252"/>
      <c r="N125" s="254"/>
      <c r="O125" s="246"/>
    </row>
    <row r="126" s="203" customFormat="1" ht="52.5" outlineLevel="1" spans="1:15">
      <c r="A126" s="240">
        <v>1</v>
      </c>
      <c r="B126" s="238" t="s">
        <v>70</v>
      </c>
      <c r="C126" s="238" t="s">
        <v>112</v>
      </c>
      <c r="D126" s="227" t="s">
        <v>72</v>
      </c>
      <c r="E126" s="217">
        <f>0.12*40.36</f>
        <v>4.8432</v>
      </c>
      <c r="F126" s="228">
        <v>3</v>
      </c>
      <c r="G126" s="229">
        <v>0</v>
      </c>
      <c r="H126" s="230">
        <v>7</v>
      </c>
      <c r="I126" s="247">
        <f t="shared" si="8"/>
        <v>0.95</v>
      </c>
      <c r="J126" s="248">
        <f t="shared" si="9"/>
        <v>0.9855</v>
      </c>
      <c r="K126" s="251">
        <f t="shared" si="10"/>
        <v>11.9355</v>
      </c>
      <c r="L126" s="217">
        <f t="shared" si="11"/>
        <v>57.8060136</v>
      </c>
      <c r="M126" s="252"/>
      <c r="N126" s="254"/>
      <c r="O126" s="246"/>
    </row>
    <row r="127" s="203" customFormat="1" ht="31.5" outlineLevel="1" spans="1:15">
      <c r="A127" s="240">
        <v>2</v>
      </c>
      <c r="B127" s="238" t="s">
        <v>73</v>
      </c>
      <c r="C127" s="238" t="s">
        <v>244</v>
      </c>
      <c r="D127" s="227" t="s">
        <v>75</v>
      </c>
      <c r="E127" s="217">
        <v>40.36</v>
      </c>
      <c r="F127" s="228">
        <v>1.2</v>
      </c>
      <c r="G127" s="233">
        <v>0</v>
      </c>
      <c r="H127" s="230">
        <v>1.5</v>
      </c>
      <c r="I127" s="247">
        <f t="shared" si="8"/>
        <v>0.2565</v>
      </c>
      <c r="J127" s="248">
        <f t="shared" si="9"/>
        <v>0.266085</v>
      </c>
      <c r="K127" s="251">
        <f t="shared" si="10"/>
        <v>3.222585</v>
      </c>
      <c r="L127" s="217">
        <f t="shared" si="11"/>
        <v>130.0635306</v>
      </c>
      <c r="M127" s="252"/>
      <c r="N127" s="254"/>
      <c r="O127" s="246"/>
    </row>
    <row r="128" s="203" customFormat="1" ht="42" outlineLevel="1" spans="1:15">
      <c r="A128" s="240">
        <v>3</v>
      </c>
      <c r="B128" s="238" t="s">
        <v>76</v>
      </c>
      <c r="C128" s="238" t="s">
        <v>230</v>
      </c>
      <c r="D128" s="227" t="s">
        <v>72</v>
      </c>
      <c r="E128" s="217">
        <f>40.36*0.1</f>
        <v>4.036</v>
      </c>
      <c r="F128" s="228">
        <v>13</v>
      </c>
      <c r="G128" s="229">
        <v>103</v>
      </c>
      <c r="H128" s="230">
        <v>15</v>
      </c>
      <c r="I128" s="247">
        <f t="shared" si="8"/>
        <v>12.445</v>
      </c>
      <c r="J128" s="248">
        <f t="shared" si="9"/>
        <v>12.91005</v>
      </c>
      <c r="K128" s="251">
        <f t="shared" si="10"/>
        <v>156.35505</v>
      </c>
      <c r="L128" s="217">
        <f t="shared" si="11"/>
        <v>631.0489818</v>
      </c>
      <c r="M128" s="252"/>
      <c r="N128" s="254"/>
      <c r="O128" s="246"/>
    </row>
    <row r="129" s="203" customFormat="1" ht="63" outlineLevel="1" spans="1:15">
      <c r="A129" s="240">
        <v>4</v>
      </c>
      <c r="B129" s="238" t="s">
        <v>115</v>
      </c>
      <c r="C129" s="238" t="s">
        <v>144</v>
      </c>
      <c r="D129" s="227" t="s">
        <v>72</v>
      </c>
      <c r="E129" s="217">
        <f>40.36*0.1</f>
        <v>4.036</v>
      </c>
      <c r="F129" s="228">
        <f>G129*0.19</f>
        <v>65.55</v>
      </c>
      <c r="G129" s="229">
        <v>345</v>
      </c>
      <c r="H129" s="230">
        <f>G129*0.05</f>
        <v>17.25</v>
      </c>
      <c r="I129" s="247">
        <f t="shared" si="8"/>
        <v>40.641</v>
      </c>
      <c r="J129" s="248">
        <f t="shared" si="9"/>
        <v>42.15969</v>
      </c>
      <c r="K129" s="251">
        <f t="shared" si="10"/>
        <v>510.60069</v>
      </c>
      <c r="L129" s="217">
        <f t="shared" si="11"/>
        <v>2060.78438484</v>
      </c>
      <c r="M129" s="252"/>
      <c r="N129" s="254"/>
      <c r="O129" s="246"/>
    </row>
    <row r="130" s="203" customFormat="1" ht="52.5" outlineLevel="1" spans="1:15">
      <c r="A130" s="240">
        <v>5</v>
      </c>
      <c r="B130" s="255" t="s">
        <v>245</v>
      </c>
      <c r="C130" s="223" t="s">
        <v>183</v>
      </c>
      <c r="D130" s="224" t="s">
        <v>72</v>
      </c>
      <c r="E130" s="225">
        <v>0.99</v>
      </c>
      <c r="F130" s="228">
        <v>210</v>
      </c>
      <c r="G130" s="233">
        <v>270</v>
      </c>
      <c r="H130" s="230">
        <v>27</v>
      </c>
      <c r="I130" s="247">
        <f t="shared" si="8"/>
        <v>48.165</v>
      </c>
      <c r="J130" s="248">
        <f t="shared" si="9"/>
        <v>49.96485</v>
      </c>
      <c r="K130" s="251">
        <f t="shared" si="10"/>
        <v>605.12985</v>
      </c>
      <c r="L130" s="217">
        <f t="shared" si="11"/>
        <v>599.0785515</v>
      </c>
      <c r="M130" s="252"/>
      <c r="N130" s="254"/>
      <c r="O130" s="246"/>
    </row>
    <row r="131" s="203" customFormat="1" ht="42" outlineLevel="1" spans="1:15">
      <c r="A131" s="240">
        <v>6</v>
      </c>
      <c r="B131" s="238" t="s">
        <v>246</v>
      </c>
      <c r="C131" s="238" t="s">
        <v>247</v>
      </c>
      <c r="D131" s="227" t="s">
        <v>75</v>
      </c>
      <c r="E131" s="217">
        <v>17.51</v>
      </c>
      <c r="F131" s="228">
        <v>40</v>
      </c>
      <c r="G131" s="229">
        <v>65</v>
      </c>
      <c r="H131" s="230">
        <f>H123</f>
        <v>13.95</v>
      </c>
      <c r="I131" s="247">
        <f t="shared" si="8"/>
        <v>11.30025</v>
      </c>
      <c r="J131" s="248">
        <f t="shared" si="9"/>
        <v>11.7225225</v>
      </c>
      <c r="K131" s="251">
        <f t="shared" si="10"/>
        <v>141.9727725</v>
      </c>
      <c r="L131" s="217">
        <f t="shared" si="11"/>
        <v>2485.943246475</v>
      </c>
      <c r="M131" s="252"/>
      <c r="N131" s="254"/>
      <c r="O131" s="246"/>
    </row>
    <row r="132" s="203" customFormat="1" ht="73.5" outlineLevel="1" spans="1:15">
      <c r="A132" s="240">
        <v>7</v>
      </c>
      <c r="B132" s="223" t="s">
        <v>248</v>
      </c>
      <c r="C132" s="223" t="s">
        <v>249</v>
      </c>
      <c r="D132" s="224" t="s">
        <v>75</v>
      </c>
      <c r="E132" s="225">
        <v>27.45</v>
      </c>
      <c r="F132" s="228">
        <v>84</v>
      </c>
      <c r="G132" s="233">
        <v>178.25</v>
      </c>
      <c r="H132" s="230">
        <v>65</v>
      </c>
      <c r="I132" s="247">
        <f t="shared" si="8"/>
        <v>31.08875</v>
      </c>
      <c r="J132" s="248">
        <f t="shared" si="9"/>
        <v>32.2504875</v>
      </c>
      <c r="K132" s="251">
        <f t="shared" si="10"/>
        <v>390.5892375</v>
      </c>
      <c r="L132" s="217">
        <f t="shared" si="11"/>
        <v>10721.674569375</v>
      </c>
      <c r="M132" s="252"/>
      <c r="N132" s="254"/>
      <c r="O132" s="246"/>
    </row>
    <row r="133" s="203" customFormat="1" ht="11.25" spans="1:15">
      <c r="A133" s="241" t="s">
        <v>250</v>
      </c>
      <c r="B133" s="222" t="s">
        <v>251</v>
      </c>
      <c r="C133" s="239"/>
      <c r="D133" s="240"/>
      <c r="E133" s="268"/>
      <c r="F133" s="259"/>
      <c r="G133" s="259"/>
      <c r="H133" s="259"/>
      <c r="I133" s="247">
        <f t="shared" si="8"/>
        <v>0</v>
      </c>
      <c r="J133" s="248">
        <f t="shared" si="9"/>
        <v>0</v>
      </c>
      <c r="K133" s="251">
        <f t="shared" si="10"/>
        <v>0</v>
      </c>
      <c r="L133" s="217">
        <f t="shared" si="11"/>
        <v>0</v>
      </c>
      <c r="M133" s="252"/>
      <c r="N133" s="254"/>
      <c r="O133" s="246"/>
    </row>
    <row r="134" s="203" customFormat="1" ht="52.5" outlineLevel="1" spans="1:15">
      <c r="A134" s="224">
        <v>1</v>
      </c>
      <c r="B134" s="223" t="s">
        <v>70</v>
      </c>
      <c r="C134" s="223" t="s">
        <v>71</v>
      </c>
      <c r="D134" s="224" t="s">
        <v>72</v>
      </c>
      <c r="E134" s="225">
        <v>8.43</v>
      </c>
      <c r="F134" s="228">
        <v>3</v>
      </c>
      <c r="G134" s="229">
        <v>0</v>
      </c>
      <c r="H134" s="230">
        <v>7</v>
      </c>
      <c r="I134" s="247">
        <f t="shared" si="8"/>
        <v>0.95</v>
      </c>
      <c r="J134" s="248">
        <f t="shared" si="9"/>
        <v>0.9855</v>
      </c>
      <c r="K134" s="251">
        <f t="shared" si="10"/>
        <v>11.9355</v>
      </c>
      <c r="L134" s="217">
        <f t="shared" si="11"/>
        <v>100.616265</v>
      </c>
      <c r="M134" s="252"/>
      <c r="N134" s="254"/>
      <c r="O134" s="246"/>
    </row>
    <row r="135" s="203" customFormat="1" ht="31.5" outlineLevel="1" spans="1:15">
      <c r="A135" s="224">
        <v>2</v>
      </c>
      <c r="B135" s="223" t="s">
        <v>73</v>
      </c>
      <c r="C135" s="223" t="s">
        <v>137</v>
      </c>
      <c r="D135" s="224" t="s">
        <v>75</v>
      </c>
      <c r="E135" s="226">
        <v>9.36</v>
      </c>
      <c r="F135" s="228">
        <v>1.2</v>
      </c>
      <c r="G135" s="233">
        <v>0</v>
      </c>
      <c r="H135" s="230">
        <v>1.5</v>
      </c>
      <c r="I135" s="247">
        <f t="shared" ref="I135:I198" si="12">(F135+G135+H135)*$I$4</f>
        <v>0.2565</v>
      </c>
      <c r="J135" s="248">
        <f t="shared" ref="J135:J198" si="13">(F135+G135+H135+I135)*$J$4</f>
        <v>0.266085</v>
      </c>
      <c r="K135" s="251">
        <f t="shared" ref="K135:K198" si="14">F135+G135+H135+I135+J135</f>
        <v>3.222585</v>
      </c>
      <c r="L135" s="217">
        <f t="shared" ref="L135:L198" si="15">K135*E135</f>
        <v>30.1633956</v>
      </c>
      <c r="M135" s="252"/>
      <c r="N135" s="254"/>
      <c r="O135" s="246"/>
    </row>
    <row r="136" s="203" customFormat="1" ht="31.5" outlineLevel="1" spans="1:15">
      <c r="A136" s="224">
        <v>3</v>
      </c>
      <c r="B136" s="223" t="s">
        <v>252</v>
      </c>
      <c r="C136" s="223" t="s">
        <v>253</v>
      </c>
      <c r="D136" s="224" t="s">
        <v>72</v>
      </c>
      <c r="E136" s="225">
        <v>1.4</v>
      </c>
      <c r="F136" s="228">
        <v>45</v>
      </c>
      <c r="G136" s="233">
        <v>90</v>
      </c>
      <c r="H136" s="230">
        <v>0.17</v>
      </c>
      <c r="I136" s="247">
        <f t="shared" si="12"/>
        <v>12.84115</v>
      </c>
      <c r="J136" s="248">
        <f t="shared" si="13"/>
        <v>13.3210035</v>
      </c>
      <c r="K136" s="251">
        <f t="shared" si="14"/>
        <v>161.3321535</v>
      </c>
      <c r="L136" s="217">
        <f t="shared" si="15"/>
        <v>225.8650149</v>
      </c>
      <c r="M136" s="252"/>
      <c r="N136" s="254"/>
      <c r="O136" s="246"/>
    </row>
    <row r="137" s="203" customFormat="1" ht="73.5" outlineLevel="1" spans="1:15">
      <c r="A137" s="224">
        <v>4</v>
      </c>
      <c r="B137" s="223" t="s">
        <v>167</v>
      </c>
      <c r="C137" s="223" t="s">
        <v>168</v>
      </c>
      <c r="D137" s="224" t="s">
        <v>72</v>
      </c>
      <c r="E137" s="225">
        <f>8.43-5.24</f>
        <v>3.19</v>
      </c>
      <c r="F137" s="228">
        <v>3</v>
      </c>
      <c r="G137" s="229">
        <v>0</v>
      </c>
      <c r="H137" s="230">
        <f>6*0+8</f>
        <v>8</v>
      </c>
      <c r="I137" s="247">
        <f t="shared" si="12"/>
        <v>1.045</v>
      </c>
      <c r="J137" s="248">
        <f t="shared" si="13"/>
        <v>1.08405</v>
      </c>
      <c r="K137" s="251">
        <f t="shared" si="14"/>
        <v>13.12905</v>
      </c>
      <c r="L137" s="217">
        <f t="shared" si="15"/>
        <v>41.8816695</v>
      </c>
      <c r="M137" s="252"/>
      <c r="N137" s="254"/>
      <c r="O137" s="246"/>
    </row>
    <row r="138" s="203" customFormat="1" ht="63" outlineLevel="1" spans="1:15">
      <c r="A138" s="224">
        <v>5</v>
      </c>
      <c r="B138" s="223" t="s">
        <v>115</v>
      </c>
      <c r="C138" s="223" t="s">
        <v>254</v>
      </c>
      <c r="D138" s="224" t="s">
        <v>72</v>
      </c>
      <c r="E138" s="225">
        <v>0.94</v>
      </c>
      <c r="F138" s="228">
        <f>G138*0.19</f>
        <v>65.55</v>
      </c>
      <c r="G138" s="229">
        <v>345</v>
      </c>
      <c r="H138" s="230">
        <f>G138*0.05</f>
        <v>17.25</v>
      </c>
      <c r="I138" s="247">
        <f t="shared" si="12"/>
        <v>40.641</v>
      </c>
      <c r="J138" s="248">
        <f t="shared" si="13"/>
        <v>42.15969</v>
      </c>
      <c r="K138" s="251">
        <f t="shared" si="14"/>
        <v>510.60069</v>
      </c>
      <c r="L138" s="217">
        <f t="shared" si="15"/>
        <v>479.9646486</v>
      </c>
      <c r="M138" s="252"/>
      <c r="N138" s="254"/>
      <c r="O138" s="246"/>
    </row>
    <row r="139" s="203" customFormat="1" ht="73.5" outlineLevel="1" spans="1:15">
      <c r="A139" s="224">
        <v>6</v>
      </c>
      <c r="B139" s="223" t="s">
        <v>255</v>
      </c>
      <c r="C139" s="223" t="s">
        <v>256</v>
      </c>
      <c r="D139" s="224" t="s">
        <v>72</v>
      </c>
      <c r="E139" s="225">
        <f>0.3*9.36</f>
        <v>2.808</v>
      </c>
      <c r="F139" s="228">
        <v>120</v>
      </c>
      <c r="G139" s="229">
        <f>G138+15</f>
        <v>360</v>
      </c>
      <c r="H139" s="230">
        <v>40</v>
      </c>
      <c r="I139" s="247">
        <f t="shared" si="12"/>
        <v>49.4</v>
      </c>
      <c r="J139" s="248">
        <f t="shared" si="13"/>
        <v>51.246</v>
      </c>
      <c r="K139" s="251">
        <f t="shared" si="14"/>
        <v>620.646</v>
      </c>
      <c r="L139" s="217">
        <f t="shared" si="15"/>
        <v>1742.773968</v>
      </c>
      <c r="M139" s="252"/>
      <c r="N139" s="254"/>
      <c r="O139" s="246"/>
    </row>
    <row r="140" s="203" customFormat="1" ht="73.5" outlineLevel="1" spans="1:15">
      <c r="A140" s="224">
        <v>7</v>
      </c>
      <c r="B140" s="223" t="s">
        <v>257</v>
      </c>
      <c r="C140" s="223" t="s">
        <v>258</v>
      </c>
      <c r="D140" s="224" t="s">
        <v>72</v>
      </c>
      <c r="E140" s="225">
        <f>0.46*9.36</f>
        <v>4.3056</v>
      </c>
      <c r="F140" s="228">
        <v>120</v>
      </c>
      <c r="G140" s="229">
        <f>G139</f>
        <v>360</v>
      </c>
      <c r="H140" s="230">
        <v>40</v>
      </c>
      <c r="I140" s="247">
        <f t="shared" si="12"/>
        <v>49.4</v>
      </c>
      <c r="J140" s="248">
        <f t="shared" si="13"/>
        <v>51.246</v>
      </c>
      <c r="K140" s="251">
        <f t="shared" si="14"/>
        <v>620.646</v>
      </c>
      <c r="L140" s="217">
        <f t="shared" si="15"/>
        <v>2672.2534176</v>
      </c>
      <c r="M140" s="252"/>
      <c r="N140" s="254"/>
      <c r="O140" s="246"/>
    </row>
    <row r="141" s="203" customFormat="1" ht="52.5" outlineLevel="1" spans="1:15">
      <c r="A141" s="224">
        <v>8</v>
      </c>
      <c r="B141" s="223" t="s">
        <v>153</v>
      </c>
      <c r="C141" s="223" t="s">
        <v>259</v>
      </c>
      <c r="D141" s="224" t="s">
        <v>84</v>
      </c>
      <c r="E141" s="231">
        <v>0.53</v>
      </c>
      <c r="F141" s="228">
        <v>1200</v>
      </c>
      <c r="G141" s="232">
        <v>4050</v>
      </c>
      <c r="H141" s="230">
        <v>150</v>
      </c>
      <c r="I141" s="247">
        <f t="shared" si="12"/>
        <v>513</v>
      </c>
      <c r="J141" s="248">
        <f t="shared" si="13"/>
        <v>532.17</v>
      </c>
      <c r="K141" s="251">
        <f t="shared" si="14"/>
        <v>6445.17</v>
      </c>
      <c r="L141" s="217">
        <f t="shared" si="15"/>
        <v>3415.9401</v>
      </c>
      <c r="M141" s="252"/>
      <c r="N141" s="254"/>
      <c r="O141" s="246"/>
    </row>
    <row r="142" s="203" customFormat="1" ht="31.5" outlineLevel="1" spans="1:15">
      <c r="A142" s="224">
        <v>9</v>
      </c>
      <c r="B142" s="223" t="s">
        <v>260</v>
      </c>
      <c r="C142" s="223" t="s">
        <v>261</v>
      </c>
      <c r="D142" s="224" t="s">
        <v>75</v>
      </c>
      <c r="E142" s="225">
        <v>48.67</v>
      </c>
      <c r="F142" s="228">
        <v>15</v>
      </c>
      <c r="G142" s="233">
        <v>12.65</v>
      </c>
      <c r="H142" s="230">
        <v>3</v>
      </c>
      <c r="I142" s="247">
        <f t="shared" si="12"/>
        <v>2.91175</v>
      </c>
      <c r="J142" s="248">
        <f t="shared" si="13"/>
        <v>3.0205575</v>
      </c>
      <c r="K142" s="251">
        <f t="shared" si="14"/>
        <v>36.5823075</v>
      </c>
      <c r="L142" s="217">
        <f t="shared" si="15"/>
        <v>1780.460906025</v>
      </c>
      <c r="M142" s="252"/>
      <c r="N142" s="254"/>
      <c r="O142" s="246"/>
    </row>
    <row r="143" s="203" customFormat="1" ht="63" outlineLevel="1" spans="1:15">
      <c r="A143" s="224">
        <v>10</v>
      </c>
      <c r="B143" s="223" t="s">
        <v>262</v>
      </c>
      <c r="C143" s="223" t="s">
        <v>263</v>
      </c>
      <c r="D143" s="224" t="s">
        <v>75</v>
      </c>
      <c r="E143" s="225">
        <v>48.67</v>
      </c>
      <c r="F143" s="228">
        <f>84*0+30</f>
        <v>30</v>
      </c>
      <c r="G143" s="233">
        <v>30.12</v>
      </c>
      <c r="H143" s="230">
        <v>3</v>
      </c>
      <c r="I143" s="247">
        <f t="shared" si="12"/>
        <v>5.9964</v>
      </c>
      <c r="J143" s="248">
        <f t="shared" si="13"/>
        <v>6.220476</v>
      </c>
      <c r="K143" s="251">
        <f t="shared" si="14"/>
        <v>75.336876</v>
      </c>
      <c r="L143" s="217">
        <f t="shared" si="15"/>
        <v>3666.64575492</v>
      </c>
      <c r="M143" s="252"/>
      <c r="N143" s="265" t="s">
        <v>190</v>
      </c>
      <c r="O143" s="253"/>
    </row>
    <row r="144" s="203" customFormat="1" ht="21" outlineLevel="1" spans="1:15">
      <c r="A144" s="224">
        <v>11</v>
      </c>
      <c r="B144" s="223" t="s">
        <v>264</v>
      </c>
      <c r="C144" s="223" t="s">
        <v>265</v>
      </c>
      <c r="D144" s="224" t="s">
        <v>75</v>
      </c>
      <c r="E144" s="225">
        <v>10</v>
      </c>
      <c r="F144" s="228">
        <v>96</v>
      </c>
      <c r="G144" s="233">
        <v>273.7</v>
      </c>
      <c r="H144" s="230">
        <v>22</v>
      </c>
      <c r="I144" s="247">
        <f t="shared" si="12"/>
        <v>37.2115</v>
      </c>
      <c r="J144" s="248">
        <f t="shared" si="13"/>
        <v>38.602035</v>
      </c>
      <c r="K144" s="251">
        <f t="shared" si="14"/>
        <v>467.513535</v>
      </c>
      <c r="L144" s="217">
        <f t="shared" si="15"/>
        <v>4675.13535</v>
      </c>
      <c r="M144" s="252"/>
      <c r="N144" s="254"/>
      <c r="O144" s="246"/>
    </row>
    <row r="145" s="203" customFormat="1" ht="11.25" outlineLevel="1" spans="1:15">
      <c r="A145" s="224">
        <v>12</v>
      </c>
      <c r="B145" s="223" t="s">
        <v>266</v>
      </c>
      <c r="C145" s="223" t="s">
        <v>267</v>
      </c>
      <c r="D145" s="224" t="s">
        <v>214</v>
      </c>
      <c r="E145" s="257">
        <v>6</v>
      </c>
      <c r="F145" s="228">
        <v>180</v>
      </c>
      <c r="G145" s="233">
        <v>897</v>
      </c>
      <c r="H145" s="230">
        <v>30</v>
      </c>
      <c r="I145" s="247">
        <f t="shared" si="12"/>
        <v>105.165</v>
      </c>
      <c r="J145" s="248">
        <f t="shared" si="13"/>
        <v>109.09485</v>
      </c>
      <c r="K145" s="251">
        <f t="shared" si="14"/>
        <v>1321.25985</v>
      </c>
      <c r="L145" s="217">
        <f t="shared" si="15"/>
        <v>7927.5591</v>
      </c>
      <c r="M145" s="252"/>
      <c r="N145" s="254"/>
      <c r="O145" s="246"/>
    </row>
    <row r="146" s="203" customFormat="1" ht="11.25" outlineLevel="1" spans="1:15">
      <c r="A146" s="224">
        <v>13</v>
      </c>
      <c r="B146" s="223" t="s">
        <v>268</v>
      </c>
      <c r="C146" s="223" t="s">
        <v>269</v>
      </c>
      <c r="D146" s="224" t="s">
        <v>214</v>
      </c>
      <c r="E146" s="257">
        <v>4</v>
      </c>
      <c r="F146" s="228">
        <v>180</v>
      </c>
      <c r="G146" s="233">
        <v>862.5</v>
      </c>
      <c r="H146" s="230">
        <v>30</v>
      </c>
      <c r="I146" s="247">
        <f t="shared" si="12"/>
        <v>101.8875</v>
      </c>
      <c r="J146" s="248">
        <f t="shared" si="13"/>
        <v>105.694875</v>
      </c>
      <c r="K146" s="251">
        <f t="shared" si="14"/>
        <v>1280.082375</v>
      </c>
      <c r="L146" s="217">
        <f t="shared" si="15"/>
        <v>5120.3295</v>
      </c>
      <c r="M146" s="252"/>
      <c r="N146" s="254"/>
      <c r="O146" s="246"/>
    </row>
    <row r="147" s="203" customFormat="1" ht="11.25" spans="1:15">
      <c r="A147" s="221" t="s">
        <v>270</v>
      </c>
      <c r="B147" s="222" t="s">
        <v>271</v>
      </c>
      <c r="C147" s="223"/>
      <c r="D147" s="224"/>
      <c r="E147" s="269"/>
      <c r="F147" s="243"/>
      <c r="G147" s="243"/>
      <c r="H147" s="244"/>
      <c r="I147" s="247">
        <f t="shared" si="12"/>
        <v>0</v>
      </c>
      <c r="J147" s="248">
        <f t="shared" si="13"/>
        <v>0</v>
      </c>
      <c r="K147" s="251">
        <f t="shared" si="14"/>
        <v>0</v>
      </c>
      <c r="L147" s="217">
        <f t="shared" si="15"/>
        <v>0</v>
      </c>
      <c r="M147" s="252"/>
      <c r="N147" s="254"/>
      <c r="O147" s="246"/>
    </row>
    <row r="148" s="203" customFormat="1" ht="52.5" outlineLevel="1" spans="1:15">
      <c r="A148" s="224">
        <v>1</v>
      </c>
      <c r="B148" s="255" t="s">
        <v>245</v>
      </c>
      <c r="C148" s="223" t="s">
        <v>272</v>
      </c>
      <c r="D148" s="224" t="s">
        <v>72</v>
      </c>
      <c r="E148" s="251">
        <v>0.532224</v>
      </c>
      <c r="F148" s="228">
        <f>F130</f>
        <v>210</v>
      </c>
      <c r="G148" s="233">
        <v>270</v>
      </c>
      <c r="H148" s="230">
        <v>10</v>
      </c>
      <c r="I148" s="247">
        <f t="shared" si="12"/>
        <v>46.55</v>
      </c>
      <c r="J148" s="248">
        <f t="shared" si="13"/>
        <v>48.2895</v>
      </c>
      <c r="K148" s="251">
        <f t="shared" si="14"/>
        <v>584.8395</v>
      </c>
      <c r="L148" s="217">
        <f t="shared" si="15"/>
        <v>311.265618048</v>
      </c>
      <c r="M148" s="252"/>
      <c r="N148" s="254"/>
      <c r="O148" s="246"/>
    </row>
    <row r="149" s="203" customFormat="1" ht="63" outlineLevel="1" spans="1:15">
      <c r="A149" s="224">
        <v>2</v>
      </c>
      <c r="B149" s="223" t="s">
        <v>115</v>
      </c>
      <c r="C149" s="223" t="s">
        <v>273</v>
      </c>
      <c r="D149" s="224" t="s">
        <v>72</v>
      </c>
      <c r="E149" s="251">
        <v>0.25344</v>
      </c>
      <c r="F149" s="228">
        <f>G149*0.19</f>
        <v>65.55</v>
      </c>
      <c r="G149" s="229">
        <v>345</v>
      </c>
      <c r="H149" s="230">
        <f>G149*0.05</f>
        <v>17.25</v>
      </c>
      <c r="I149" s="247">
        <f t="shared" si="12"/>
        <v>40.641</v>
      </c>
      <c r="J149" s="248">
        <f t="shared" si="13"/>
        <v>42.15969</v>
      </c>
      <c r="K149" s="251">
        <f t="shared" si="14"/>
        <v>510.60069</v>
      </c>
      <c r="L149" s="217">
        <f t="shared" si="15"/>
        <v>129.4066388736</v>
      </c>
      <c r="M149" s="252"/>
      <c r="N149" s="254"/>
      <c r="O149" s="246"/>
    </row>
    <row r="150" s="203" customFormat="1" ht="31.5" outlineLevel="1" spans="1:15">
      <c r="A150" s="224">
        <v>3</v>
      </c>
      <c r="B150" s="238" t="s">
        <v>274</v>
      </c>
      <c r="C150" s="238" t="s">
        <v>275</v>
      </c>
      <c r="D150" s="227" t="s">
        <v>75</v>
      </c>
      <c r="E150" s="251">
        <v>7.596</v>
      </c>
      <c r="F150" s="228">
        <v>48</v>
      </c>
      <c r="G150" s="233">
        <v>65.55</v>
      </c>
      <c r="H150" s="230">
        <v>24.91</v>
      </c>
      <c r="I150" s="247">
        <f t="shared" si="12"/>
        <v>13.1537</v>
      </c>
      <c r="J150" s="248">
        <f t="shared" si="13"/>
        <v>13.645233</v>
      </c>
      <c r="K150" s="251">
        <f t="shared" si="14"/>
        <v>165.258933</v>
      </c>
      <c r="L150" s="217">
        <f t="shared" si="15"/>
        <v>1255.306855068</v>
      </c>
      <c r="M150" s="252"/>
      <c r="N150" s="254"/>
      <c r="O150" s="246"/>
    </row>
    <row r="151" s="203" customFormat="1" ht="42" outlineLevel="1" spans="1:15">
      <c r="A151" s="224">
        <v>4</v>
      </c>
      <c r="B151" s="238" t="s">
        <v>276</v>
      </c>
      <c r="C151" s="238" t="s">
        <v>277</v>
      </c>
      <c r="D151" s="227" t="s">
        <v>107</v>
      </c>
      <c r="E151" s="251">
        <v>0.4608</v>
      </c>
      <c r="F151" s="228">
        <v>12</v>
      </c>
      <c r="G151" s="233">
        <v>11.5</v>
      </c>
      <c r="H151" s="230">
        <v>8</v>
      </c>
      <c r="I151" s="247">
        <f t="shared" si="12"/>
        <v>2.9925</v>
      </c>
      <c r="J151" s="248">
        <f t="shared" si="13"/>
        <v>3.104325</v>
      </c>
      <c r="K151" s="251">
        <f t="shared" si="14"/>
        <v>37.596825</v>
      </c>
      <c r="L151" s="217">
        <f t="shared" si="15"/>
        <v>17.32461696</v>
      </c>
      <c r="M151" s="252"/>
      <c r="N151" s="254"/>
      <c r="O151" s="246"/>
    </row>
    <row r="152" s="203" customFormat="1" ht="52.5" outlineLevel="1" spans="1:15">
      <c r="A152" s="224">
        <v>5</v>
      </c>
      <c r="B152" s="239" t="s">
        <v>278</v>
      </c>
      <c r="C152" s="270" t="s">
        <v>279</v>
      </c>
      <c r="D152" s="240" t="s">
        <v>107</v>
      </c>
      <c r="E152" s="251">
        <v>0.4608</v>
      </c>
      <c r="F152" s="228">
        <v>12</v>
      </c>
      <c r="G152" s="233">
        <v>11.5</v>
      </c>
      <c r="H152" s="230">
        <v>8</v>
      </c>
      <c r="I152" s="247">
        <f t="shared" si="12"/>
        <v>2.9925</v>
      </c>
      <c r="J152" s="248">
        <f t="shared" si="13"/>
        <v>3.104325</v>
      </c>
      <c r="K152" s="251">
        <f t="shared" si="14"/>
        <v>37.596825</v>
      </c>
      <c r="L152" s="217">
        <f t="shared" si="15"/>
        <v>17.32461696</v>
      </c>
      <c r="M152" s="252"/>
      <c r="N152" s="254"/>
      <c r="O152" s="246"/>
    </row>
    <row r="153" s="203" customFormat="1" ht="21" spans="1:15">
      <c r="A153" s="221" t="s">
        <v>280</v>
      </c>
      <c r="B153" s="222" t="s">
        <v>281</v>
      </c>
      <c r="C153" s="223"/>
      <c r="D153" s="224"/>
      <c r="E153" s="269"/>
      <c r="F153" s="259"/>
      <c r="G153" s="259"/>
      <c r="H153" s="259"/>
      <c r="I153" s="247">
        <f t="shared" si="12"/>
        <v>0</v>
      </c>
      <c r="J153" s="248">
        <f t="shared" si="13"/>
        <v>0</v>
      </c>
      <c r="K153" s="251">
        <f t="shared" si="14"/>
        <v>0</v>
      </c>
      <c r="L153" s="217">
        <f t="shared" si="15"/>
        <v>0</v>
      </c>
      <c r="M153" s="252"/>
      <c r="N153" s="254"/>
      <c r="O153" s="246"/>
    </row>
    <row r="154" s="203" customFormat="1" ht="11.25" outlineLevel="1" spans="1:15">
      <c r="A154" s="221"/>
      <c r="B154" s="223" t="s">
        <v>282</v>
      </c>
      <c r="C154" s="223"/>
      <c r="D154" s="224"/>
      <c r="E154" s="269"/>
      <c r="F154" s="259"/>
      <c r="G154" s="259"/>
      <c r="H154" s="259"/>
      <c r="I154" s="247">
        <f t="shared" si="12"/>
        <v>0</v>
      </c>
      <c r="J154" s="248">
        <f t="shared" si="13"/>
        <v>0</v>
      </c>
      <c r="K154" s="251">
        <f t="shared" si="14"/>
        <v>0</v>
      </c>
      <c r="L154" s="217">
        <f t="shared" si="15"/>
        <v>0</v>
      </c>
      <c r="M154" s="252"/>
      <c r="N154" s="254"/>
      <c r="O154" s="246"/>
    </row>
    <row r="155" s="203" customFormat="1" ht="52.5" outlineLevel="1" spans="1:15">
      <c r="A155" s="224">
        <v>1</v>
      </c>
      <c r="B155" s="223" t="s">
        <v>70</v>
      </c>
      <c r="C155" s="223" t="s">
        <v>71</v>
      </c>
      <c r="D155" s="224" t="s">
        <v>72</v>
      </c>
      <c r="E155" s="225">
        <v>19.02</v>
      </c>
      <c r="F155" s="228">
        <v>3</v>
      </c>
      <c r="G155" s="229">
        <v>0</v>
      </c>
      <c r="H155" s="230">
        <v>7</v>
      </c>
      <c r="I155" s="247">
        <f t="shared" si="12"/>
        <v>0.95</v>
      </c>
      <c r="J155" s="248">
        <f t="shared" si="13"/>
        <v>0.9855</v>
      </c>
      <c r="K155" s="251">
        <f t="shared" si="14"/>
        <v>11.9355</v>
      </c>
      <c r="L155" s="217">
        <f t="shared" si="15"/>
        <v>227.01321</v>
      </c>
      <c r="M155" s="252"/>
      <c r="N155" s="254"/>
      <c r="O155" s="246"/>
    </row>
    <row r="156" s="203" customFormat="1" ht="73.5" outlineLevel="1" spans="1:15">
      <c r="A156" s="224">
        <v>2</v>
      </c>
      <c r="B156" s="223" t="s">
        <v>167</v>
      </c>
      <c r="C156" s="223" t="s">
        <v>168</v>
      </c>
      <c r="D156" s="224" t="s">
        <v>72</v>
      </c>
      <c r="E156" s="225">
        <v>6.31</v>
      </c>
      <c r="F156" s="228">
        <v>3</v>
      </c>
      <c r="G156" s="229">
        <v>0</v>
      </c>
      <c r="H156" s="230">
        <f>6*0+8</f>
        <v>8</v>
      </c>
      <c r="I156" s="247">
        <f t="shared" si="12"/>
        <v>1.045</v>
      </c>
      <c r="J156" s="248">
        <f t="shared" si="13"/>
        <v>1.08405</v>
      </c>
      <c r="K156" s="251">
        <f t="shared" si="14"/>
        <v>13.12905</v>
      </c>
      <c r="L156" s="217">
        <f t="shared" si="15"/>
        <v>82.8443055</v>
      </c>
      <c r="M156" s="252"/>
      <c r="N156" s="254"/>
      <c r="O156" s="246"/>
    </row>
    <row r="157" s="203" customFormat="1" ht="21" outlineLevel="1" spans="1:15">
      <c r="A157" s="224">
        <v>3</v>
      </c>
      <c r="B157" s="223" t="s">
        <v>73</v>
      </c>
      <c r="C157" s="223" t="s">
        <v>74</v>
      </c>
      <c r="D157" s="224" t="s">
        <v>75</v>
      </c>
      <c r="E157" s="225">
        <v>38.74</v>
      </c>
      <c r="F157" s="228">
        <v>1.2</v>
      </c>
      <c r="G157" s="234">
        <v>0</v>
      </c>
      <c r="H157" s="230">
        <v>1.5</v>
      </c>
      <c r="I157" s="247">
        <f t="shared" si="12"/>
        <v>0.2565</v>
      </c>
      <c r="J157" s="248">
        <f t="shared" si="13"/>
        <v>0.266085</v>
      </c>
      <c r="K157" s="251">
        <f t="shared" si="14"/>
        <v>3.222585</v>
      </c>
      <c r="L157" s="217">
        <f t="shared" si="15"/>
        <v>124.8429429</v>
      </c>
      <c r="M157" s="252"/>
      <c r="N157" s="254"/>
      <c r="O157" s="246"/>
    </row>
    <row r="158" s="203" customFormat="1" ht="42" outlineLevel="1" spans="1:15">
      <c r="A158" s="224">
        <v>4</v>
      </c>
      <c r="B158" s="223" t="s">
        <v>76</v>
      </c>
      <c r="C158" s="223" t="s">
        <v>77</v>
      </c>
      <c r="D158" s="224" t="s">
        <v>72</v>
      </c>
      <c r="E158" s="225">
        <v>3.874</v>
      </c>
      <c r="F158" s="228">
        <v>13</v>
      </c>
      <c r="G158" s="229">
        <v>103</v>
      </c>
      <c r="H158" s="230">
        <v>15</v>
      </c>
      <c r="I158" s="247">
        <f t="shared" si="12"/>
        <v>12.445</v>
      </c>
      <c r="J158" s="248">
        <f t="shared" si="13"/>
        <v>12.91005</v>
      </c>
      <c r="K158" s="251">
        <f t="shared" si="14"/>
        <v>156.35505</v>
      </c>
      <c r="L158" s="217">
        <f t="shared" si="15"/>
        <v>605.7194637</v>
      </c>
      <c r="M158" s="252"/>
      <c r="N158" s="254"/>
      <c r="O158" s="246"/>
    </row>
    <row r="159" s="203" customFormat="1" ht="52.5" outlineLevel="1" spans="1:15">
      <c r="A159" s="224">
        <v>5</v>
      </c>
      <c r="B159" s="223" t="s">
        <v>115</v>
      </c>
      <c r="C159" s="223" t="s">
        <v>169</v>
      </c>
      <c r="D159" s="224" t="s">
        <v>72</v>
      </c>
      <c r="E159" s="225">
        <v>3.874</v>
      </c>
      <c r="F159" s="228">
        <f>G159*0.19</f>
        <v>65.55</v>
      </c>
      <c r="G159" s="229">
        <v>345</v>
      </c>
      <c r="H159" s="230">
        <f>G159*0.05</f>
        <v>17.25</v>
      </c>
      <c r="I159" s="247">
        <f t="shared" si="12"/>
        <v>40.641</v>
      </c>
      <c r="J159" s="248">
        <f t="shared" si="13"/>
        <v>42.15969</v>
      </c>
      <c r="K159" s="251">
        <f t="shared" si="14"/>
        <v>510.60069</v>
      </c>
      <c r="L159" s="217">
        <f t="shared" si="15"/>
        <v>1978.06707306</v>
      </c>
      <c r="M159" s="252"/>
      <c r="N159" s="254"/>
      <c r="O159" s="246"/>
    </row>
    <row r="160" s="203" customFormat="1" ht="52.5" outlineLevel="1" spans="1:15">
      <c r="A160" s="224">
        <v>6</v>
      </c>
      <c r="B160" s="223" t="s">
        <v>283</v>
      </c>
      <c r="C160" s="223" t="s">
        <v>284</v>
      </c>
      <c r="D160" s="224" t="s">
        <v>72</v>
      </c>
      <c r="E160" s="225">
        <v>6.68</v>
      </c>
      <c r="F160" s="228">
        <v>120</v>
      </c>
      <c r="G160" s="229">
        <v>370</v>
      </c>
      <c r="H160" s="230">
        <v>40</v>
      </c>
      <c r="I160" s="247">
        <f t="shared" si="12"/>
        <v>50.35</v>
      </c>
      <c r="J160" s="248">
        <f t="shared" si="13"/>
        <v>52.2315</v>
      </c>
      <c r="K160" s="251">
        <f t="shared" si="14"/>
        <v>632.5815</v>
      </c>
      <c r="L160" s="217">
        <f t="shared" si="15"/>
        <v>4225.64442</v>
      </c>
      <c r="M160" s="252"/>
      <c r="N160" s="254"/>
      <c r="O160" s="246"/>
    </row>
    <row r="161" s="203" customFormat="1" ht="63" outlineLevel="1" spans="1:15">
      <c r="A161" s="224">
        <v>7</v>
      </c>
      <c r="B161" s="223" t="s">
        <v>285</v>
      </c>
      <c r="C161" s="223" t="s">
        <v>286</v>
      </c>
      <c r="D161" s="224" t="s">
        <v>72</v>
      </c>
      <c r="E161" s="225">
        <v>2.23</v>
      </c>
      <c r="F161" s="228">
        <v>120</v>
      </c>
      <c r="G161" s="229">
        <v>370</v>
      </c>
      <c r="H161" s="230">
        <v>40</v>
      </c>
      <c r="I161" s="247">
        <f t="shared" si="12"/>
        <v>50.35</v>
      </c>
      <c r="J161" s="248">
        <f t="shared" si="13"/>
        <v>52.2315</v>
      </c>
      <c r="K161" s="251">
        <f t="shared" si="14"/>
        <v>632.5815</v>
      </c>
      <c r="L161" s="217">
        <f t="shared" si="15"/>
        <v>1410.656745</v>
      </c>
      <c r="M161" s="252"/>
      <c r="N161" s="254"/>
      <c r="O161" s="246"/>
    </row>
    <row r="162" s="203" customFormat="1" ht="52.5" outlineLevel="1" spans="1:15">
      <c r="A162" s="224">
        <v>8</v>
      </c>
      <c r="B162" s="223" t="s">
        <v>287</v>
      </c>
      <c r="C162" s="223" t="s">
        <v>288</v>
      </c>
      <c r="D162" s="224" t="s">
        <v>72</v>
      </c>
      <c r="E162" s="225">
        <v>1.3</v>
      </c>
      <c r="F162" s="228">
        <v>120</v>
      </c>
      <c r="G162" s="229">
        <v>370</v>
      </c>
      <c r="H162" s="230">
        <v>40</v>
      </c>
      <c r="I162" s="247">
        <f t="shared" si="12"/>
        <v>50.35</v>
      </c>
      <c r="J162" s="248">
        <f t="shared" si="13"/>
        <v>52.2315</v>
      </c>
      <c r="K162" s="251">
        <f t="shared" si="14"/>
        <v>632.5815</v>
      </c>
      <c r="L162" s="217">
        <f t="shared" si="15"/>
        <v>822.35595</v>
      </c>
      <c r="M162" s="252"/>
      <c r="N162" s="254"/>
      <c r="O162" s="246"/>
    </row>
    <row r="163" s="203" customFormat="1" ht="52.5" outlineLevel="1" spans="1:15">
      <c r="A163" s="224">
        <v>9</v>
      </c>
      <c r="B163" s="223" t="s">
        <v>153</v>
      </c>
      <c r="C163" s="223" t="s">
        <v>181</v>
      </c>
      <c r="D163" s="224" t="s">
        <v>84</v>
      </c>
      <c r="E163" s="231">
        <v>1.308</v>
      </c>
      <c r="F163" s="228">
        <v>1200</v>
      </c>
      <c r="G163" s="232">
        <v>4050</v>
      </c>
      <c r="H163" s="230">
        <v>150</v>
      </c>
      <c r="I163" s="247">
        <f t="shared" si="12"/>
        <v>513</v>
      </c>
      <c r="J163" s="248">
        <f t="shared" si="13"/>
        <v>532.17</v>
      </c>
      <c r="K163" s="251">
        <f t="shared" si="14"/>
        <v>6445.17</v>
      </c>
      <c r="L163" s="217">
        <f t="shared" si="15"/>
        <v>8430.28236</v>
      </c>
      <c r="M163" s="252"/>
      <c r="N163" s="254"/>
      <c r="O163" s="246"/>
    </row>
    <row r="164" s="203" customFormat="1" ht="42" outlineLevel="1" spans="1:15">
      <c r="A164" s="224">
        <v>10</v>
      </c>
      <c r="B164" s="238" t="s">
        <v>260</v>
      </c>
      <c r="C164" s="238" t="s">
        <v>289</v>
      </c>
      <c r="D164" s="227" t="s">
        <v>75</v>
      </c>
      <c r="E164" s="225">
        <v>107.66</v>
      </c>
      <c r="F164" s="228">
        <v>15.6</v>
      </c>
      <c r="G164" s="234">
        <f>G142/2*3</f>
        <v>18.975</v>
      </c>
      <c r="H164" s="235">
        <v>2.5</v>
      </c>
      <c r="I164" s="247">
        <f t="shared" si="12"/>
        <v>3.522125</v>
      </c>
      <c r="J164" s="248">
        <f t="shared" si="13"/>
        <v>3.65374125</v>
      </c>
      <c r="K164" s="251">
        <f t="shared" si="14"/>
        <v>44.25086625</v>
      </c>
      <c r="L164" s="217">
        <f t="shared" si="15"/>
        <v>4764.048260475</v>
      </c>
      <c r="M164" s="252"/>
      <c r="N164" s="254"/>
      <c r="O164" s="246"/>
    </row>
    <row r="165" s="203" customFormat="1" ht="52.5" outlineLevel="1" spans="1:15">
      <c r="A165" s="224">
        <v>11</v>
      </c>
      <c r="B165" s="238" t="s">
        <v>290</v>
      </c>
      <c r="C165" s="238" t="s">
        <v>291</v>
      </c>
      <c r="D165" s="227" t="s">
        <v>75</v>
      </c>
      <c r="E165" s="225">
        <v>107.66</v>
      </c>
      <c r="F165" s="228">
        <v>13</v>
      </c>
      <c r="G165" s="234">
        <v>50</v>
      </c>
      <c r="H165" s="235">
        <v>7</v>
      </c>
      <c r="I165" s="247">
        <f t="shared" si="12"/>
        <v>6.65</v>
      </c>
      <c r="J165" s="248">
        <f t="shared" si="13"/>
        <v>6.8985</v>
      </c>
      <c r="K165" s="251">
        <f t="shared" si="14"/>
        <v>83.5485</v>
      </c>
      <c r="L165" s="217">
        <f t="shared" si="15"/>
        <v>8994.83151</v>
      </c>
      <c r="M165" s="252"/>
      <c r="N165" s="249" t="s">
        <v>292</v>
      </c>
      <c r="O165" s="246"/>
    </row>
    <row r="166" s="203" customFormat="1" ht="31.5" outlineLevel="1" spans="1:15">
      <c r="A166" s="224">
        <v>12</v>
      </c>
      <c r="B166" s="238" t="s">
        <v>293</v>
      </c>
      <c r="C166" s="238" t="s">
        <v>294</v>
      </c>
      <c r="D166" s="227" t="s">
        <v>72</v>
      </c>
      <c r="E166" s="225">
        <f>1.4*4.55*0.18*2</f>
        <v>2.2932</v>
      </c>
      <c r="F166" s="228">
        <f>F148</f>
        <v>210</v>
      </c>
      <c r="G166" s="233">
        <f>G148</f>
        <v>270</v>
      </c>
      <c r="H166" s="230">
        <v>27</v>
      </c>
      <c r="I166" s="247">
        <f t="shared" si="12"/>
        <v>48.165</v>
      </c>
      <c r="J166" s="248">
        <f t="shared" si="13"/>
        <v>49.96485</v>
      </c>
      <c r="K166" s="251">
        <f t="shared" si="14"/>
        <v>605.12985</v>
      </c>
      <c r="L166" s="217">
        <f t="shared" si="15"/>
        <v>1387.68377202</v>
      </c>
      <c r="M166" s="252"/>
      <c r="N166" s="254"/>
      <c r="O166" s="246"/>
    </row>
    <row r="167" s="203" customFormat="1" ht="31.5" outlineLevel="1" spans="1:15">
      <c r="A167" s="224">
        <v>13</v>
      </c>
      <c r="B167" s="238" t="s">
        <v>295</v>
      </c>
      <c r="C167" s="238" t="s">
        <v>294</v>
      </c>
      <c r="D167" s="227" t="s">
        <v>72</v>
      </c>
      <c r="E167" s="225">
        <v>1.43</v>
      </c>
      <c r="F167" s="228">
        <f>F166</f>
        <v>210</v>
      </c>
      <c r="G167" s="233">
        <f>G166</f>
        <v>270</v>
      </c>
      <c r="H167" s="230">
        <v>27</v>
      </c>
      <c r="I167" s="247">
        <f t="shared" si="12"/>
        <v>48.165</v>
      </c>
      <c r="J167" s="248">
        <f t="shared" si="13"/>
        <v>49.96485</v>
      </c>
      <c r="K167" s="251">
        <f t="shared" si="14"/>
        <v>605.12985</v>
      </c>
      <c r="L167" s="217">
        <f t="shared" si="15"/>
        <v>865.3356855</v>
      </c>
      <c r="M167" s="252"/>
      <c r="N167" s="254"/>
      <c r="O167" s="246"/>
    </row>
    <row r="168" s="203" customFormat="1" ht="73.5" outlineLevel="1" spans="1:15">
      <c r="A168" s="224">
        <v>14</v>
      </c>
      <c r="B168" s="223" t="s">
        <v>296</v>
      </c>
      <c r="C168" s="223" t="s">
        <v>297</v>
      </c>
      <c r="D168" s="224" t="s">
        <v>72</v>
      </c>
      <c r="E168" s="225">
        <f>0.1*0.18*4.55*2</f>
        <v>0.1638</v>
      </c>
      <c r="F168" s="228">
        <v>120</v>
      </c>
      <c r="G168" s="234">
        <v>360</v>
      </c>
      <c r="H168" s="230">
        <v>40</v>
      </c>
      <c r="I168" s="247">
        <f t="shared" si="12"/>
        <v>49.4</v>
      </c>
      <c r="J168" s="248">
        <f t="shared" si="13"/>
        <v>51.246</v>
      </c>
      <c r="K168" s="251">
        <f t="shared" si="14"/>
        <v>620.646</v>
      </c>
      <c r="L168" s="217">
        <f t="shared" si="15"/>
        <v>101.6618148</v>
      </c>
      <c r="M168" s="252"/>
      <c r="N168" s="254"/>
      <c r="O168" s="246"/>
    </row>
    <row r="169" s="203" customFormat="1" ht="45" outlineLevel="1" spans="1:15">
      <c r="A169" s="224">
        <v>15</v>
      </c>
      <c r="B169" s="223" t="s">
        <v>298</v>
      </c>
      <c r="C169" s="223" t="s">
        <v>299</v>
      </c>
      <c r="D169" s="227" t="s">
        <v>75</v>
      </c>
      <c r="E169" s="225">
        <v>18.83</v>
      </c>
      <c r="F169" s="228">
        <v>60</v>
      </c>
      <c r="G169" s="234">
        <v>212.23</v>
      </c>
      <c r="H169" s="235">
        <v>10</v>
      </c>
      <c r="I169" s="247">
        <f t="shared" si="12"/>
        <v>26.81185</v>
      </c>
      <c r="J169" s="248">
        <f t="shared" si="13"/>
        <v>27.8137665</v>
      </c>
      <c r="K169" s="251">
        <f t="shared" si="14"/>
        <v>336.8556165</v>
      </c>
      <c r="L169" s="217">
        <f t="shared" si="15"/>
        <v>6342.991258695</v>
      </c>
      <c r="M169" s="252"/>
      <c r="N169" s="254"/>
      <c r="O169" s="246"/>
    </row>
    <row r="170" s="203" customFormat="1" ht="42" outlineLevel="1" spans="1:15">
      <c r="A170" s="224">
        <v>16</v>
      </c>
      <c r="B170" s="238" t="s">
        <v>300</v>
      </c>
      <c r="C170" s="238" t="s">
        <v>301</v>
      </c>
      <c r="D170" s="227" t="s">
        <v>75</v>
      </c>
      <c r="E170" s="217">
        <v>21.17</v>
      </c>
      <c r="F170" s="228">
        <v>42</v>
      </c>
      <c r="G170" s="234">
        <v>86.25</v>
      </c>
      <c r="H170" s="230">
        <v>17</v>
      </c>
      <c r="I170" s="247">
        <f t="shared" si="12"/>
        <v>13.79875</v>
      </c>
      <c r="J170" s="248">
        <f t="shared" si="13"/>
        <v>14.3143875</v>
      </c>
      <c r="K170" s="251">
        <f t="shared" si="14"/>
        <v>173.3631375</v>
      </c>
      <c r="L170" s="217">
        <f t="shared" si="15"/>
        <v>3670.097620875</v>
      </c>
      <c r="M170" s="252"/>
      <c r="N170" s="254"/>
      <c r="O170" s="253"/>
    </row>
    <row r="171" s="203" customFormat="1" ht="42" outlineLevel="1" spans="1:15">
      <c r="A171" s="224">
        <v>17</v>
      </c>
      <c r="B171" s="238" t="s">
        <v>300</v>
      </c>
      <c r="C171" s="238" t="s">
        <v>302</v>
      </c>
      <c r="D171" s="227" t="s">
        <v>75</v>
      </c>
      <c r="E171" s="217">
        <v>10.12</v>
      </c>
      <c r="F171" s="228">
        <v>42</v>
      </c>
      <c r="G171" s="234">
        <v>161</v>
      </c>
      <c r="H171" s="230">
        <v>17</v>
      </c>
      <c r="I171" s="247">
        <f t="shared" si="12"/>
        <v>20.9</v>
      </c>
      <c r="J171" s="248">
        <f t="shared" si="13"/>
        <v>21.681</v>
      </c>
      <c r="K171" s="251">
        <f t="shared" si="14"/>
        <v>262.581</v>
      </c>
      <c r="L171" s="217">
        <f t="shared" si="15"/>
        <v>2657.31972</v>
      </c>
      <c r="M171" s="252"/>
      <c r="N171" s="254"/>
      <c r="O171" s="253"/>
    </row>
    <row r="172" s="203" customFormat="1" ht="52.5" outlineLevel="1" spans="1:15">
      <c r="A172" s="224">
        <v>18</v>
      </c>
      <c r="B172" s="238" t="s">
        <v>303</v>
      </c>
      <c r="C172" s="270" t="s">
        <v>304</v>
      </c>
      <c r="D172" s="227" t="s">
        <v>75</v>
      </c>
      <c r="E172" s="217">
        <v>3</v>
      </c>
      <c r="F172" s="228">
        <v>42</v>
      </c>
      <c r="G172" s="234">
        <v>86.25</v>
      </c>
      <c r="H172" s="230">
        <v>17</v>
      </c>
      <c r="I172" s="247">
        <f t="shared" si="12"/>
        <v>13.79875</v>
      </c>
      <c r="J172" s="248">
        <f t="shared" si="13"/>
        <v>14.3143875</v>
      </c>
      <c r="K172" s="251">
        <f t="shared" si="14"/>
        <v>173.3631375</v>
      </c>
      <c r="L172" s="217">
        <f t="shared" si="15"/>
        <v>520.0894125</v>
      </c>
      <c r="M172" s="252"/>
      <c r="N172" s="254"/>
      <c r="O172" s="253"/>
    </row>
    <row r="173" s="203" customFormat="1" ht="42" outlineLevel="1" spans="1:15">
      <c r="A173" s="224">
        <v>19</v>
      </c>
      <c r="B173" s="238" t="s">
        <v>303</v>
      </c>
      <c r="C173" s="238" t="s">
        <v>305</v>
      </c>
      <c r="D173" s="227" t="s">
        <v>75</v>
      </c>
      <c r="E173" s="217">
        <v>8.37</v>
      </c>
      <c r="F173" s="228">
        <v>42</v>
      </c>
      <c r="G173" s="234">
        <v>161</v>
      </c>
      <c r="H173" s="230">
        <v>17</v>
      </c>
      <c r="I173" s="247">
        <f t="shared" si="12"/>
        <v>20.9</v>
      </c>
      <c r="J173" s="248">
        <f t="shared" si="13"/>
        <v>21.681</v>
      </c>
      <c r="K173" s="251">
        <f t="shared" si="14"/>
        <v>262.581</v>
      </c>
      <c r="L173" s="217">
        <f t="shared" si="15"/>
        <v>2197.80297</v>
      </c>
      <c r="M173" s="252"/>
      <c r="N173" s="254"/>
      <c r="O173" s="253"/>
    </row>
    <row r="174" s="203" customFormat="1" ht="11.25" outlineLevel="1" spans="1:15">
      <c r="A174" s="224"/>
      <c r="B174" s="222" t="s">
        <v>287</v>
      </c>
      <c r="C174" s="238"/>
      <c r="D174" s="227"/>
      <c r="E174" s="269"/>
      <c r="F174" s="259"/>
      <c r="G174" s="259"/>
      <c r="H174" s="259"/>
      <c r="I174" s="247">
        <f t="shared" si="12"/>
        <v>0</v>
      </c>
      <c r="J174" s="248">
        <f t="shared" si="13"/>
        <v>0</v>
      </c>
      <c r="K174" s="251">
        <f t="shared" si="14"/>
        <v>0</v>
      </c>
      <c r="L174" s="217">
        <f t="shared" si="15"/>
        <v>0</v>
      </c>
      <c r="M174" s="252"/>
      <c r="N174" s="254"/>
      <c r="O174" s="246"/>
    </row>
    <row r="175" s="203" customFormat="1" ht="52.5" outlineLevel="1" spans="1:15">
      <c r="A175" s="224">
        <v>11</v>
      </c>
      <c r="B175" s="223" t="s">
        <v>306</v>
      </c>
      <c r="C175" s="271" t="s">
        <v>307</v>
      </c>
      <c r="D175" s="240" t="s">
        <v>75</v>
      </c>
      <c r="E175" s="225">
        <v>4.365</v>
      </c>
      <c r="F175" s="228">
        <v>180</v>
      </c>
      <c r="G175" s="234">
        <v>402.5</v>
      </c>
      <c r="H175" s="235">
        <v>30</v>
      </c>
      <c r="I175" s="247">
        <f t="shared" si="12"/>
        <v>58.1875</v>
      </c>
      <c r="J175" s="248">
        <f t="shared" si="13"/>
        <v>60.361875</v>
      </c>
      <c r="K175" s="251">
        <f t="shared" si="14"/>
        <v>731.049375</v>
      </c>
      <c r="L175" s="217">
        <f t="shared" si="15"/>
        <v>3191.030521875</v>
      </c>
      <c r="M175" s="252"/>
      <c r="N175" s="254"/>
      <c r="O175" s="246"/>
    </row>
    <row r="176" s="203" customFormat="1" ht="11.25" outlineLevel="1" spans="1:15">
      <c r="A176" s="224"/>
      <c r="B176" s="222" t="s">
        <v>308</v>
      </c>
      <c r="C176" s="223"/>
      <c r="D176" s="224"/>
      <c r="E176" s="269"/>
      <c r="F176" s="228"/>
      <c r="G176" s="234"/>
      <c r="H176" s="235"/>
      <c r="I176" s="247">
        <f t="shared" si="12"/>
        <v>0</v>
      </c>
      <c r="J176" s="248">
        <f t="shared" si="13"/>
        <v>0</v>
      </c>
      <c r="K176" s="251">
        <f t="shared" si="14"/>
        <v>0</v>
      </c>
      <c r="L176" s="217">
        <f t="shared" si="15"/>
        <v>0</v>
      </c>
      <c r="M176" s="252"/>
      <c r="N176" s="254"/>
      <c r="O176" s="246"/>
    </row>
    <row r="177" s="203" customFormat="1" ht="52.5" outlineLevel="1" spans="1:15">
      <c r="A177" s="227">
        <v>1</v>
      </c>
      <c r="B177" s="238" t="s">
        <v>309</v>
      </c>
      <c r="C177" s="238" t="s">
        <v>310</v>
      </c>
      <c r="D177" s="227" t="s">
        <v>75</v>
      </c>
      <c r="E177" s="217">
        <v>50.354</v>
      </c>
      <c r="F177" s="228">
        <v>125</v>
      </c>
      <c r="G177" s="233">
        <v>65</v>
      </c>
      <c r="H177" s="230">
        <v>20</v>
      </c>
      <c r="I177" s="247">
        <f t="shared" si="12"/>
        <v>19.95</v>
      </c>
      <c r="J177" s="248">
        <f t="shared" si="13"/>
        <v>20.6955</v>
      </c>
      <c r="K177" s="251">
        <f t="shared" si="14"/>
        <v>250.6455</v>
      </c>
      <c r="L177" s="217">
        <f t="shared" si="15"/>
        <v>12621.003507</v>
      </c>
      <c r="M177" s="252"/>
      <c r="N177" s="254"/>
      <c r="O177" s="246"/>
    </row>
    <row r="178" s="203" customFormat="1" ht="42" outlineLevel="1" spans="1:15">
      <c r="A178" s="224">
        <v>2</v>
      </c>
      <c r="B178" s="223" t="s">
        <v>311</v>
      </c>
      <c r="C178" s="239" t="s">
        <v>312</v>
      </c>
      <c r="D178" s="240" t="s">
        <v>75</v>
      </c>
      <c r="E178" s="225">
        <v>18.48</v>
      </c>
      <c r="F178" s="228">
        <v>42</v>
      </c>
      <c r="G178" s="233">
        <v>86.25</v>
      </c>
      <c r="H178" s="230">
        <v>17</v>
      </c>
      <c r="I178" s="247">
        <f t="shared" si="12"/>
        <v>13.79875</v>
      </c>
      <c r="J178" s="248">
        <f t="shared" si="13"/>
        <v>14.3143875</v>
      </c>
      <c r="K178" s="251">
        <f t="shared" si="14"/>
        <v>173.3631375</v>
      </c>
      <c r="L178" s="217">
        <f t="shared" si="15"/>
        <v>3203.750781</v>
      </c>
      <c r="M178" s="252"/>
      <c r="N178" s="254"/>
      <c r="O178" s="246"/>
    </row>
    <row r="179" s="203" customFormat="1" ht="31.5" outlineLevel="1" spans="1:15">
      <c r="A179" s="224">
        <v>3</v>
      </c>
      <c r="B179" s="223" t="s">
        <v>313</v>
      </c>
      <c r="C179" s="239" t="s">
        <v>314</v>
      </c>
      <c r="D179" s="224" t="s">
        <v>75</v>
      </c>
      <c r="E179" s="217">
        <v>15.3</v>
      </c>
      <c r="F179" s="228">
        <v>156</v>
      </c>
      <c r="G179" s="233">
        <v>200</v>
      </c>
      <c r="H179" s="235">
        <v>5</v>
      </c>
      <c r="I179" s="247">
        <f t="shared" si="12"/>
        <v>34.295</v>
      </c>
      <c r="J179" s="248">
        <f t="shared" si="13"/>
        <v>35.57655</v>
      </c>
      <c r="K179" s="251">
        <f t="shared" si="14"/>
        <v>430.87155</v>
      </c>
      <c r="L179" s="217">
        <f t="shared" si="15"/>
        <v>6592.334715</v>
      </c>
      <c r="M179" s="252"/>
      <c r="N179" s="254"/>
      <c r="O179" s="246"/>
    </row>
    <row r="180" s="203" customFormat="1" ht="63" outlineLevel="1" spans="1:15">
      <c r="A180" s="224">
        <v>4</v>
      </c>
      <c r="B180" s="223" t="s">
        <v>315</v>
      </c>
      <c r="C180" s="239" t="s">
        <v>316</v>
      </c>
      <c r="D180" s="224" t="s">
        <v>75</v>
      </c>
      <c r="E180" s="217">
        <v>34.21</v>
      </c>
      <c r="F180" s="228">
        <v>86</v>
      </c>
      <c r="G180" s="233">
        <v>213.7</v>
      </c>
      <c r="H180" s="230">
        <v>22</v>
      </c>
      <c r="I180" s="247">
        <f t="shared" si="12"/>
        <v>30.5615</v>
      </c>
      <c r="J180" s="248">
        <f t="shared" si="13"/>
        <v>31.703535</v>
      </c>
      <c r="K180" s="251">
        <f t="shared" si="14"/>
        <v>383.965035</v>
      </c>
      <c r="L180" s="217">
        <f t="shared" si="15"/>
        <v>13135.44384735</v>
      </c>
      <c r="M180" s="252"/>
      <c r="N180" s="254"/>
      <c r="O180" s="246"/>
    </row>
    <row r="181" s="203" customFormat="1" ht="63" outlineLevel="1" spans="1:15">
      <c r="A181" s="224">
        <v>5</v>
      </c>
      <c r="B181" s="223" t="s">
        <v>240</v>
      </c>
      <c r="C181" s="223" t="s">
        <v>317</v>
      </c>
      <c r="D181" s="224" t="s">
        <v>75</v>
      </c>
      <c r="E181" s="225">
        <v>0.9</v>
      </c>
      <c r="F181" s="228">
        <v>600</v>
      </c>
      <c r="G181" s="233">
        <v>2369</v>
      </c>
      <c r="H181" s="230">
        <v>250</v>
      </c>
      <c r="I181" s="247">
        <f t="shared" si="12"/>
        <v>305.805</v>
      </c>
      <c r="J181" s="248">
        <f t="shared" si="13"/>
        <v>317.23245</v>
      </c>
      <c r="K181" s="251">
        <f t="shared" si="14"/>
        <v>3842.03745</v>
      </c>
      <c r="L181" s="217">
        <f t="shared" si="15"/>
        <v>3457.833705</v>
      </c>
      <c r="M181" s="252"/>
      <c r="N181" s="254"/>
      <c r="O181" s="246"/>
    </row>
    <row r="182" s="203" customFormat="1" ht="63" outlineLevel="1" spans="1:15">
      <c r="A182" s="224">
        <v>6</v>
      </c>
      <c r="B182" s="223" t="s">
        <v>318</v>
      </c>
      <c r="C182" s="223" t="s">
        <v>319</v>
      </c>
      <c r="D182" s="224" t="s">
        <v>47</v>
      </c>
      <c r="E182" s="257">
        <v>1</v>
      </c>
      <c r="F182" s="228">
        <v>300</v>
      </c>
      <c r="G182" s="233">
        <v>2790.4</v>
      </c>
      <c r="H182" s="272">
        <v>300</v>
      </c>
      <c r="I182" s="247">
        <f t="shared" si="12"/>
        <v>322.088</v>
      </c>
      <c r="J182" s="248">
        <f t="shared" si="13"/>
        <v>334.12392</v>
      </c>
      <c r="K182" s="251">
        <f t="shared" si="14"/>
        <v>4046.61192</v>
      </c>
      <c r="L182" s="217">
        <f t="shared" si="15"/>
        <v>4046.61192</v>
      </c>
      <c r="M182" s="252"/>
      <c r="N182" s="254"/>
      <c r="O182" s="246"/>
    </row>
    <row r="183" s="203" customFormat="1" ht="21" spans="1:15">
      <c r="A183" s="221" t="s">
        <v>320</v>
      </c>
      <c r="B183" s="222" t="s">
        <v>321</v>
      </c>
      <c r="C183" s="223"/>
      <c r="D183" s="224"/>
      <c r="E183" s="269"/>
      <c r="F183" s="243"/>
      <c r="G183" s="243"/>
      <c r="H183" s="244"/>
      <c r="I183" s="247">
        <f t="shared" si="12"/>
        <v>0</v>
      </c>
      <c r="J183" s="248">
        <f t="shared" si="13"/>
        <v>0</v>
      </c>
      <c r="K183" s="251">
        <f t="shared" si="14"/>
        <v>0</v>
      </c>
      <c r="L183" s="217">
        <f t="shared" si="15"/>
        <v>0</v>
      </c>
      <c r="M183" s="252"/>
      <c r="N183" s="254"/>
      <c r="O183" s="246"/>
    </row>
    <row r="184" s="203" customFormat="1" ht="52.5" outlineLevel="1" spans="1:15">
      <c r="A184" s="224">
        <v>1</v>
      </c>
      <c r="B184" s="223" t="s">
        <v>70</v>
      </c>
      <c r="C184" s="223" t="s">
        <v>71</v>
      </c>
      <c r="D184" s="224" t="s">
        <v>72</v>
      </c>
      <c r="E184" s="225">
        <f>1.25*1.25*0.7*2</f>
        <v>2.1875</v>
      </c>
      <c r="F184" s="228">
        <v>3</v>
      </c>
      <c r="G184" s="229">
        <v>0</v>
      </c>
      <c r="H184" s="230">
        <v>7</v>
      </c>
      <c r="I184" s="247">
        <f t="shared" si="12"/>
        <v>0.95</v>
      </c>
      <c r="J184" s="248">
        <f t="shared" si="13"/>
        <v>0.9855</v>
      </c>
      <c r="K184" s="251">
        <f t="shared" si="14"/>
        <v>11.9355</v>
      </c>
      <c r="L184" s="217">
        <f t="shared" si="15"/>
        <v>26.10890625</v>
      </c>
      <c r="M184" s="252"/>
      <c r="N184" s="254"/>
      <c r="O184" s="246"/>
    </row>
    <row r="185" s="203" customFormat="1" ht="73.5" outlineLevel="1" spans="1:15">
      <c r="A185" s="224">
        <v>2</v>
      </c>
      <c r="B185" s="223" t="s">
        <v>167</v>
      </c>
      <c r="C185" s="223" t="s">
        <v>168</v>
      </c>
      <c r="D185" s="224" t="s">
        <v>72</v>
      </c>
      <c r="E185" s="225">
        <f>(1.09-1.05*1.05*0.1-0.83*0.83*0.6)*2</f>
        <v>1.13282</v>
      </c>
      <c r="F185" s="228">
        <v>3</v>
      </c>
      <c r="G185" s="229">
        <v>0</v>
      </c>
      <c r="H185" s="230">
        <f>6*0+8</f>
        <v>8</v>
      </c>
      <c r="I185" s="247">
        <f t="shared" si="12"/>
        <v>1.045</v>
      </c>
      <c r="J185" s="248">
        <f t="shared" si="13"/>
        <v>1.08405</v>
      </c>
      <c r="K185" s="251">
        <f t="shared" si="14"/>
        <v>13.12905</v>
      </c>
      <c r="L185" s="217">
        <f t="shared" si="15"/>
        <v>14.872850421</v>
      </c>
      <c r="M185" s="252"/>
      <c r="N185" s="254"/>
      <c r="O185" s="246"/>
    </row>
    <row r="186" s="203" customFormat="1" ht="21" outlineLevel="1" spans="1:15">
      <c r="A186" s="224">
        <v>3</v>
      </c>
      <c r="B186" s="223" t="s">
        <v>73</v>
      </c>
      <c r="C186" s="223" t="s">
        <v>74</v>
      </c>
      <c r="D186" s="224" t="s">
        <v>75</v>
      </c>
      <c r="E186" s="225">
        <f>1.05*1.05*2</f>
        <v>2.205</v>
      </c>
      <c r="F186" s="228">
        <v>1.2</v>
      </c>
      <c r="G186" s="233">
        <v>0</v>
      </c>
      <c r="H186" s="230">
        <v>1.5</v>
      </c>
      <c r="I186" s="247">
        <f t="shared" si="12"/>
        <v>0.2565</v>
      </c>
      <c r="J186" s="248">
        <f t="shared" si="13"/>
        <v>0.266085</v>
      </c>
      <c r="K186" s="251">
        <f t="shared" si="14"/>
        <v>3.222585</v>
      </c>
      <c r="L186" s="217">
        <f t="shared" si="15"/>
        <v>7.105799925</v>
      </c>
      <c r="M186" s="252"/>
      <c r="N186" s="254"/>
      <c r="O186" s="246"/>
    </row>
    <row r="187" s="203" customFormat="1" ht="63" outlineLevel="1" spans="1:15">
      <c r="A187" s="224">
        <v>4</v>
      </c>
      <c r="B187" s="223" t="s">
        <v>115</v>
      </c>
      <c r="C187" s="223" t="s">
        <v>322</v>
      </c>
      <c r="D187" s="224" t="s">
        <v>72</v>
      </c>
      <c r="E187" s="225">
        <f>1.05*1.05*0.1*2</f>
        <v>0.2205</v>
      </c>
      <c r="F187" s="228">
        <f>G187*0.19</f>
        <v>65.55</v>
      </c>
      <c r="G187" s="229">
        <v>345</v>
      </c>
      <c r="H187" s="230">
        <f>G187*0.05</f>
        <v>17.25</v>
      </c>
      <c r="I187" s="247">
        <f t="shared" si="12"/>
        <v>40.641</v>
      </c>
      <c r="J187" s="248">
        <f t="shared" si="13"/>
        <v>42.15969</v>
      </c>
      <c r="K187" s="251">
        <f t="shared" si="14"/>
        <v>510.60069</v>
      </c>
      <c r="L187" s="217">
        <f t="shared" si="15"/>
        <v>112.587452145</v>
      </c>
      <c r="M187" s="252"/>
      <c r="N187" s="254"/>
      <c r="O187" s="246"/>
    </row>
    <row r="188" s="203" customFormat="1" ht="31.5" outlineLevel="1" spans="1:15">
      <c r="A188" s="224">
        <v>5</v>
      </c>
      <c r="B188" s="223" t="s">
        <v>171</v>
      </c>
      <c r="C188" s="223" t="s">
        <v>172</v>
      </c>
      <c r="D188" s="224" t="s">
        <v>72</v>
      </c>
      <c r="E188" s="225">
        <f>(0.83*0.83*0.12+0.75*4*0.55*0.1)*2</f>
        <v>0.495336</v>
      </c>
      <c r="F188" s="228">
        <f>F167</f>
        <v>210</v>
      </c>
      <c r="G188" s="233">
        <v>270</v>
      </c>
      <c r="H188" s="230">
        <v>102</v>
      </c>
      <c r="I188" s="247">
        <f t="shared" si="12"/>
        <v>55.29</v>
      </c>
      <c r="J188" s="248">
        <f t="shared" si="13"/>
        <v>57.3561</v>
      </c>
      <c r="K188" s="251">
        <f t="shared" si="14"/>
        <v>694.6461</v>
      </c>
      <c r="L188" s="217">
        <f t="shared" si="15"/>
        <v>344.0832205896</v>
      </c>
      <c r="M188" s="252"/>
      <c r="N188" s="254"/>
      <c r="O188" s="246"/>
    </row>
    <row r="189" s="203" customFormat="1" ht="63" outlineLevel="1" spans="1:15">
      <c r="A189" s="224">
        <v>6</v>
      </c>
      <c r="B189" s="223" t="s">
        <v>323</v>
      </c>
      <c r="C189" s="223" t="s">
        <v>324</v>
      </c>
      <c r="D189" s="224" t="s">
        <v>75</v>
      </c>
      <c r="E189" s="225">
        <f>(0.63*0.63+0.63*4*0.55+(0.15+0.1)*0.73*4)*2</f>
        <v>5.0258</v>
      </c>
      <c r="F189" s="228">
        <v>72</v>
      </c>
      <c r="G189" s="233">
        <v>112.7</v>
      </c>
      <c r="H189" s="230">
        <f>H244</f>
        <v>13.95</v>
      </c>
      <c r="I189" s="247">
        <f t="shared" si="12"/>
        <v>18.87175</v>
      </c>
      <c r="J189" s="248">
        <f t="shared" si="13"/>
        <v>19.5769575</v>
      </c>
      <c r="K189" s="251">
        <f t="shared" si="14"/>
        <v>237.0987075</v>
      </c>
      <c r="L189" s="217">
        <f t="shared" si="15"/>
        <v>1191.6106841535</v>
      </c>
      <c r="M189" s="252"/>
      <c r="N189" s="254"/>
      <c r="O189" s="246"/>
    </row>
    <row r="190" s="203" customFormat="1" ht="42" outlineLevel="1" spans="1:15">
      <c r="A190" s="224">
        <v>7</v>
      </c>
      <c r="B190" s="223" t="s">
        <v>325</v>
      </c>
      <c r="C190" s="223" t="s">
        <v>326</v>
      </c>
      <c r="D190" s="224" t="s">
        <v>197</v>
      </c>
      <c r="E190" s="257">
        <v>2</v>
      </c>
      <c r="F190" s="228">
        <v>24</v>
      </c>
      <c r="G190" s="233">
        <v>402.5</v>
      </c>
      <c r="H190" s="272">
        <v>5</v>
      </c>
      <c r="I190" s="247">
        <f t="shared" si="12"/>
        <v>40.9925</v>
      </c>
      <c r="J190" s="248">
        <f t="shared" si="13"/>
        <v>42.524325</v>
      </c>
      <c r="K190" s="251">
        <f t="shared" si="14"/>
        <v>515.016825</v>
      </c>
      <c r="L190" s="217">
        <f t="shared" si="15"/>
        <v>1030.03365</v>
      </c>
      <c r="M190" s="252"/>
      <c r="N190" s="254"/>
      <c r="O190" s="246"/>
    </row>
    <row r="191" s="203" customFormat="1" ht="42" spans="1:15">
      <c r="A191" s="221" t="s">
        <v>327</v>
      </c>
      <c r="B191" s="222" t="s">
        <v>328</v>
      </c>
      <c r="C191" s="222" t="s">
        <v>329</v>
      </c>
      <c r="D191" s="224"/>
      <c r="E191" s="225"/>
      <c r="F191" s="259"/>
      <c r="G191" s="259"/>
      <c r="H191" s="259"/>
      <c r="I191" s="247">
        <f t="shared" si="12"/>
        <v>0</v>
      </c>
      <c r="J191" s="248">
        <f t="shared" si="13"/>
        <v>0</v>
      </c>
      <c r="K191" s="251">
        <f t="shared" si="14"/>
        <v>0</v>
      </c>
      <c r="L191" s="217">
        <f t="shared" si="15"/>
        <v>0</v>
      </c>
      <c r="M191" s="249"/>
      <c r="N191" s="250"/>
      <c r="O191" s="246"/>
    </row>
    <row r="192" s="203" customFormat="1" ht="52.5" outlineLevel="1" spans="1:15">
      <c r="A192" s="224">
        <v>1</v>
      </c>
      <c r="B192" s="223" t="s">
        <v>70</v>
      </c>
      <c r="C192" s="223" t="s">
        <v>71</v>
      </c>
      <c r="D192" s="224" t="s">
        <v>72</v>
      </c>
      <c r="E192" s="225">
        <f>2.4*3*0.6*0</f>
        <v>0</v>
      </c>
      <c r="F192" s="259">
        <v>3</v>
      </c>
      <c r="G192" s="259"/>
      <c r="H192" s="230">
        <v>7</v>
      </c>
      <c r="I192" s="247">
        <f t="shared" si="12"/>
        <v>0.95</v>
      </c>
      <c r="J192" s="248">
        <f t="shared" si="13"/>
        <v>0.9855</v>
      </c>
      <c r="K192" s="251">
        <f t="shared" si="14"/>
        <v>11.9355</v>
      </c>
      <c r="L192" s="217">
        <f t="shared" si="15"/>
        <v>0</v>
      </c>
      <c r="M192" s="249"/>
      <c r="N192" s="250"/>
      <c r="O192" s="253"/>
    </row>
    <row r="193" s="203" customFormat="1" ht="21" outlineLevel="1" spans="1:15">
      <c r="A193" s="224">
        <v>2</v>
      </c>
      <c r="B193" s="223" t="s">
        <v>73</v>
      </c>
      <c r="C193" s="223" t="s">
        <v>74</v>
      </c>
      <c r="D193" s="224" t="s">
        <v>75</v>
      </c>
      <c r="E193" s="225">
        <f>3*2.4*0</f>
        <v>0</v>
      </c>
      <c r="F193" s="228">
        <v>1.2</v>
      </c>
      <c r="G193" s="233">
        <v>0</v>
      </c>
      <c r="H193" s="230">
        <v>1.5</v>
      </c>
      <c r="I193" s="247">
        <f t="shared" si="12"/>
        <v>0.2565</v>
      </c>
      <c r="J193" s="248">
        <f t="shared" si="13"/>
        <v>0.266085</v>
      </c>
      <c r="K193" s="251">
        <f t="shared" si="14"/>
        <v>3.222585</v>
      </c>
      <c r="L193" s="217">
        <f t="shared" si="15"/>
        <v>0</v>
      </c>
      <c r="M193" s="252"/>
      <c r="N193" s="250"/>
      <c r="O193" s="253"/>
    </row>
    <row r="194" s="203" customFormat="1" ht="42" outlineLevel="1" spans="1:15">
      <c r="A194" s="224">
        <v>3</v>
      </c>
      <c r="B194" s="223" t="s">
        <v>76</v>
      </c>
      <c r="C194" s="223" t="s">
        <v>170</v>
      </c>
      <c r="D194" s="224" t="s">
        <v>72</v>
      </c>
      <c r="E194" s="225">
        <f>(2.4+3)*0.1*0.4*0</f>
        <v>0</v>
      </c>
      <c r="F194" s="228">
        <v>13</v>
      </c>
      <c r="G194" s="229">
        <v>103</v>
      </c>
      <c r="H194" s="230">
        <v>15</v>
      </c>
      <c r="I194" s="247">
        <f t="shared" si="12"/>
        <v>12.445</v>
      </c>
      <c r="J194" s="248">
        <f t="shared" si="13"/>
        <v>12.91005</v>
      </c>
      <c r="K194" s="251">
        <f t="shared" si="14"/>
        <v>156.35505</v>
      </c>
      <c r="L194" s="217">
        <f t="shared" si="15"/>
        <v>0</v>
      </c>
      <c r="M194" s="249"/>
      <c r="N194" s="250"/>
      <c r="O194" s="253"/>
    </row>
    <row r="195" s="203" customFormat="1" ht="52.5" outlineLevel="1" spans="1:15">
      <c r="A195" s="224">
        <v>4</v>
      </c>
      <c r="B195" s="223" t="s">
        <v>115</v>
      </c>
      <c r="C195" s="223" t="s">
        <v>169</v>
      </c>
      <c r="D195" s="224" t="s">
        <v>72</v>
      </c>
      <c r="E195" s="225">
        <f>(2.4+3)*0.1*0.4*0</f>
        <v>0</v>
      </c>
      <c r="F195" s="228">
        <f>G195*0.19</f>
        <v>65.55</v>
      </c>
      <c r="G195" s="229">
        <v>345</v>
      </c>
      <c r="H195" s="230">
        <f>G195*0.05</f>
        <v>17.25</v>
      </c>
      <c r="I195" s="247">
        <f t="shared" si="12"/>
        <v>40.641</v>
      </c>
      <c r="J195" s="248">
        <f t="shared" si="13"/>
        <v>42.15969</v>
      </c>
      <c r="K195" s="251">
        <f t="shared" si="14"/>
        <v>510.60069</v>
      </c>
      <c r="L195" s="217">
        <f t="shared" si="15"/>
        <v>0</v>
      </c>
      <c r="M195" s="249"/>
      <c r="N195" s="250"/>
      <c r="O195" s="253"/>
    </row>
    <row r="196" s="203" customFormat="1" ht="31.5" outlineLevel="1" spans="1:15">
      <c r="A196" s="224">
        <v>5</v>
      </c>
      <c r="B196" s="255" t="s">
        <v>245</v>
      </c>
      <c r="C196" s="223" t="s">
        <v>330</v>
      </c>
      <c r="D196" s="224" t="s">
        <v>72</v>
      </c>
      <c r="E196" s="225">
        <f>(5.1+4.4)*3.6*0.2*0</f>
        <v>0</v>
      </c>
      <c r="F196" s="225">
        <v>210</v>
      </c>
      <c r="G196" s="225">
        <v>270</v>
      </c>
      <c r="H196" s="225">
        <v>10</v>
      </c>
      <c r="I196" s="247">
        <f t="shared" si="12"/>
        <v>46.55</v>
      </c>
      <c r="J196" s="248">
        <f t="shared" si="13"/>
        <v>48.2895</v>
      </c>
      <c r="K196" s="251">
        <f t="shared" si="14"/>
        <v>584.8395</v>
      </c>
      <c r="L196" s="217">
        <f t="shared" si="15"/>
        <v>0</v>
      </c>
      <c r="M196" s="252"/>
      <c r="N196" s="250"/>
      <c r="O196" s="253"/>
    </row>
    <row r="197" s="203" customFormat="1" ht="56.25" outlineLevel="1" spans="1:15">
      <c r="A197" s="224">
        <v>6</v>
      </c>
      <c r="B197" s="223" t="s">
        <v>184</v>
      </c>
      <c r="C197" s="256" t="s">
        <v>185</v>
      </c>
      <c r="D197" s="224" t="s">
        <v>72</v>
      </c>
      <c r="E197" s="225">
        <f>0.24*0.25*(3+2.4)*2*0</f>
        <v>0</v>
      </c>
      <c r="F197" s="228">
        <v>120</v>
      </c>
      <c r="G197" s="229">
        <v>370</v>
      </c>
      <c r="H197" s="230">
        <v>40</v>
      </c>
      <c r="I197" s="247">
        <f t="shared" si="12"/>
        <v>50.35</v>
      </c>
      <c r="J197" s="248">
        <f t="shared" si="13"/>
        <v>52.2315</v>
      </c>
      <c r="K197" s="251">
        <f t="shared" si="14"/>
        <v>632.5815</v>
      </c>
      <c r="L197" s="217">
        <f t="shared" si="15"/>
        <v>0</v>
      </c>
      <c r="M197" s="252"/>
      <c r="N197" s="250"/>
      <c r="O197" s="253"/>
    </row>
    <row r="198" s="203" customFormat="1" ht="56.25" outlineLevel="1" spans="1:15">
      <c r="A198" s="224">
        <v>7</v>
      </c>
      <c r="B198" s="223" t="s">
        <v>186</v>
      </c>
      <c r="C198" s="256" t="s">
        <v>331</v>
      </c>
      <c r="D198" s="224" t="s">
        <v>72</v>
      </c>
      <c r="E198" s="225">
        <f>(2.4+3)*0.2*0.3*0</f>
        <v>0</v>
      </c>
      <c r="F198" s="228">
        <v>120</v>
      </c>
      <c r="G198" s="229">
        <v>370</v>
      </c>
      <c r="H198" s="230">
        <v>40</v>
      </c>
      <c r="I198" s="247">
        <f t="shared" si="12"/>
        <v>50.35</v>
      </c>
      <c r="J198" s="248">
        <f t="shared" si="13"/>
        <v>52.2315</v>
      </c>
      <c r="K198" s="251">
        <f t="shared" si="14"/>
        <v>632.5815</v>
      </c>
      <c r="L198" s="217">
        <f t="shared" si="15"/>
        <v>0</v>
      </c>
      <c r="M198" s="252"/>
      <c r="N198" s="250"/>
      <c r="O198" s="253"/>
    </row>
    <row r="199" s="203" customFormat="1" ht="52.5" outlineLevel="1" spans="1:15">
      <c r="A199" s="224">
        <v>8</v>
      </c>
      <c r="B199" s="223" t="s">
        <v>332</v>
      </c>
      <c r="C199" s="223" t="s">
        <v>180</v>
      </c>
      <c r="D199" s="224" t="s">
        <v>72</v>
      </c>
      <c r="E199" s="225">
        <f>0.2*0.2*3.7*4*0</f>
        <v>0</v>
      </c>
      <c r="F199" s="228">
        <v>120</v>
      </c>
      <c r="G199" s="229">
        <v>370</v>
      </c>
      <c r="H199" s="230">
        <v>40</v>
      </c>
      <c r="I199" s="247">
        <f t="shared" ref="I199:I262" si="16">(F199+G199+H199)*$I$4</f>
        <v>50.35</v>
      </c>
      <c r="J199" s="248">
        <f t="shared" ref="J199:J262" si="17">(F199+G199+H199+I199)*$J$4</f>
        <v>52.2315</v>
      </c>
      <c r="K199" s="251">
        <f t="shared" ref="K199:K262" si="18">F199+G199+H199+I199+J199</f>
        <v>632.5815</v>
      </c>
      <c r="L199" s="217">
        <f t="shared" ref="L199:L262" si="19">K199*E199</f>
        <v>0</v>
      </c>
      <c r="M199" s="252"/>
      <c r="N199" s="250"/>
      <c r="O199" s="253"/>
    </row>
    <row r="200" s="203" customFormat="1" ht="42" outlineLevel="1" spans="1:15">
      <c r="A200" s="224">
        <v>9</v>
      </c>
      <c r="B200" s="223" t="s">
        <v>333</v>
      </c>
      <c r="C200" s="273" t="s">
        <v>334</v>
      </c>
      <c r="D200" s="224" t="s">
        <v>75</v>
      </c>
      <c r="E200" s="225">
        <v>113.84</v>
      </c>
      <c r="F200" s="228">
        <v>42</v>
      </c>
      <c r="G200" s="233">
        <v>103.5</v>
      </c>
      <c r="H200" s="230">
        <v>17</v>
      </c>
      <c r="I200" s="247">
        <f t="shared" si="16"/>
        <v>15.4375</v>
      </c>
      <c r="J200" s="248">
        <f t="shared" si="17"/>
        <v>16.014375</v>
      </c>
      <c r="K200" s="251">
        <f t="shared" si="18"/>
        <v>193.951875</v>
      </c>
      <c r="L200" s="217">
        <f t="shared" si="19"/>
        <v>22079.48145</v>
      </c>
      <c r="M200" s="252"/>
      <c r="N200" s="250"/>
      <c r="O200" s="246"/>
    </row>
    <row r="201" s="203" customFormat="1" ht="31.5" outlineLevel="1" spans="1:15">
      <c r="A201" s="224">
        <v>10</v>
      </c>
      <c r="B201" s="223" t="s">
        <v>333</v>
      </c>
      <c r="C201" s="273" t="s">
        <v>335</v>
      </c>
      <c r="D201" s="224" t="s">
        <v>75</v>
      </c>
      <c r="E201" s="225">
        <v>12.69</v>
      </c>
      <c r="F201" s="228">
        <v>42</v>
      </c>
      <c r="G201" s="233">
        <v>103.5</v>
      </c>
      <c r="H201" s="230">
        <v>17</v>
      </c>
      <c r="I201" s="247">
        <f t="shared" si="16"/>
        <v>15.4375</v>
      </c>
      <c r="J201" s="248">
        <f t="shared" si="17"/>
        <v>16.014375</v>
      </c>
      <c r="K201" s="251">
        <f t="shared" si="18"/>
        <v>193.951875</v>
      </c>
      <c r="L201" s="217">
        <f t="shared" si="19"/>
        <v>2461.24929375</v>
      </c>
      <c r="M201" s="252"/>
      <c r="N201" s="250"/>
      <c r="O201" s="246"/>
    </row>
    <row r="202" s="203" customFormat="1" ht="52.5" outlineLevel="1" spans="1:15">
      <c r="A202" s="224">
        <v>12</v>
      </c>
      <c r="B202" s="223" t="s">
        <v>336</v>
      </c>
      <c r="C202" s="223" t="s">
        <v>337</v>
      </c>
      <c r="D202" s="224" t="s">
        <v>75</v>
      </c>
      <c r="E202" s="225">
        <v>5.04</v>
      </c>
      <c r="F202" s="228">
        <v>125</v>
      </c>
      <c r="G202" s="233">
        <v>450</v>
      </c>
      <c r="H202" s="230">
        <v>15</v>
      </c>
      <c r="I202" s="247">
        <f t="shared" si="16"/>
        <v>56.05</v>
      </c>
      <c r="J202" s="248">
        <f t="shared" si="17"/>
        <v>58.1445</v>
      </c>
      <c r="K202" s="251">
        <f t="shared" si="18"/>
        <v>704.1945</v>
      </c>
      <c r="L202" s="217">
        <f t="shared" si="19"/>
        <v>3549.14028</v>
      </c>
      <c r="M202" s="252"/>
      <c r="N202" s="250"/>
      <c r="O202" s="253"/>
    </row>
    <row r="203" s="203" customFormat="1" ht="94.5" outlineLevel="1" spans="1:15">
      <c r="A203" s="224">
        <v>13</v>
      </c>
      <c r="B203" s="223" t="s">
        <v>338</v>
      </c>
      <c r="C203" s="223" t="s">
        <v>339</v>
      </c>
      <c r="D203" s="224" t="s">
        <v>75</v>
      </c>
      <c r="E203" s="225">
        <v>18.06</v>
      </c>
      <c r="F203" s="228">
        <v>80</v>
      </c>
      <c r="G203" s="233">
        <v>650</v>
      </c>
      <c r="H203" s="230">
        <v>90.23</v>
      </c>
      <c r="I203" s="247">
        <f t="shared" si="16"/>
        <v>77.92185</v>
      </c>
      <c r="J203" s="248">
        <f t="shared" si="17"/>
        <v>80.8336665</v>
      </c>
      <c r="K203" s="251">
        <f t="shared" si="18"/>
        <v>978.9855165</v>
      </c>
      <c r="L203" s="217">
        <f t="shared" si="19"/>
        <v>17680.47842799</v>
      </c>
      <c r="M203" s="252"/>
      <c r="N203" s="250"/>
      <c r="O203" s="246"/>
    </row>
    <row r="204" s="203" customFormat="1" ht="94.5" outlineLevel="1" spans="1:15">
      <c r="A204" s="224">
        <v>14</v>
      </c>
      <c r="B204" s="223" t="s">
        <v>340</v>
      </c>
      <c r="C204" s="223" t="s">
        <v>341</v>
      </c>
      <c r="D204" s="224" t="s">
        <v>75</v>
      </c>
      <c r="E204" s="225">
        <v>22.95</v>
      </c>
      <c r="F204" s="228">
        <v>80</v>
      </c>
      <c r="G204" s="233">
        <f>G203</f>
        <v>650</v>
      </c>
      <c r="H204" s="230">
        <f>H203</f>
        <v>90.23</v>
      </c>
      <c r="I204" s="247">
        <f t="shared" si="16"/>
        <v>77.92185</v>
      </c>
      <c r="J204" s="248">
        <f t="shared" si="17"/>
        <v>80.8336665</v>
      </c>
      <c r="K204" s="251">
        <f t="shared" si="18"/>
        <v>978.9855165</v>
      </c>
      <c r="L204" s="217">
        <f t="shared" si="19"/>
        <v>22467.717603675</v>
      </c>
      <c r="M204" s="252"/>
      <c r="N204" s="250"/>
      <c r="O204" s="246"/>
    </row>
    <row r="205" s="203" customFormat="1" ht="42" outlineLevel="1" spans="1:15">
      <c r="A205" s="224">
        <v>15</v>
      </c>
      <c r="B205" s="223" t="s">
        <v>342</v>
      </c>
      <c r="C205" s="223" t="s">
        <v>343</v>
      </c>
      <c r="D205" s="224" t="s">
        <v>75</v>
      </c>
      <c r="E205" s="225">
        <v>121.35</v>
      </c>
      <c r="F205" s="228">
        <v>45</v>
      </c>
      <c r="G205" s="233">
        <v>305</v>
      </c>
      <c r="H205" s="263">
        <v>15</v>
      </c>
      <c r="I205" s="247">
        <f t="shared" si="16"/>
        <v>34.675</v>
      </c>
      <c r="J205" s="248">
        <f t="shared" si="17"/>
        <v>35.97075</v>
      </c>
      <c r="K205" s="251">
        <f t="shared" si="18"/>
        <v>435.64575</v>
      </c>
      <c r="L205" s="217">
        <f t="shared" si="19"/>
        <v>52865.6117625</v>
      </c>
      <c r="M205" s="252"/>
      <c r="N205" s="249" t="s">
        <v>224</v>
      </c>
      <c r="O205" s="246"/>
    </row>
    <row r="206" s="203" customFormat="1" ht="31.5" outlineLevel="1" spans="1:15">
      <c r="A206" s="224">
        <v>16</v>
      </c>
      <c r="B206" s="223" t="s">
        <v>344</v>
      </c>
      <c r="C206" s="223" t="s">
        <v>345</v>
      </c>
      <c r="D206" s="224" t="s">
        <v>75</v>
      </c>
      <c r="E206" s="225">
        <v>285.58</v>
      </c>
      <c r="F206" s="228">
        <v>45</v>
      </c>
      <c r="G206" s="233">
        <f>G205</f>
        <v>305</v>
      </c>
      <c r="H206" s="263">
        <v>15</v>
      </c>
      <c r="I206" s="247">
        <f t="shared" si="16"/>
        <v>34.675</v>
      </c>
      <c r="J206" s="248">
        <f t="shared" si="17"/>
        <v>35.97075</v>
      </c>
      <c r="K206" s="251">
        <f t="shared" si="18"/>
        <v>435.64575</v>
      </c>
      <c r="L206" s="217">
        <f t="shared" si="19"/>
        <v>124411.713285</v>
      </c>
      <c r="M206" s="252"/>
      <c r="N206" s="249" t="s">
        <v>224</v>
      </c>
      <c r="O206" s="246"/>
    </row>
    <row r="207" s="203" customFormat="1" ht="42" outlineLevel="1" spans="1:15">
      <c r="A207" s="224">
        <v>17</v>
      </c>
      <c r="B207" s="223" t="s">
        <v>346</v>
      </c>
      <c r="C207" s="223" t="s">
        <v>347</v>
      </c>
      <c r="D207" s="224" t="s">
        <v>107</v>
      </c>
      <c r="E207" s="225">
        <v>75.44</v>
      </c>
      <c r="F207" s="228">
        <v>20</v>
      </c>
      <c r="G207" s="233">
        <v>80</v>
      </c>
      <c r="H207" s="230">
        <v>5</v>
      </c>
      <c r="I207" s="247">
        <f t="shared" si="16"/>
        <v>9.975</v>
      </c>
      <c r="J207" s="248">
        <f t="shared" si="17"/>
        <v>10.34775</v>
      </c>
      <c r="K207" s="251">
        <f t="shared" si="18"/>
        <v>125.32275</v>
      </c>
      <c r="L207" s="217">
        <f t="shared" si="19"/>
        <v>9454.34826</v>
      </c>
      <c r="M207" s="252"/>
      <c r="N207" s="250"/>
      <c r="O207" s="246"/>
    </row>
    <row r="208" s="203" customFormat="1" ht="63" outlineLevel="1" spans="1:15">
      <c r="A208" s="224">
        <v>18</v>
      </c>
      <c r="B208" s="223" t="s">
        <v>348</v>
      </c>
      <c r="C208" s="223" t="s">
        <v>349</v>
      </c>
      <c r="D208" s="224" t="s">
        <v>75</v>
      </c>
      <c r="E208" s="225">
        <v>147.56</v>
      </c>
      <c r="F208" s="228">
        <v>45</v>
      </c>
      <c r="G208" s="233">
        <f>G206</f>
        <v>305</v>
      </c>
      <c r="H208" s="263">
        <v>15</v>
      </c>
      <c r="I208" s="247">
        <f t="shared" si="16"/>
        <v>34.675</v>
      </c>
      <c r="J208" s="248">
        <f t="shared" si="17"/>
        <v>35.97075</v>
      </c>
      <c r="K208" s="251">
        <f t="shared" si="18"/>
        <v>435.64575</v>
      </c>
      <c r="L208" s="217">
        <f t="shared" si="19"/>
        <v>64283.88687</v>
      </c>
      <c r="M208" s="252"/>
      <c r="N208" s="249" t="s">
        <v>224</v>
      </c>
      <c r="O208" s="246"/>
    </row>
    <row r="209" s="203" customFormat="1" ht="42" outlineLevel="1" spans="1:15">
      <c r="A209" s="224">
        <v>19</v>
      </c>
      <c r="B209" s="223" t="s">
        <v>350</v>
      </c>
      <c r="C209" s="223" t="s">
        <v>351</v>
      </c>
      <c r="D209" s="224" t="s">
        <v>107</v>
      </c>
      <c r="E209" s="225">
        <v>78.28</v>
      </c>
      <c r="F209" s="228">
        <v>18</v>
      </c>
      <c r="G209" s="233">
        <v>26.45</v>
      </c>
      <c r="H209" s="230">
        <v>5</v>
      </c>
      <c r="I209" s="247">
        <f t="shared" si="16"/>
        <v>4.69775</v>
      </c>
      <c r="J209" s="248">
        <f t="shared" si="17"/>
        <v>4.8732975</v>
      </c>
      <c r="K209" s="251">
        <f t="shared" si="18"/>
        <v>59.0210475</v>
      </c>
      <c r="L209" s="217">
        <f t="shared" si="19"/>
        <v>4620.1675983</v>
      </c>
      <c r="M209" s="252"/>
      <c r="N209" s="250"/>
      <c r="O209" s="246"/>
    </row>
    <row r="210" s="203" customFormat="1" ht="75.7" customHeight="1" outlineLevel="1" spans="1:15">
      <c r="A210" s="224">
        <v>20</v>
      </c>
      <c r="B210" s="223" t="s">
        <v>352</v>
      </c>
      <c r="C210" s="223" t="s">
        <v>353</v>
      </c>
      <c r="D210" s="224" t="s">
        <v>75</v>
      </c>
      <c r="E210" s="225">
        <v>31.29</v>
      </c>
      <c r="F210" s="228">
        <v>35</v>
      </c>
      <c r="G210" s="233">
        <v>28.75</v>
      </c>
      <c r="H210" s="235">
        <v>8</v>
      </c>
      <c r="I210" s="247">
        <f t="shared" si="16"/>
        <v>6.81625</v>
      </c>
      <c r="J210" s="248">
        <f t="shared" si="17"/>
        <v>7.0709625</v>
      </c>
      <c r="K210" s="251">
        <f t="shared" si="18"/>
        <v>85.6372125</v>
      </c>
      <c r="L210" s="217">
        <f t="shared" si="19"/>
        <v>2679.588379125</v>
      </c>
      <c r="M210" s="252"/>
      <c r="N210" s="265" t="s">
        <v>190</v>
      </c>
      <c r="O210" s="253"/>
    </row>
    <row r="211" s="203" customFormat="1" ht="63" outlineLevel="1" spans="1:15">
      <c r="A211" s="224">
        <v>21</v>
      </c>
      <c r="B211" s="223" t="s">
        <v>354</v>
      </c>
      <c r="C211" s="223" t="s">
        <v>355</v>
      </c>
      <c r="D211" s="224" t="s">
        <v>75</v>
      </c>
      <c r="E211" s="225">
        <v>6.05</v>
      </c>
      <c r="F211" s="228">
        <v>144</v>
      </c>
      <c r="G211" s="233">
        <v>650</v>
      </c>
      <c r="H211" s="235">
        <v>30</v>
      </c>
      <c r="I211" s="247">
        <f t="shared" si="16"/>
        <v>78.28</v>
      </c>
      <c r="J211" s="248">
        <f t="shared" si="17"/>
        <v>81.2052</v>
      </c>
      <c r="K211" s="251">
        <f t="shared" si="18"/>
        <v>983.4852</v>
      </c>
      <c r="L211" s="217">
        <f t="shared" si="19"/>
        <v>5950.08546</v>
      </c>
      <c r="M211" s="252"/>
      <c r="N211" s="287"/>
      <c r="O211" s="246"/>
    </row>
    <row r="212" s="203" customFormat="1" ht="42" outlineLevel="1" spans="1:15">
      <c r="A212" s="224">
        <v>22</v>
      </c>
      <c r="B212" s="223" t="s">
        <v>356</v>
      </c>
      <c r="C212" s="223" t="s">
        <v>357</v>
      </c>
      <c r="D212" s="224" t="s">
        <v>75</v>
      </c>
      <c r="E212" s="225">
        <v>5.65</v>
      </c>
      <c r="F212" s="228">
        <v>48.5</v>
      </c>
      <c r="G212" s="233">
        <v>61.2</v>
      </c>
      <c r="H212" s="230">
        <v>17</v>
      </c>
      <c r="I212" s="247">
        <f t="shared" si="16"/>
        <v>12.0365</v>
      </c>
      <c r="J212" s="248">
        <f t="shared" si="17"/>
        <v>12.486285</v>
      </c>
      <c r="K212" s="251">
        <f t="shared" si="18"/>
        <v>151.222785</v>
      </c>
      <c r="L212" s="217">
        <f t="shared" si="19"/>
        <v>854.40873525</v>
      </c>
      <c r="M212" s="252"/>
      <c r="N212" s="250"/>
      <c r="O212" s="246"/>
    </row>
    <row r="213" s="203" customFormat="1" ht="84" outlineLevel="1" spans="1:15">
      <c r="A213" s="224">
        <v>23</v>
      </c>
      <c r="B213" s="223" t="s">
        <v>358</v>
      </c>
      <c r="C213" s="223" t="s">
        <v>359</v>
      </c>
      <c r="D213" s="224" t="s">
        <v>75</v>
      </c>
      <c r="E213" s="225">
        <v>15.64</v>
      </c>
      <c r="F213" s="228">
        <v>130</v>
      </c>
      <c r="G213" s="233">
        <v>655</v>
      </c>
      <c r="H213" s="230">
        <v>91</v>
      </c>
      <c r="I213" s="247">
        <f t="shared" si="16"/>
        <v>83.22</v>
      </c>
      <c r="J213" s="248">
        <f t="shared" si="17"/>
        <v>86.3298</v>
      </c>
      <c r="K213" s="251">
        <f t="shared" si="18"/>
        <v>1045.5498</v>
      </c>
      <c r="L213" s="217">
        <f t="shared" si="19"/>
        <v>16352.398872</v>
      </c>
      <c r="M213" s="252"/>
      <c r="N213" s="250"/>
      <c r="O213" s="246"/>
    </row>
    <row r="214" s="203" customFormat="1" ht="89.25" outlineLevel="1" spans="1:15">
      <c r="A214" s="224">
        <v>24</v>
      </c>
      <c r="B214" s="223" t="s">
        <v>360</v>
      </c>
      <c r="C214" s="256" t="s">
        <v>361</v>
      </c>
      <c r="D214" s="224" t="s">
        <v>75</v>
      </c>
      <c r="E214" s="225">
        <v>17.89</v>
      </c>
      <c r="F214" s="228">
        <f t="shared" ref="F214:H214" si="20">F213</f>
        <v>130</v>
      </c>
      <c r="G214" s="233">
        <f t="shared" si="20"/>
        <v>655</v>
      </c>
      <c r="H214" s="230">
        <f t="shared" si="20"/>
        <v>91</v>
      </c>
      <c r="I214" s="247">
        <f t="shared" si="16"/>
        <v>83.22</v>
      </c>
      <c r="J214" s="248">
        <f t="shared" si="17"/>
        <v>86.3298</v>
      </c>
      <c r="K214" s="251">
        <f t="shared" si="18"/>
        <v>1045.5498</v>
      </c>
      <c r="L214" s="217">
        <f t="shared" si="19"/>
        <v>18704.885922</v>
      </c>
      <c r="M214" s="252"/>
      <c r="N214" s="250"/>
      <c r="O214" s="246"/>
    </row>
    <row r="215" s="203" customFormat="1" ht="123.75" outlineLevel="1" spans="1:15">
      <c r="A215" s="224">
        <v>25</v>
      </c>
      <c r="B215" s="223" t="s">
        <v>362</v>
      </c>
      <c r="C215" s="256" t="s">
        <v>363</v>
      </c>
      <c r="D215" s="224" t="s">
        <v>75</v>
      </c>
      <c r="E215" s="225">
        <v>16.8</v>
      </c>
      <c r="F215" s="228">
        <f t="shared" ref="F215:H215" si="21">F214</f>
        <v>130</v>
      </c>
      <c r="G215" s="233">
        <f t="shared" si="21"/>
        <v>655</v>
      </c>
      <c r="H215" s="230">
        <f t="shared" si="21"/>
        <v>91</v>
      </c>
      <c r="I215" s="247">
        <f t="shared" si="16"/>
        <v>83.22</v>
      </c>
      <c r="J215" s="248">
        <f t="shared" si="17"/>
        <v>86.3298</v>
      </c>
      <c r="K215" s="251">
        <f t="shared" si="18"/>
        <v>1045.5498</v>
      </c>
      <c r="L215" s="217">
        <f t="shared" si="19"/>
        <v>17565.23664</v>
      </c>
      <c r="M215" s="252"/>
      <c r="N215" s="250"/>
      <c r="O215" s="246"/>
    </row>
    <row r="216" s="203" customFormat="1" ht="63" outlineLevel="1" spans="1:15">
      <c r="A216" s="224">
        <v>26</v>
      </c>
      <c r="B216" s="274" t="s">
        <v>218</v>
      </c>
      <c r="C216" s="274" t="s">
        <v>364</v>
      </c>
      <c r="D216" s="224" t="s">
        <v>84</v>
      </c>
      <c r="E216" s="231">
        <v>4.844</v>
      </c>
      <c r="F216" s="228">
        <v>3020</v>
      </c>
      <c r="G216" s="229">
        <v>4750</v>
      </c>
      <c r="H216" s="230">
        <v>790</v>
      </c>
      <c r="I216" s="247">
        <f t="shared" si="16"/>
        <v>813.2</v>
      </c>
      <c r="J216" s="248">
        <f t="shared" si="17"/>
        <v>843.588</v>
      </c>
      <c r="K216" s="251">
        <f t="shared" si="18"/>
        <v>10216.788</v>
      </c>
      <c r="L216" s="217">
        <f t="shared" si="19"/>
        <v>49490.121072</v>
      </c>
      <c r="M216" s="288"/>
      <c r="N216" s="249" t="s">
        <v>217</v>
      </c>
      <c r="O216" s="246"/>
    </row>
    <row r="217" s="203" customFormat="1" ht="31.5" outlineLevel="1" spans="1:15">
      <c r="A217" s="224">
        <v>27</v>
      </c>
      <c r="B217" s="275" t="s">
        <v>365</v>
      </c>
      <c r="C217" s="276" t="s">
        <v>366</v>
      </c>
      <c r="D217" s="224" t="s">
        <v>107</v>
      </c>
      <c r="E217" s="277">
        <v>36</v>
      </c>
      <c r="F217" s="228">
        <v>3.6</v>
      </c>
      <c r="G217" s="233">
        <v>13.8</v>
      </c>
      <c r="H217" s="278">
        <v>2</v>
      </c>
      <c r="I217" s="247">
        <f t="shared" si="16"/>
        <v>1.843</v>
      </c>
      <c r="J217" s="248">
        <f t="shared" si="17"/>
        <v>1.91187</v>
      </c>
      <c r="K217" s="251">
        <f t="shared" si="18"/>
        <v>23.15487</v>
      </c>
      <c r="L217" s="217">
        <f t="shared" si="19"/>
        <v>833.57532</v>
      </c>
      <c r="M217" s="289"/>
      <c r="N217" s="290"/>
      <c r="O217" s="246"/>
    </row>
    <row r="218" s="203" customFormat="1" ht="52.5" outlineLevel="1" spans="1:15">
      <c r="A218" s="224">
        <v>28</v>
      </c>
      <c r="B218" s="279" t="s">
        <v>367</v>
      </c>
      <c r="C218" s="280" t="s">
        <v>180</v>
      </c>
      <c r="D218" s="224" t="s">
        <v>72</v>
      </c>
      <c r="E218" s="281">
        <f>5*0.4*0.4*7*0</f>
        <v>0</v>
      </c>
      <c r="F218" s="228">
        <v>120</v>
      </c>
      <c r="G218" s="229">
        <v>370</v>
      </c>
      <c r="H218" s="230">
        <v>40</v>
      </c>
      <c r="I218" s="247">
        <f t="shared" si="16"/>
        <v>50.35</v>
      </c>
      <c r="J218" s="248">
        <f t="shared" si="17"/>
        <v>52.2315</v>
      </c>
      <c r="K218" s="251">
        <f t="shared" si="18"/>
        <v>632.5815</v>
      </c>
      <c r="L218" s="217">
        <f t="shared" si="19"/>
        <v>0</v>
      </c>
      <c r="M218" s="291" t="s">
        <v>368</v>
      </c>
      <c r="N218" s="267"/>
      <c r="O218" s="253"/>
    </row>
    <row r="219" s="203" customFormat="1" ht="31.5" outlineLevel="1" spans="1:15">
      <c r="A219" s="224">
        <v>29</v>
      </c>
      <c r="B219" s="279" t="s">
        <v>369</v>
      </c>
      <c r="C219" s="280" t="s">
        <v>370</v>
      </c>
      <c r="D219" s="224" t="s">
        <v>75</v>
      </c>
      <c r="E219" s="281">
        <v>2.24</v>
      </c>
      <c r="F219" s="228">
        <v>42</v>
      </c>
      <c r="G219" s="233">
        <v>420</v>
      </c>
      <c r="H219" s="235">
        <v>17</v>
      </c>
      <c r="I219" s="247">
        <f t="shared" si="16"/>
        <v>45.505</v>
      </c>
      <c r="J219" s="248">
        <f t="shared" si="17"/>
        <v>47.20545</v>
      </c>
      <c r="K219" s="251">
        <f t="shared" si="18"/>
        <v>571.71045</v>
      </c>
      <c r="L219" s="217">
        <f t="shared" si="19"/>
        <v>1280.631408</v>
      </c>
      <c r="M219" s="266"/>
      <c r="N219" s="267"/>
      <c r="O219" s="246"/>
    </row>
    <row r="220" s="203" customFormat="1" ht="31.5" outlineLevel="1" spans="1:15">
      <c r="A220" s="224">
        <v>30</v>
      </c>
      <c r="B220" s="279" t="s">
        <v>369</v>
      </c>
      <c r="C220" s="280" t="s">
        <v>371</v>
      </c>
      <c r="D220" s="224" t="s">
        <v>75</v>
      </c>
      <c r="E220" s="281">
        <v>60.93</v>
      </c>
      <c r="F220" s="228">
        <v>42</v>
      </c>
      <c r="G220" s="233">
        <v>103.5</v>
      </c>
      <c r="H220" s="235">
        <v>17</v>
      </c>
      <c r="I220" s="247">
        <f t="shared" si="16"/>
        <v>15.4375</v>
      </c>
      <c r="J220" s="248">
        <f t="shared" si="17"/>
        <v>16.014375</v>
      </c>
      <c r="K220" s="251">
        <f t="shared" si="18"/>
        <v>193.951875</v>
      </c>
      <c r="L220" s="217">
        <f t="shared" si="19"/>
        <v>11817.48774375</v>
      </c>
      <c r="M220" s="266"/>
      <c r="N220" s="267"/>
      <c r="O220" s="246"/>
    </row>
    <row r="221" s="203" customFormat="1" ht="42" outlineLevel="1" spans="1:15">
      <c r="A221" s="224">
        <v>31</v>
      </c>
      <c r="B221" s="223" t="s">
        <v>103</v>
      </c>
      <c r="C221" s="223" t="s">
        <v>160</v>
      </c>
      <c r="D221" s="224" t="s">
        <v>75</v>
      </c>
      <c r="E221" s="281">
        <v>37.26</v>
      </c>
      <c r="F221" s="228">
        <v>120</v>
      </c>
      <c r="G221" s="233">
        <v>280</v>
      </c>
      <c r="H221" s="230">
        <v>25</v>
      </c>
      <c r="I221" s="247">
        <f t="shared" si="16"/>
        <v>40.375</v>
      </c>
      <c r="J221" s="248">
        <f t="shared" si="17"/>
        <v>41.88375</v>
      </c>
      <c r="K221" s="251">
        <f t="shared" si="18"/>
        <v>507.25875</v>
      </c>
      <c r="L221" s="217">
        <f t="shared" si="19"/>
        <v>18900.461025</v>
      </c>
      <c r="M221" s="266"/>
      <c r="N221" s="267"/>
      <c r="O221" s="246"/>
    </row>
    <row r="222" s="203" customFormat="1" ht="31.5" outlineLevel="1" spans="1:15">
      <c r="A222" s="224">
        <v>32</v>
      </c>
      <c r="B222" s="282" t="s">
        <v>372</v>
      </c>
      <c r="C222" s="283" t="s">
        <v>373</v>
      </c>
      <c r="D222" s="224" t="s">
        <v>75</v>
      </c>
      <c r="E222" s="281">
        <v>37.26</v>
      </c>
      <c r="F222" s="228">
        <v>28.8</v>
      </c>
      <c r="G222" s="233">
        <v>260</v>
      </c>
      <c r="H222" s="263">
        <v>5</v>
      </c>
      <c r="I222" s="247">
        <f t="shared" si="16"/>
        <v>27.911</v>
      </c>
      <c r="J222" s="248">
        <f t="shared" si="17"/>
        <v>28.95399</v>
      </c>
      <c r="K222" s="251">
        <f t="shared" si="18"/>
        <v>350.66499</v>
      </c>
      <c r="L222" s="217">
        <f t="shared" si="19"/>
        <v>13065.7775274</v>
      </c>
      <c r="M222" s="266"/>
      <c r="N222" s="267"/>
      <c r="O222" s="246"/>
    </row>
    <row r="223" s="203" customFormat="1" ht="31.5" outlineLevel="1" spans="1:15">
      <c r="A223" s="224">
        <v>33</v>
      </c>
      <c r="B223" s="279" t="s">
        <v>374</v>
      </c>
      <c r="C223" s="280" t="s">
        <v>373</v>
      </c>
      <c r="D223" s="224" t="s">
        <v>75</v>
      </c>
      <c r="E223" s="281">
        <v>13.11</v>
      </c>
      <c r="F223" s="228">
        <v>28.8</v>
      </c>
      <c r="G223" s="233">
        <v>260</v>
      </c>
      <c r="H223" s="263">
        <v>5</v>
      </c>
      <c r="I223" s="247">
        <f t="shared" si="16"/>
        <v>27.911</v>
      </c>
      <c r="J223" s="248">
        <f t="shared" si="17"/>
        <v>28.95399</v>
      </c>
      <c r="K223" s="251">
        <f t="shared" si="18"/>
        <v>350.66499</v>
      </c>
      <c r="L223" s="217">
        <f t="shared" si="19"/>
        <v>4597.2180189</v>
      </c>
      <c r="M223" s="266"/>
      <c r="N223" s="267"/>
      <c r="O223" s="246"/>
    </row>
    <row r="224" s="203" customFormat="1" ht="21" outlineLevel="1" spans="1:15">
      <c r="A224" s="224" t="s">
        <v>375</v>
      </c>
      <c r="B224" s="279" t="s">
        <v>376</v>
      </c>
      <c r="C224" s="280"/>
      <c r="D224" s="224"/>
      <c r="E224" s="281"/>
      <c r="F224" s="284"/>
      <c r="G224" s="284"/>
      <c r="H224" s="217"/>
      <c r="I224" s="247">
        <f t="shared" si="16"/>
        <v>0</v>
      </c>
      <c r="J224" s="248">
        <f t="shared" si="17"/>
        <v>0</v>
      </c>
      <c r="K224" s="251">
        <f t="shared" si="18"/>
        <v>0</v>
      </c>
      <c r="L224" s="217">
        <f t="shared" si="19"/>
        <v>0</v>
      </c>
      <c r="M224" s="266"/>
      <c r="N224" s="267"/>
      <c r="O224" s="246"/>
    </row>
    <row r="225" s="203" customFormat="1" ht="52.5" outlineLevel="1" spans="1:15">
      <c r="A225" s="224">
        <v>1</v>
      </c>
      <c r="B225" s="223" t="s">
        <v>70</v>
      </c>
      <c r="C225" s="223" t="s">
        <v>71</v>
      </c>
      <c r="D225" s="224" t="s">
        <v>72</v>
      </c>
      <c r="E225" s="281">
        <f>9.89</f>
        <v>9.89</v>
      </c>
      <c r="F225" s="228">
        <v>3</v>
      </c>
      <c r="G225" s="229">
        <v>0</v>
      </c>
      <c r="H225" s="230">
        <v>7</v>
      </c>
      <c r="I225" s="247">
        <f t="shared" si="16"/>
        <v>0.95</v>
      </c>
      <c r="J225" s="248">
        <f t="shared" si="17"/>
        <v>0.9855</v>
      </c>
      <c r="K225" s="251">
        <f t="shared" si="18"/>
        <v>11.9355</v>
      </c>
      <c r="L225" s="217">
        <f t="shared" si="19"/>
        <v>118.042095</v>
      </c>
      <c r="M225" s="266"/>
      <c r="N225" s="267"/>
      <c r="O225" s="246"/>
    </row>
    <row r="226" s="203" customFormat="1" ht="42" outlineLevel="1" spans="1:15">
      <c r="A226" s="224">
        <v>2</v>
      </c>
      <c r="B226" s="238" t="s">
        <v>76</v>
      </c>
      <c r="C226" s="238" t="s">
        <v>377</v>
      </c>
      <c r="D226" s="224" t="s">
        <v>72</v>
      </c>
      <c r="E226" s="281">
        <f>0.26</f>
        <v>0.26</v>
      </c>
      <c r="F226" s="228">
        <v>13</v>
      </c>
      <c r="G226" s="229">
        <v>103</v>
      </c>
      <c r="H226" s="230">
        <v>15</v>
      </c>
      <c r="I226" s="247">
        <f t="shared" si="16"/>
        <v>12.445</v>
      </c>
      <c r="J226" s="248">
        <f t="shared" si="17"/>
        <v>12.91005</v>
      </c>
      <c r="K226" s="251">
        <f t="shared" si="18"/>
        <v>156.35505</v>
      </c>
      <c r="L226" s="217">
        <f t="shared" si="19"/>
        <v>40.652313</v>
      </c>
      <c r="M226" s="266"/>
      <c r="N226" s="267"/>
      <c r="O226" s="246"/>
    </row>
    <row r="227" s="203" customFormat="1" ht="63" outlineLevel="1" spans="1:15">
      <c r="A227" s="224">
        <v>3</v>
      </c>
      <c r="B227" s="279" t="s">
        <v>115</v>
      </c>
      <c r="C227" s="280" t="s">
        <v>378</v>
      </c>
      <c r="D227" s="224" t="s">
        <v>72</v>
      </c>
      <c r="E227" s="281">
        <v>0.36</v>
      </c>
      <c r="F227" s="228">
        <f>G227*0.19</f>
        <v>65.55</v>
      </c>
      <c r="G227" s="229">
        <v>345</v>
      </c>
      <c r="H227" s="230">
        <f>G227*0.05</f>
        <v>17.25</v>
      </c>
      <c r="I227" s="247">
        <f t="shared" si="16"/>
        <v>40.641</v>
      </c>
      <c r="J227" s="248">
        <f t="shared" si="17"/>
        <v>42.15969</v>
      </c>
      <c r="K227" s="251">
        <f t="shared" si="18"/>
        <v>510.60069</v>
      </c>
      <c r="L227" s="217">
        <f t="shared" si="19"/>
        <v>183.8162484</v>
      </c>
      <c r="M227" s="266"/>
      <c r="N227" s="267"/>
      <c r="O227" s="246"/>
    </row>
    <row r="228" s="203" customFormat="1" ht="52.5" outlineLevel="1" spans="1:15">
      <c r="A228" s="224">
        <v>4</v>
      </c>
      <c r="B228" s="223" t="s">
        <v>151</v>
      </c>
      <c r="C228" s="223" t="s">
        <v>152</v>
      </c>
      <c r="D228" s="224" t="s">
        <v>72</v>
      </c>
      <c r="E228" s="281">
        <v>2.75</v>
      </c>
      <c r="F228" s="228">
        <f>120*0+90</f>
        <v>90</v>
      </c>
      <c r="G228" s="229">
        <v>370</v>
      </c>
      <c r="H228" s="230">
        <v>40</v>
      </c>
      <c r="I228" s="247">
        <f t="shared" si="16"/>
        <v>47.5</v>
      </c>
      <c r="J228" s="248">
        <f t="shared" si="17"/>
        <v>49.275</v>
      </c>
      <c r="K228" s="251">
        <f t="shared" si="18"/>
        <v>596.775</v>
      </c>
      <c r="L228" s="217">
        <f t="shared" si="19"/>
        <v>1641.13125</v>
      </c>
      <c r="M228" s="266"/>
      <c r="N228" s="267"/>
      <c r="O228" s="246"/>
    </row>
    <row r="229" s="203" customFormat="1" ht="42" outlineLevel="1" spans="1:15">
      <c r="A229" s="224">
        <v>5</v>
      </c>
      <c r="B229" s="223" t="s">
        <v>153</v>
      </c>
      <c r="C229" s="223" t="s">
        <v>204</v>
      </c>
      <c r="D229" s="224" t="s">
        <v>84</v>
      </c>
      <c r="E229" s="260">
        <v>0.043</v>
      </c>
      <c r="F229" s="228">
        <v>1200</v>
      </c>
      <c r="G229" s="232">
        <v>4050</v>
      </c>
      <c r="H229" s="230">
        <v>150</v>
      </c>
      <c r="I229" s="247">
        <f t="shared" si="16"/>
        <v>513</v>
      </c>
      <c r="J229" s="248">
        <f t="shared" si="17"/>
        <v>532.17</v>
      </c>
      <c r="K229" s="251">
        <f t="shared" si="18"/>
        <v>6445.17</v>
      </c>
      <c r="L229" s="217">
        <f t="shared" si="19"/>
        <v>277.14231</v>
      </c>
      <c r="M229" s="266"/>
      <c r="N229" s="267"/>
      <c r="O229" s="246"/>
    </row>
    <row r="230" s="203" customFormat="1" ht="42" outlineLevel="1" spans="1:15">
      <c r="A230" s="224">
        <v>6</v>
      </c>
      <c r="B230" s="279" t="s">
        <v>379</v>
      </c>
      <c r="C230" s="280" t="s">
        <v>380</v>
      </c>
      <c r="D230" s="224" t="s">
        <v>84</v>
      </c>
      <c r="E230" s="260">
        <v>0.054</v>
      </c>
      <c r="F230" s="228">
        <v>2400</v>
      </c>
      <c r="G230" s="233">
        <v>3335</v>
      </c>
      <c r="H230" s="230">
        <v>1000</v>
      </c>
      <c r="I230" s="247">
        <f t="shared" si="16"/>
        <v>639.825</v>
      </c>
      <c r="J230" s="248">
        <f t="shared" si="17"/>
        <v>663.73425</v>
      </c>
      <c r="K230" s="251">
        <f t="shared" si="18"/>
        <v>8038.55925</v>
      </c>
      <c r="L230" s="217">
        <f t="shared" si="19"/>
        <v>434.0821995</v>
      </c>
      <c r="M230" s="266"/>
      <c r="N230" s="267"/>
      <c r="O230" s="246"/>
    </row>
    <row r="231" s="203" customFormat="1" ht="52.5" outlineLevel="1" spans="1:15">
      <c r="A231" s="224">
        <v>7</v>
      </c>
      <c r="B231" s="279" t="s">
        <v>381</v>
      </c>
      <c r="C231" s="280" t="s">
        <v>382</v>
      </c>
      <c r="D231" s="224" t="s">
        <v>72</v>
      </c>
      <c r="E231" s="281">
        <v>0.18</v>
      </c>
      <c r="F231" s="228">
        <v>120</v>
      </c>
      <c r="G231" s="234">
        <v>360</v>
      </c>
      <c r="H231" s="230">
        <v>40</v>
      </c>
      <c r="I231" s="247">
        <f t="shared" si="16"/>
        <v>49.4</v>
      </c>
      <c r="J231" s="248">
        <f t="shared" si="17"/>
        <v>51.246</v>
      </c>
      <c r="K231" s="251">
        <f t="shared" si="18"/>
        <v>620.646</v>
      </c>
      <c r="L231" s="217">
        <f t="shared" si="19"/>
        <v>111.71628</v>
      </c>
      <c r="M231" s="266"/>
      <c r="N231" s="267"/>
      <c r="O231" s="246"/>
    </row>
    <row r="232" s="203" customFormat="1" ht="21" outlineLevel="1" spans="1:15">
      <c r="A232" s="224" t="s">
        <v>383</v>
      </c>
      <c r="B232" s="279" t="s">
        <v>384</v>
      </c>
      <c r="C232" s="280"/>
      <c r="D232" s="224"/>
      <c r="E232" s="281"/>
      <c r="F232" s="284"/>
      <c r="G232" s="284"/>
      <c r="H232" s="217"/>
      <c r="I232" s="247">
        <f t="shared" si="16"/>
        <v>0</v>
      </c>
      <c r="J232" s="248">
        <f t="shared" si="17"/>
        <v>0</v>
      </c>
      <c r="K232" s="251">
        <f t="shared" si="18"/>
        <v>0</v>
      </c>
      <c r="L232" s="217">
        <f t="shared" si="19"/>
        <v>0</v>
      </c>
      <c r="M232" s="266"/>
      <c r="N232" s="267"/>
      <c r="O232" s="246"/>
    </row>
    <row r="233" s="203" customFormat="1" ht="52.5" outlineLevel="1" spans="1:15">
      <c r="A233" s="224">
        <v>1</v>
      </c>
      <c r="B233" s="223" t="s">
        <v>70</v>
      </c>
      <c r="C233" s="223" t="s">
        <v>71</v>
      </c>
      <c r="D233" s="224" t="s">
        <v>72</v>
      </c>
      <c r="E233" s="281">
        <v>4.95</v>
      </c>
      <c r="F233" s="228">
        <v>3</v>
      </c>
      <c r="G233" s="229">
        <v>0</v>
      </c>
      <c r="H233" s="230">
        <v>7</v>
      </c>
      <c r="I233" s="247">
        <f t="shared" si="16"/>
        <v>0.95</v>
      </c>
      <c r="J233" s="248">
        <f t="shared" si="17"/>
        <v>0.9855</v>
      </c>
      <c r="K233" s="251">
        <f t="shared" si="18"/>
        <v>11.9355</v>
      </c>
      <c r="L233" s="217">
        <f t="shared" si="19"/>
        <v>59.080725</v>
      </c>
      <c r="M233" s="266"/>
      <c r="N233" s="267"/>
      <c r="O233" s="246"/>
    </row>
    <row r="234" s="203" customFormat="1" ht="42" outlineLevel="1" spans="1:15">
      <c r="A234" s="224">
        <v>2</v>
      </c>
      <c r="B234" s="238" t="s">
        <v>76</v>
      </c>
      <c r="C234" s="238" t="s">
        <v>377</v>
      </c>
      <c r="D234" s="224" t="s">
        <v>72</v>
      </c>
      <c r="E234" s="281">
        <v>0.13</v>
      </c>
      <c r="F234" s="228">
        <v>13</v>
      </c>
      <c r="G234" s="229">
        <v>103</v>
      </c>
      <c r="H234" s="230">
        <v>15</v>
      </c>
      <c r="I234" s="247">
        <f t="shared" si="16"/>
        <v>12.445</v>
      </c>
      <c r="J234" s="248">
        <f t="shared" si="17"/>
        <v>12.91005</v>
      </c>
      <c r="K234" s="251">
        <f t="shared" si="18"/>
        <v>156.35505</v>
      </c>
      <c r="L234" s="217">
        <f t="shared" si="19"/>
        <v>20.3261565</v>
      </c>
      <c r="M234" s="266"/>
      <c r="N234" s="267"/>
      <c r="O234" s="246"/>
    </row>
    <row r="235" s="203" customFormat="1" ht="63" outlineLevel="1" spans="1:15">
      <c r="A235" s="224">
        <v>3</v>
      </c>
      <c r="B235" s="279" t="s">
        <v>115</v>
      </c>
      <c r="C235" s="280" t="s">
        <v>378</v>
      </c>
      <c r="D235" s="224" t="s">
        <v>72</v>
      </c>
      <c r="E235" s="281">
        <v>0.18</v>
      </c>
      <c r="F235" s="228">
        <f>G235*0.19</f>
        <v>65.55</v>
      </c>
      <c r="G235" s="229">
        <v>345</v>
      </c>
      <c r="H235" s="230">
        <f>G235*0.05</f>
        <v>17.25</v>
      </c>
      <c r="I235" s="247">
        <f t="shared" si="16"/>
        <v>40.641</v>
      </c>
      <c r="J235" s="248">
        <f t="shared" si="17"/>
        <v>42.15969</v>
      </c>
      <c r="K235" s="251">
        <f t="shared" si="18"/>
        <v>510.60069</v>
      </c>
      <c r="L235" s="217">
        <f t="shared" si="19"/>
        <v>91.9081242</v>
      </c>
      <c r="M235" s="266"/>
      <c r="N235" s="267"/>
      <c r="O235" s="246"/>
    </row>
    <row r="236" s="203" customFormat="1" ht="52.5" outlineLevel="1" spans="1:15">
      <c r="A236" s="224">
        <v>4</v>
      </c>
      <c r="B236" s="223" t="s">
        <v>151</v>
      </c>
      <c r="C236" s="223" t="s">
        <v>152</v>
      </c>
      <c r="D236" s="224" t="s">
        <v>72</v>
      </c>
      <c r="E236" s="281">
        <v>1.38</v>
      </c>
      <c r="F236" s="228">
        <f>120*0+90</f>
        <v>90</v>
      </c>
      <c r="G236" s="229">
        <v>370</v>
      </c>
      <c r="H236" s="230">
        <v>40</v>
      </c>
      <c r="I236" s="247">
        <f t="shared" si="16"/>
        <v>47.5</v>
      </c>
      <c r="J236" s="248">
        <f t="shared" si="17"/>
        <v>49.275</v>
      </c>
      <c r="K236" s="251">
        <f t="shared" si="18"/>
        <v>596.775</v>
      </c>
      <c r="L236" s="217">
        <f t="shared" si="19"/>
        <v>823.5495</v>
      </c>
      <c r="M236" s="266"/>
      <c r="N236" s="267"/>
      <c r="O236" s="246"/>
    </row>
    <row r="237" s="203" customFormat="1" ht="42" outlineLevel="1" spans="1:15">
      <c r="A237" s="224">
        <v>5</v>
      </c>
      <c r="B237" s="223" t="s">
        <v>153</v>
      </c>
      <c r="C237" s="223" t="s">
        <v>204</v>
      </c>
      <c r="D237" s="224" t="s">
        <v>84</v>
      </c>
      <c r="E237" s="260">
        <v>0.021</v>
      </c>
      <c r="F237" s="228">
        <v>1200</v>
      </c>
      <c r="G237" s="232">
        <v>4050</v>
      </c>
      <c r="H237" s="230">
        <v>150</v>
      </c>
      <c r="I237" s="247">
        <f t="shared" si="16"/>
        <v>513</v>
      </c>
      <c r="J237" s="248">
        <f t="shared" si="17"/>
        <v>532.17</v>
      </c>
      <c r="K237" s="251">
        <f t="shared" si="18"/>
        <v>6445.17</v>
      </c>
      <c r="L237" s="217">
        <f t="shared" si="19"/>
        <v>135.34857</v>
      </c>
      <c r="M237" s="266"/>
      <c r="N237" s="267"/>
      <c r="O237" s="246"/>
    </row>
    <row r="238" s="203" customFormat="1" ht="42" outlineLevel="1" spans="1:15">
      <c r="A238" s="224">
        <v>6</v>
      </c>
      <c r="B238" s="279" t="s">
        <v>379</v>
      </c>
      <c r="C238" s="280" t="s">
        <v>380</v>
      </c>
      <c r="D238" s="224" t="s">
        <v>84</v>
      </c>
      <c r="E238" s="260">
        <v>0.024</v>
      </c>
      <c r="F238" s="228">
        <v>2400</v>
      </c>
      <c r="G238" s="233">
        <v>3335</v>
      </c>
      <c r="H238" s="230">
        <v>1000</v>
      </c>
      <c r="I238" s="247">
        <f t="shared" si="16"/>
        <v>639.825</v>
      </c>
      <c r="J238" s="248">
        <f t="shared" si="17"/>
        <v>663.73425</v>
      </c>
      <c r="K238" s="251">
        <f t="shared" si="18"/>
        <v>8038.55925</v>
      </c>
      <c r="L238" s="217">
        <f t="shared" si="19"/>
        <v>192.925422</v>
      </c>
      <c r="M238" s="266"/>
      <c r="N238" s="267"/>
      <c r="O238" s="246"/>
    </row>
    <row r="239" s="203" customFormat="1" ht="52.5" outlineLevel="1" spans="1:15">
      <c r="A239" s="224">
        <v>7</v>
      </c>
      <c r="B239" s="279" t="s">
        <v>381</v>
      </c>
      <c r="C239" s="280" t="s">
        <v>382</v>
      </c>
      <c r="D239" s="224" t="s">
        <v>72</v>
      </c>
      <c r="E239" s="281">
        <v>0.09</v>
      </c>
      <c r="F239" s="228">
        <v>120</v>
      </c>
      <c r="G239" s="234">
        <v>360</v>
      </c>
      <c r="H239" s="230">
        <v>40</v>
      </c>
      <c r="I239" s="247">
        <f t="shared" si="16"/>
        <v>49.4</v>
      </c>
      <c r="J239" s="248">
        <f t="shared" si="17"/>
        <v>51.246</v>
      </c>
      <c r="K239" s="251">
        <f t="shared" si="18"/>
        <v>620.646</v>
      </c>
      <c r="L239" s="217">
        <f t="shared" si="19"/>
        <v>55.85814</v>
      </c>
      <c r="M239" s="266"/>
      <c r="N239" s="267"/>
      <c r="O239" s="246"/>
    </row>
    <row r="240" s="203" customFormat="1" ht="12" spans="1:15">
      <c r="A240" s="221" t="s">
        <v>385</v>
      </c>
      <c r="B240" s="285" t="s">
        <v>386</v>
      </c>
      <c r="C240" s="280"/>
      <c r="D240" s="224"/>
      <c r="E240" s="281"/>
      <c r="F240" s="284"/>
      <c r="G240" s="284"/>
      <c r="H240" s="217"/>
      <c r="I240" s="247">
        <f t="shared" si="16"/>
        <v>0</v>
      </c>
      <c r="J240" s="248">
        <f t="shared" si="17"/>
        <v>0</v>
      </c>
      <c r="K240" s="251">
        <f t="shared" si="18"/>
        <v>0</v>
      </c>
      <c r="L240" s="217">
        <f t="shared" si="19"/>
        <v>0</v>
      </c>
      <c r="M240" s="266"/>
      <c r="N240" s="267"/>
      <c r="O240" s="246"/>
    </row>
    <row r="241" s="203" customFormat="1" ht="12" outlineLevel="1" spans="1:15">
      <c r="A241" s="224"/>
      <c r="B241" s="279" t="s">
        <v>387</v>
      </c>
      <c r="C241" s="280"/>
      <c r="D241" s="224"/>
      <c r="E241" s="281"/>
      <c r="F241" s="284"/>
      <c r="G241" s="284"/>
      <c r="H241" s="217"/>
      <c r="I241" s="247">
        <f t="shared" si="16"/>
        <v>0</v>
      </c>
      <c r="J241" s="248">
        <f t="shared" si="17"/>
        <v>0</v>
      </c>
      <c r="K241" s="251">
        <f t="shared" si="18"/>
        <v>0</v>
      </c>
      <c r="L241" s="217">
        <f t="shared" si="19"/>
        <v>0</v>
      </c>
      <c r="M241" s="266"/>
      <c r="N241" s="267"/>
      <c r="O241" s="246"/>
    </row>
    <row r="242" s="203" customFormat="1" ht="52.5" outlineLevel="1" spans="1:15">
      <c r="A242" s="224">
        <v>1</v>
      </c>
      <c r="B242" s="223" t="s">
        <v>70</v>
      </c>
      <c r="C242" s="223" t="s">
        <v>71</v>
      </c>
      <c r="D242" s="224" t="s">
        <v>72</v>
      </c>
      <c r="E242" s="225">
        <v>1.45</v>
      </c>
      <c r="F242" s="228">
        <v>3</v>
      </c>
      <c r="G242" s="229">
        <v>0</v>
      </c>
      <c r="H242" s="230">
        <v>7</v>
      </c>
      <c r="I242" s="247">
        <f t="shared" si="16"/>
        <v>0.95</v>
      </c>
      <c r="J242" s="248">
        <f t="shared" si="17"/>
        <v>0.9855</v>
      </c>
      <c r="K242" s="251">
        <f t="shared" si="18"/>
        <v>11.9355</v>
      </c>
      <c r="L242" s="217">
        <f t="shared" si="19"/>
        <v>17.306475</v>
      </c>
      <c r="M242" s="249"/>
      <c r="N242" s="250"/>
      <c r="O242" s="246"/>
    </row>
    <row r="243" s="203" customFormat="1" ht="73.5" outlineLevel="1" spans="1:15">
      <c r="A243" s="224">
        <v>2</v>
      </c>
      <c r="B243" s="223" t="s">
        <v>167</v>
      </c>
      <c r="C243" s="223" t="s">
        <v>168</v>
      </c>
      <c r="D243" s="224" t="s">
        <v>72</v>
      </c>
      <c r="E243" s="225">
        <v>0.32</v>
      </c>
      <c r="F243" s="228">
        <v>3</v>
      </c>
      <c r="G243" s="229">
        <v>0</v>
      </c>
      <c r="H243" s="230">
        <f>6*0+8</f>
        <v>8</v>
      </c>
      <c r="I243" s="247">
        <f t="shared" si="16"/>
        <v>1.045</v>
      </c>
      <c r="J243" s="248">
        <f t="shared" si="17"/>
        <v>1.08405</v>
      </c>
      <c r="K243" s="251">
        <f t="shared" si="18"/>
        <v>13.12905</v>
      </c>
      <c r="L243" s="217">
        <f t="shared" si="19"/>
        <v>4.201296</v>
      </c>
      <c r="M243" s="252"/>
      <c r="N243" s="254"/>
      <c r="O243" s="246"/>
    </row>
    <row r="244" s="203" customFormat="1" ht="42" outlineLevel="1" spans="1:15">
      <c r="A244" s="224">
        <v>2</v>
      </c>
      <c r="B244" s="279" t="s">
        <v>388</v>
      </c>
      <c r="C244" s="280" t="s">
        <v>389</v>
      </c>
      <c r="D244" s="224" t="s">
        <v>75</v>
      </c>
      <c r="E244" s="281">
        <f>1.5*3.18</f>
        <v>4.77</v>
      </c>
      <c r="F244" s="228">
        <v>48.5</v>
      </c>
      <c r="G244" s="229">
        <f>G122</f>
        <v>70.62</v>
      </c>
      <c r="H244" s="230">
        <f>H122</f>
        <v>13.95</v>
      </c>
      <c r="I244" s="247">
        <f t="shared" si="16"/>
        <v>12.64165</v>
      </c>
      <c r="J244" s="248">
        <f t="shared" si="17"/>
        <v>13.1140485</v>
      </c>
      <c r="K244" s="251">
        <f t="shared" si="18"/>
        <v>158.8256985</v>
      </c>
      <c r="L244" s="217">
        <f t="shared" si="19"/>
        <v>757.598581845</v>
      </c>
      <c r="M244" s="266"/>
      <c r="N244" s="232" t="s">
        <v>89</v>
      </c>
      <c r="O244" s="246"/>
    </row>
    <row r="245" s="203" customFormat="1" ht="73.5" outlineLevel="1" spans="1:15">
      <c r="A245" s="224">
        <v>3</v>
      </c>
      <c r="B245" s="279" t="s">
        <v>296</v>
      </c>
      <c r="C245" s="280" t="s">
        <v>390</v>
      </c>
      <c r="D245" s="286" t="s">
        <v>72</v>
      </c>
      <c r="E245" s="251">
        <f>1.9*0.1</f>
        <v>0.19</v>
      </c>
      <c r="F245" s="228">
        <v>120</v>
      </c>
      <c r="G245" s="234">
        <v>360</v>
      </c>
      <c r="H245" s="230">
        <v>40</v>
      </c>
      <c r="I245" s="247">
        <f t="shared" si="16"/>
        <v>49.4</v>
      </c>
      <c r="J245" s="248">
        <f t="shared" si="17"/>
        <v>51.246</v>
      </c>
      <c r="K245" s="251">
        <f t="shared" si="18"/>
        <v>620.646</v>
      </c>
      <c r="L245" s="217">
        <f t="shared" si="19"/>
        <v>117.92274</v>
      </c>
      <c r="M245" s="266"/>
      <c r="N245" s="267"/>
      <c r="O245" s="246"/>
    </row>
    <row r="246" s="203" customFormat="1" ht="52.5" outlineLevel="1" spans="1:15">
      <c r="A246" s="224">
        <v>4</v>
      </c>
      <c r="B246" s="279" t="s">
        <v>182</v>
      </c>
      <c r="C246" s="280" t="s">
        <v>391</v>
      </c>
      <c r="D246" s="224" t="s">
        <v>75</v>
      </c>
      <c r="E246" s="251">
        <f>0.33*3.18</f>
        <v>1.0494</v>
      </c>
      <c r="F246" s="228">
        <f>F88</f>
        <v>210</v>
      </c>
      <c r="G246" s="228">
        <f>G88</f>
        <v>270</v>
      </c>
      <c r="H246" s="230">
        <v>27</v>
      </c>
      <c r="I246" s="247">
        <f t="shared" si="16"/>
        <v>48.165</v>
      </c>
      <c r="J246" s="248">
        <f t="shared" si="17"/>
        <v>49.96485</v>
      </c>
      <c r="K246" s="251">
        <f t="shared" si="18"/>
        <v>605.12985</v>
      </c>
      <c r="L246" s="217">
        <f t="shared" si="19"/>
        <v>635.02326459</v>
      </c>
      <c r="M246" s="266"/>
      <c r="N246" s="267"/>
      <c r="O246" s="246"/>
    </row>
    <row r="247" s="203" customFormat="1" ht="63" outlineLevel="1" spans="1:15">
      <c r="A247" s="224">
        <v>5</v>
      </c>
      <c r="B247" s="279" t="s">
        <v>115</v>
      </c>
      <c r="C247" s="280" t="s">
        <v>144</v>
      </c>
      <c r="D247" s="286" t="s">
        <v>72</v>
      </c>
      <c r="E247" s="251">
        <f t="shared" ref="E247:E249" si="22">0.91*0.1*3.18</f>
        <v>0.28938</v>
      </c>
      <c r="F247" s="228">
        <f>G247*0.19</f>
        <v>65.55</v>
      </c>
      <c r="G247" s="229">
        <v>345</v>
      </c>
      <c r="H247" s="230">
        <f>G247*0.05</f>
        <v>17.25</v>
      </c>
      <c r="I247" s="247">
        <f t="shared" si="16"/>
        <v>40.641</v>
      </c>
      <c r="J247" s="248">
        <f t="shared" si="17"/>
        <v>42.15969</v>
      </c>
      <c r="K247" s="251">
        <f t="shared" si="18"/>
        <v>510.60069</v>
      </c>
      <c r="L247" s="217">
        <f t="shared" si="19"/>
        <v>147.7576276722</v>
      </c>
      <c r="M247" s="266"/>
      <c r="N247" s="267"/>
      <c r="O247" s="246"/>
    </row>
    <row r="248" s="203" customFormat="1" ht="42" outlineLevel="1" spans="1:15">
      <c r="A248" s="224">
        <v>6</v>
      </c>
      <c r="B248" s="279" t="s">
        <v>76</v>
      </c>
      <c r="C248" s="280" t="s">
        <v>170</v>
      </c>
      <c r="D248" s="286" t="s">
        <v>72</v>
      </c>
      <c r="E248" s="251">
        <f t="shared" si="22"/>
        <v>0.28938</v>
      </c>
      <c r="F248" s="228">
        <v>13</v>
      </c>
      <c r="G248" s="229">
        <v>103</v>
      </c>
      <c r="H248" s="230">
        <v>15</v>
      </c>
      <c r="I248" s="247">
        <f t="shared" si="16"/>
        <v>12.445</v>
      </c>
      <c r="J248" s="248">
        <f t="shared" si="17"/>
        <v>12.91005</v>
      </c>
      <c r="K248" s="251">
        <f t="shared" si="18"/>
        <v>156.35505</v>
      </c>
      <c r="L248" s="217">
        <f t="shared" si="19"/>
        <v>45.246024369</v>
      </c>
      <c r="M248" s="266"/>
      <c r="N248" s="267"/>
      <c r="O248" s="246"/>
    </row>
    <row r="249" s="203" customFormat="1" ht="31.5" outlineLevel="1" spans="1:15">
      <c r="A249" s="224">
        <v>7</v>
      </c>
      <c r="B249" s="279" t="s">
        <v>73</v>
      </c>
      <c r="C249" s="280" t="s">
        <v>137</v>
      </c>
      <c r="D249" s="224" t="s">
        <v>75</v>
      </c>
      <c r="E249" s="251">
        <f>0.91*3.18</f>
        <v>2.8938</v>
      </c>
      <c r="F249" s="228">
        <v>1.2</v>
      </c>
      <c r="G249" s="233">
        <v>0</v>
      </c>
      <c r="H249" s="230">
        <v>1.5</v>
      </c>
      <c r="I249" s="247">
        <f t="shared" si="16"/>
        <v>0.2565</v>
      </c>
      <c r="J249" s="248">
        <f t="shared" si="17"/>
        <v>0.266085</v>
      </c>
      <c r="K249" s="251">
        <f t="shared" si="18"/>
        <v>3.222585</v>
      </c>
      <c r="L249" s="217">
        <f t="shared" si="19"/>
        <v>9.325516473</v>
      </c>
      <c r="M249" s="266"/>
      <c r="N249" s="267"/>
      <c r="O249" s="246"/>
    </row>
    <row r="250" s="203" customFormat="1" ht="12" outlineLevel="1" spans="1:15">
      <c r="A250" s="224"/>
      <c r="B250" s="279" t="s">
        <v>392</v>
      </c>
      <c r="C250" s="280"/>
      <c r="D250" s="224"/>
      <c r="E250" s="281"/>
      <c r="F250" s="228"/>
      <c r="G250" s="234"/>
      <c r="H250" s="235"/>
      <c r="I250" s="247">
        <f t="shared" si="16"/>
        <v>0</v>
      </c>
      <c r="J250" s="248">
        <f t="shared" si="17"/>
        <v>0</v>
      </c>
      <c r="K250" s="251">
        <f t="shared" si="18"/>
        <v>0</v>
      </c>
      <c r="L250" s="217">
        <f t="shared" si="19"/>
        <v>0</v>
      </c>
      <c r="M250" s="266"/>
      <c r="N250" s="267"/>
      <c r="O250" s="246"/>
    </row>
    <row r="251" s="203" customFormat="1" ht="52.5" outlineLevel="1" spans="1:15">
      <c r="A251" s="224">
        <v>1</v>
      </c>
      <c r="B251" s="223" t="s">
        <v>70</v>
      </c>
      <c r="C251" s="223" t="s">
        <v>71</v>
      </c>
      <c r="D251" s="224" t="s">
        <v>72</v>
      </c>
      <c r="E251" s="225">
        <v>1.52</v>
      </c>
      <c r="F251" s="228">
        <v>3</v>
      </c>
      <c r="G251" s="229">
        <v>0</v>
      </c>
      <c r="H251" s="230">
        <v>7</v>
      </c>
      <c r="I251" s="247">
        <f t="shared" si="16"/>
        <v>0.95</v>
      </c>
      <c r="J251" s="248">
        <f t="shared" si="17"/>
        <v>0.9855</v>
      </c>
      <c r="K251" s="251">
        <f t="shared" si="18"/>
        <v>11.9355</v>
      </c>
      <c r="L251" s="217">
        <f t="shared" si="19"/>
        <v>18.14196</v>
      </c>
      <c r="M251" s="249"/>
      <c r="N251" s="250"/>
      <c r="O251" s="246"/>
    </row>
    <row r="252" s="203" customFormat="1" ht="73.5" outlineLevel="1" spans="1:15">
      <c r="A252" s="224">
        <v>2</v>
      </c>
      <c r="B252" s="223" t="s">
        <v>167</v>
      </c>
      <c r="C252" s="223" t="s">
        <v>168</v>
      </c>
      <c r="D252" s="224" t="s">
        <v>72</v>
      </c>
      <c r="E252" s="225">
        <v>0.33</v>
      </c>
      <c r="F252" s="228">
        <v>3</v>
      </c>
      <c r="G252" s="229">
        <v>0</v>
      </c>
      <c r="H252" s="230">
        <f>6*0+8</f>
        <v>8</v>
      </c>
      <c r="I252" s="247">
        <f t="shared" si="16"/>
        <v>1.045</v>
      </c>
      <c r="J252" s="248">
        <f t="shared" si="17"/>
        <v>1.08405</v>
      </c>
      <c r="K252" s="251">
        <f t="shared" si="18"/>
        <v>13.12905</v>
      </c>
      <c r="L252" s="217">
        <f t="shared" si="19"/>
        <v>4.3325865</v>
      </c>
      <c r="M252" s="252"/>
      <c r="N252" s="254"/>
      <c r="O252" s="246"/>
    </row>
    <row r="253" s="203" customFormat="1" ht="42" outlineLevel="1" spans="1:15">
      <c r="A253" s="224">
        <v>2</v>
      </c>
      <c r="B253" s="279" t="s">
        <v>388</v>
      </c>
      <c r="C253" s="280" t="s">
        <v>389</v>
      </c>
      <c r="D253" s="224" t="s">
        <v>75</v>
      </c>
      <c r="E253" s="281">
        <f>1.5*3.33</f>
        <v>4.995</v>
      </c>
      <c r="F253" s="228">
        <v>48.5</v>
      </c>
      <c r="G253" s="229">
        <f>G244</f>
        <v>70.62</v>
      </c>
      <c r="H253" s="230">
        <f>H244</f>
        <v>13.95</v>
      </c>
      <c r="I253" s="247">
        <f t="shared" si="16"/>
        <v>12.64165</v>
      </c>
      <c r="J253" s="248">
        <f t="shared" si="17"/>
        <v>13.1140485</v>
      </c>
      <c r="K253" s="251">
        <f t="shared" si="18"/>
        <v>158.8256985</v>
      </c>
      <c r="L253" s="217">
        <f t="shared" si="19"/>
        <v>793.3343640075</v>
      </c>
      <c r="M253" s="266"/>
      <c r="N253" s="232" t="s">
        <v>89</v>
      </c>
      <c r="O253" s="246"/>
    </row>
    <row r="254" s="203" customFormat="1" ht="73.5" outlineLevel="1" spans="1:15">
      <c r="A254" s="224">
        <v>3</v>
      </c>
      <c r="B254" s="279" t="s">
        <v>296</v>
      </c>
      <c r="C254" s="280" t="s">
        <v>390</v>
      </c>
      <c r="D254" s="286" t="s">
        <v>72</v>
      </c>
      <c r="E254" s="281">
        <f>2*0.1</f>
        <v>0.2</v>
      </c>
      <c r="F254" s="228">
        <v>120</v>
      </c>
      <c r="G254" s="234">
        <v>360</v>
      </c>
      <c r="H254" s="230">
        <v>40</v>
      </c>
      <c r="I254" s="247">
        <f t="shared" si="16"/>
        <v>49.4</v>
      </c>
      <c r="J254" s="248">
        <f t="shared" si="17"/>
        <v>51.246</v>
      </c>
      <c r="K254" s="251">
        <f t="shared" si="18"/>
        <v>620.646</v>
      </c>
      <c r="L254" s="217">
        <f t="shared" si="19"/>
        <v>124.1292</v>
      </c>
      <c r="M254" s="266"/>
      <c r="N254" s="267"/>
      <c r="O254" s="246"/>
    </row>
    <row r="255" s="203" customFormat="1" ht="52.5" outlineLevel="1" spans="1:15">
      <c r="A255" s="224">
        <v>4</v>
      </c>
      <c r="B255" s="279" t="s">
        <v>182</v>
      </c>
      <c r="C255" s="280" t="s">
        <v>393</v>
      </c>
      <c r="D255" s="224" t="s">
        <v>75</v>
      </c>
      <c r="E255" s="251">
        <f>0.33*3.33</f>
        <v>1.0989</v>
      </c>
      <c r="F255" s="228">
        <f>F246</f>
        <v>210</v>
      </c>
      <c r="G255" s="233">
        <f>G246</f>
        <v>270</v>
      </c>
      <c r="H255" s="230">
        <v>27</v>
      </c>
      <c r="I255" s="247">
        <f t="shared" si="16"/>
        <v>48.165</v>
      </c>
      <c r="J255" s="248">
        <f t="shared" si="17"/>
        <v>49.96485</v>
      </c>
      <c r="K255" s="251">
        <f t="shared" si="18"/>
        <v>605.12985</v>
      </c>
      <c r="L255" s="217">
        <f t="shared" si="19"/>
        <v>664.977192165</v>
      </c>
      <c r="M255" s="266"/>
      <c r="N255" s="267"/>
      <c r="O255" s="246"/>
    </row>
    <row r="256" s="203" customFormat="1" ht="63" outlineLevel="1" spans="1:15">
      <c r="A256" s="224">
        <v>5</v>
      </c>
      <c r="B256" s="279" t="s">
        <v>115</v>
      </c>
      <c r="C256" s="280" t="s">
        <v>144</v>
      </c>
      <c r="D256" s="286" t="s">
        <v>72</v>
      </c>
      <c r="E256" s="251">
        <f t="shared" ref="E256:E258" si="23">0.91*0.1*3.33</f>
        <v>0.30303</v>
      </c>
      <c r="F256" s="228">
        <f>G256*0.19</f>
        <v>65.55</v>
      </c>
      <c r="G256" s="229">
        <v>345</v>
      </c>
      <c r="H256" s="230">
        <f>G256*0.05</f>
        <v>17.25</v>
      </c>
      <c r="I256" s="247">
        <f t="shared" si="16"/>
        <v>40.641</v>
      </c>
      <c r="J256" s="248">
        <f t="shared" si="17"/>
        <v>42.15969</v>
      </c>
      <c r="K256" s="251">
        <f t="shared" si="18"/>
        <v>510.60069</v>
      </c>
      <c r="L256" s="217">
        <f t="shared" si="19"/>
        <v>154.7273270907</v>
      </c>
      <c r="M256" s="266"/>
      <c r="N256" s="267"/>
      <c r="O256" s="246"/>
    </row>
    <row r="257" s="203" customFormat="1" ht="42" outlineLevel="1" spans="1:15">
      <c r="A257" s="224">
        <v>6</v>
      </c>
      <c r="B257" s="279" t="s">
        <v>76</v>
      </c>
      <c r="C257" s="280" t="s">
        <v>170</v>
      </c>
      <c r="D257" s="286" t="s">
        <v>72</v>
      </c>
      <c r="E257" s="251">
        <f t="shared" si="23"/>
        <v>0.30303</v>
      </c>
      <c r="F257" s="228">
        <v>13</v>
      </c>
      <c r="G257" s="229">
        <v>103</v>
      </c>
      <c r="H257" s="230">
        <v>15</v>
      </c>
      <c r="I257" s="247">
        <f t="shared" si="16"/>
        <v>12.445</v>
      </c>
      <c r="J257" s="248">
        <f t="shared" si="17"/>
        <v>12.91005</v>
      </c>
      <c r="K257" s="251">
        <f t="shared" si="18"/>
        <v>156.35505</v>
      </c>
      <c r="L257" s="217">
        <f t="shared" si="19"/>
        <v>47.3802708015</v>
      </c>
      <c r="M257" s="266"/>
      <c r="N257" s="267"/>
      <c r="O257" s="246"/>
    </row>
    <row r="258" s="203" customFormat="1" ht="31.5" outlineLevel="1" spans="1:15">
      <c r="A258" s="224">
        <v>7</v>
      </c>
      <c r="B258" s="279" t="s">
        <v>73</v>
      </c>
      <c r="C258" s="280" t="s">
        <v>137</v>
      </c>
      <c r="D258" s="224" t="s">
        <v>75</v>
      </c>
      <c r="E258" s="251">
        <f>0.91*3.33</f>
        <v>3.0303</v>
      </c>
      <c r="F258" s="228">
        <v>1.2</v>
      </c>
      <c r="G258" s="233">
        <v>0</v>
      </c>
      <c r="H258" s="230">
        <v>1.5</v>
      </c>
      <c r="I258" s="247">
        <f t="shared" si="16"/>
        <v>0.2565</v>
      </c>
      <c r="J258" s="248">
        <f t="shared" si="17"/>
        <v>0.266085</v>
      </c>
      <c r="K258" s="251">
        <f t="shared" si="18"/>
        <v>3.222585</v>
      </c>
      <c r="L258" s="217">
        <f t="shared" si="19"/>
        <v>9.7653993255</v>
      </c>
      <c r="M258" s="266"/>
      <c r="N258" s="267"/>
      <c r="O258" s="246"/>
    </row>
    <row r="259" s="203" customFormat="1" ht="21" spans="1:15">
      <c r="A259" s="292" t="s">
        <v>394</v>
      </c>
      <c r="B259" s="285" t="s">
        <v>395</v>
      </c>
      <c r="C259" s="280" t="s">
        <v>396</v>
      </c>
      <c r="D259" s="224"/>
      <c r="E259" s="217"/>
      <c r="F259" s="284"/>
      <c r="G259" s="284"/>
      <c r="H259" s="217"/>
      <c r="I259" s="247">
        <f t="shared" si="16"/>
        <v>0</v>
      </c>
      <c r="J259" s="248">
        <f t="shared" si="17"/>
        <v>0</v>
      </c>
      <c r="K259" s="251">
        <f t="shared" si="18"/>
        <v>0</v>
      </c>
      <c r="L259" s="217">
        <f t="shared" si="19"/>
        <v>0</v>
      </c>
      <c r="M259" s="217"/>
      <c r="N259" s="267"/>
      <c r="O259" s="246"/>
    </row>
    <row r="260" s="203" customFormat="1" ht="73.5" outlineLevel="1" spans="1:15">
      <c r="A260" s="224">
        <v>1</v>
      </c>
      <c r="B260" s="279" t="s">
        <v>397</v>
      </c>
      <c r="C260" s="280" t="s">
        <v>398</v>
      </c>
      <c r="D260" s="224" t="s">
        <v>75</v>
      </c>
      <c r="E260" s="217">
        <f>113.02+1.31*(2.47*3+1.26+2.47*5+2.3+2.5+2.05)</f>
        <v>149.5297</v>
      </c>
      <c r="F260" s="228">
        <v>71.6</v>
      </c>
      <c r="G260" s="234">
        <v>150</v>
      </c>
      <c r="H260" s="235">
        <v>29</v>
      </c>
      <c r="I260" s="247">
        <f t="shared" si="16"/>
        <v>23.807</v>
      </c>
      <c r="J260" s="248">
        <f t="shared" si="17"/>
        <v>24.69663</v>
      </c>
      <c r="K260" s="251">
        <f t="shared" si="18"/>
        <v>299.10363</v>
      </c>
      <c r="L260" s="217">
        <f t="shared" si="19"/>
        <v>44724.876062811</v>
      </c>
      <c r="M260" s="266"/>
      <c r="N260" s="267"/>
      <c r="O260" s="246"/>
    </row>
    <row r="261" s="203" customFormat="1" ht="63" outlineLevel="1" spans="1:15">
      <c r="A261" s="224">
        <v>2</v>
      </c>
      <c r="B261" s="279" t="s">
        <v>399</v>
      </c>
      <c r="C261" s="280" t="s">
        <v>400</v>
      </c>
      <c r="D261" s="224" t="s">
        <v>84</v>
      </c>
      <c r="E261" s="217">
        <f>(7.7*4+7.6+7.4+9.37+13.36*3)*51.81/1000</f>
        <v>4.9349025</v>
      </c>
      <c r="F261" s="228">
        <v>3020</v>
      </c>
      <c r="G261" s="229">
        <v>4750</v>
      </c>
      <c r="H261" s="230">
        <v>790</v>
      </c>
      <c r="I261" s="247">
        <f t="shared" si="16"/>
        <v>813.2</v>
      </c>
      <c r="J261" s="248">
        <f t="shared" si="17"/>
        <v>843.588</v>
      </c>
      <c r="K261" s="251">
        <f t="shared" si="18"/>
        <v>10216.788</v>
      </c>
      <c r="L261" s="217">
        <f t="shared" si="19"/>
        <v>50418.85264317</v>
      </c>
      <c r="M261" s="266"/>
      <c r="N261" s="249" t="s">
        <v>217</v>
      </c>
      <c r="O261" s="246"/>
    </row>
    <row r="262" s="203" customFormat="1" ht="63" outlineLevel="1" spans="1:15">
      <c r="A262" s="224">
        <v>3</v>
      </c>
      <c r="B262" s="279" t="s">
        <v>401</v>
      </c>
      <c r="C262" s="280" t="s">
        <v>402</v>
      </c>
      <c r="D262" s="224" t="s">
        <v>84</v>
      </c>
      <c r="E262" s="217">
        <f>(2.5+2.55*2)*15*12.06/1000</f>
        <v>1.37484</v>
      </c>
      <c r="F262" s="228">
        <v>3020</v>
      </c>
      <c r="G262" s="229">
        <v>4750</v>
      </c>
      <c r="H262" s="230">
        <v>790</v>
      </c>
      <c r="I262" s="247">
        <f t="shared" si="16"/>
        <v>813.2</v>
      </c>
      <c r="J262" s="248">
        <f t="shared" si="17"/>
        <v>843.588</v>
      </c>
      <c r="K262" s="251">
        <f t="shared" si="18"/>
        <v>10216.788</v>
      </c>
      <c r="L262" s="217">
        <f t="shared" si="19"/>
        <v>14046.44881392</v>
      </c>
      <c r="M262" s="266"/>
      <c r="N262" s="249" t="s">
        <v>217</v>
      </c>
      <c r="O262" s="246"/>
    </row>
    <row r="263" s="203" customFormat="1" ht="73.5" outlineLevel="1" spans="1:15">
      <c r="A263" s="224">
        <v>4</v>
      </c>
      <c r="B263" s="279" t="s">
        <v>403</v>
      </c>
      <c r="C263" s="280" t="s">
        <v>404</v>
      </c>
      <c r="D263" s="224" t="s">
        <v>84</v>
      </c>
      <c r="E263" s="217">
        <f>12*1.31*35.67/1000</f>
        <v>0.5607324</v>
      </c>
      <c r="F263" s="228">
        <v>3020</v>
      </c>
      <c r="G263" s="229">
        <v>4750</v>
      </c>
      <c r="H263" s="230">
        <v>790</v>
      </c>
      <c r="I263" s="247">
        <f>(F263+G263+H263)*$I$4</f>
        <v>813.2</v>
      </c>
      <c r="J263" s="248">
        <f>(F263+G263+H263+I263)*$J$4</f>
        <v>843.588</v>
      </c>
      <c r="K263" s="251">
        <f>F263+G263+H263+I263+J263</f>
        <v>10216.788</v>
      </c>
      <c r="L263" s="217">
        <f>K263*E263</f>
        <v>5728.8840555312</v>
      </c>
      <c r="M263" s="266"/>
      <c r="N263" s="249" t="s">
        <v>217</v>
      </c>
      <c r="O263" s="246"/>
    </row>
    <row r="264" s="203" customFormat="1" ht="42" outlineLevel="1" spans="1:15">
      <c r="A264" s="224">
        <v>5</v>
      </c>
      <c r="B264" s="223" t="s">
        <v>405</v>
      </c>
      <c r="C264" s="223" t="s">
        <v>406</v>
      </c>
      <c r="D264" s="224" t="s">
        <v>75</v>
      </c>
      <c r="E264" s="217">
        <f>1.14*(1.6*2+8.06-0.36)</f>
        <v>12.426</v>
      </c>
      <c r="F264" s="228">
        <v>60</v>
      </c>
      <c r="G264" s="234">
        <v>414</v>
      </c>
      <c r="H264" s="235">
        <v>10</v>
      </c>
      <c r="I264" s="247">
        <f>(F264+G264+H264)*$I$4</f>
        <v>45.98</v>
      </c>
      <c r="J264" s="248">
        <f>(F264+G264+H264+I264)*$J$4</f>
        <v>47.6982</v>
      </c>
      <c r="K264" s="251">
        <f>F264+G264+H264+I264+J264</f>
        <v>577.6782</v>
      </c>
      <c r="L264" s="217">
        <f>K264*E264</f>
        <v>7178.2293132</v>
      </c>
      <c r="M264" s="266"/>
      <c r="N264" s="267"/>
      <c r="O264" s="246"/>
    </row>
    <row r="265" s="203" customFormat="1" ht="52.5" outlineLevel="1" spans="1:15">
      <c r="A265" s="224">
        <v>6</v>
      </c>
      <c r="B265" s="279" t="s">
        <v>407</v>
      </c>
      <c r="C265" s="280" t="s">
        <v>408</v>
      </c>
      <c r="D265" s="224" t="s">
        <v>107</v>
      </c>
      <c r="E265" s="217">
        <f>13.84*2</f>
        <v>27.68</v>
      </c>
      <c r="F265" s="228">
        <v>6</v>
      </c>
      <c r="G265" s="234">
        <v>57.5</v>
      </c>
      <c r="H265" s="235">
        <v>1</v>
      </c>
      <c r="I265" s="247">
        <f>(F265+G265+H265)*$I$4</f>
        <v>6.1275</v>
      </c>
      <c r="J265" s="248">
        <f>(F265+G265+H265+I265)*$J$4</f>
        <v>6.356475</v>
      </c>
      <c r="K265" s="251">
        <f>F265+G265+H265+I265+J265</f>
        <v>76.983975</v>
      </c>
      <c r="L265" s="217">
        <f>K265*E265</f>
        <v>2130.916428</v>
      </c>
      <c r="M265" s="266"/>
      <c r="N265" s="267"/>
      <c r="O265" s="246"/>
    </row>
    <row r="266" s="203" customFormat="1" ht="67.5" outlineLevel="1" spans="1:15">
      <c r="A266" s="224">
        <v>7</v>
      </c>
      <c r="B266" s="43" t="s">
        <v>409</v>
      </c>
      <c r="C266" s="43" t="s">
        <v>410</v>
      </c>
      <c r="D266" s="224" t="s">
        <v>75</v>
      </c>
      <c r="E266" s="217">
        <f>24.3*2+8.86*2+((2.37+1.1)*9.6/2)+(9.6+13.36)*0.36-0.15*0.15*12</f>
        <v>90.9716</v>
      </c>
      <c r="F266" s="228">
        <v>3</v>
      </c>
      <c r="G266" s="234">
        <v>71</v>
      </c>
      <c r="H266" s="230">
        <v>1</v>
      </c>
      <c r="I266" s="247">
        <f>(F266+G266+H266)*$I$4</f>
        <v>7.125</v>
      </c>
      <c r="J266" s="248">
        <f>(F266+G266+H266+I266)*$J$4</f>
        <v>7.39125</v>
      </c>
      <c r="K266" s="251">
        <f>F266+G266+H266+I266+J266</f>
        <v>89.51625</v>
      </c>
      <c r="L266" s="217">
        <f>K266*E266</f>
        <v>8143.4364885</v>
      </c>
      <c r="M266" s="295"/>
      <c r="N266" s="265" t="s">
        <v>190</v>
      </c>
      <c r="O266" s="253"/>
    </row>
    <row r="267" s="202" customFormat="1" ht="32" customHeight="1" spans="1:15">
      <c r="A267" s="293" t="s">
        <v>53</v>
      </c>
      <c r="B267" s="293"/>
      <c r="C267" s="224"/>
      <c r="D267" s="224" t="s">
        <v>54</v>
      </c>
      <c r="E267" s="294"/>
      <c r="F267" s="227"/>
      <c r="G267" s="227"/>
      <c r="H267" s="227"/>
      <c r="I267" s="227"/>
      <c r="J267" s="227"/>
      <c r="K267" s="227"/>
      <c r="L267" s="217">
        <f>SUM(L6:L266)</f>
        <v>2856412.72952905</v>
      </c>
      <c r="M267" s="296"/>
      <c r="N267" s="297"/>
      <c r="O267" s="246"/>
    </row>
    <row r="268" s="202" customFormat="1" ht="95" customHeight="1" spans="1:15">
      <c r="A268" s="50" t="s">
        <v>411</v>
      </c>
      <c r="B268" s="51"/>
      <c r="C268" s="51"/>
      <c r="D268" s="51"/>
      <c r="E268" s="52"/>
      <c r="F268" s="53"/>
      <c r="G268" s="53"/>
      <c r="H268" s="53"/>
      <c r="I268" s="53"/>
      <c r="J268" s="53"/>
      <c r="K268" s="53"/>
      <c r="L268" s="53"/>
      <c r="M268" s="139"/>
      <c r="N268" s="51"/>
      <c r="O268" s="246"/>
    </row>
  </sheetData>
  <sheetProtection selectLockedCells="1"/>
  <mergeCells count="16">
    <mergeCell ref="A1:N1"/>
    <mergeCell ref="F2:J2"/>
    <mergeCell ref="A267:B267"/>
    <mergeCell ref="A268:N268"/>
    <mergeCell ref="A2:A4"/>
    <mergeCell ref="B2:B4"/>
    <mergeCell ref="C2:C4"/>
    <mergeCell ref="D2:D4"/>
    <mergeCell ref="E2:E4"/>
    <mergeCell ref="F3:F4"/>
    <mergeCell ref="G3:G4"/>
    <mergeCell ref="H3:H4"/>
    <mergeCell ref="K2:K4"/>
    <mergeCell ref="L2:L4"/>
    <mergeCell ref="M2:M4"/>
    <mergeCell ref="N2:N4"/>
  </mergeCells>
  <dataValidations count="1">
    <dataValidation type="list" allowBlank="1" showInputMessage="1" showErrorMessage="1" errorTitle="温馨提示" error="您确定要输入单位吗？" sqref="D110 D175 D178" errorStyle="warning">
      <formula1>"m,m2,m3,t,kg,个,套,块,台,项,座,根,樘,10m,10m2,10m3,m3,m3,株"</formula1>
    </dataValidation>
  </dataValidations>
  <pageMargins left="0.786805555555556" right="0.196527777777778" top="0.786805555555556" bottom="0.393055555555556" header="0" footer="0"/>
  <pageSetup paperSize="9" scale="83"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workbookViewId="0">
      <pane xSplit="8" ySplit="4" topLeftCell="I30" activePane="bottomRight" state="frozen"/>
      <selection/>
      <selection pane="topRight"/>
      <selection pane="bottomLeft"/>
      <selection pane="bottomRight" activeCell="L4" sqref="L4"/>
    </sheetView>
  </sheetViews>
  <sheetFormatPr defaultColWidth="8.85714285714286" defaultRowHeight="12.75"/>
  <cols>
    <col min="1" max="1" width="8.85714285714286" style="141"/>
    <col min="2" max="2" width="15.4285714285714" style="141" customWidth="1"/>
    <col min="3" max="4" width="8.85714285714286" style="141" customWidth="1"/>
    <col min="5" max="5" width="9.31428571428571" style="141" customWidth="1"/>
    <col min="6" max="6" width="12.2857142857143" style="141" customWidth="1"/>
    <col min="7" max="7" width="9.06666666666667" style="141" customWidth="1"/>
    <col min="8" max="8" width="8.71428571428571" style="141" customWidth="1"/>
    <col min="9" max="9" width="13" style="141" customWidth="1"/>
    <col min="10" max="10" width="10.7142857142857" style="141" customWidth="1"/>
    <col min="11" max="11" width="13" style="141" customWidth="1"/>
    <col min="12" max="12" width="14.8571428571429" style="179" customWidth="1"/>
    <col min="13" max="13" width="13" style="179" customWidth="1"/>
    <col min="14" max="14" width="15" style="141" customWidth="1"/>
    <col min="15" max="15" width="13" style="141" customWidth="1"/>
    <col min="16" max="16" width="22.1428571428571" style="140" customWidth="1"/>
    <col min="17" max="17" width="13.1428571428571" style="140" customWidth="1"/>
    <col min="18" max="16384" width="8.85714285714286" style="141"/>
  </cols>
  <sheetData>
    <row r="1" s="141" customFormat="1" ht="18.75" spans="1:17">
      <c r="A1" s="180" t="s">
        <v>412</v>
      </c>
      <c r="B1" s="180"/>
      <c r="C1" s="180"/>
      <c r="D1" s="180"/>
      <c r="E1" s="180"/>
      <c r="F1" s="180"/>
      <c r="G1" s="180"/>
      <c r="H1" s="180"/>
      <c r="I1" s="180"/>
      <c r="J1" s="180"/>
      <c r="K1" s="180"/>
      <c r="L1" s="180"/>
      <c r="M1" s="180"/>
      <c r="N1" s="189"/>
      <c r="O1" s="180"/>
      <c r="P1" s="144"/>
      <c r="Q1" s="140"/>
    </row>
    <row r="2" s="141" customFormat="1" spans="1:17">
      <c r="A2" s="146" t="s">
        <v>56</v>
      </c>
      <c r="B2" s="146" t="s">
        <v>413</v>
      </c>
      <c r="C2" s="181" t="s">
        <v>414</v>
      </c>
      <c r="D2" s="181"/>
      <c r="E2" s="181"/>
      <c r="F2" s="181"/>
      <c r="G2" s="146" t="s">
        <v>415</v>
      </c>
      <c r="H2" s="146" t="s">
        <v>41</v>
      </c>
      <c r="I2" s="33" t="s">
        <v>59</v>
      </c>
      <c r="J2" s="33"/>
      <c r="K2" s="33"/>
      <c r="L2" s="33"/>
      <c r="M2" s="33"/>
      <c r="N2" s="56" t="s">
        <v>416</v>
      </c>
      <c r="O2" s="56" t="s">
        <v>61</v>
      </c>
      <c r="P2" s="190" t="s">
        <v>45</v>
      </c>
      <c r="Q2" s="140"/>
    </row>
    <row r="3" s="141" customFormat="1" ht="45" spans="1:17">
      <c r="A3" s="148"/>
      <c r="B3" s="148"/>
      <c r="C3" s="56" t="s">
        <v>417</v>
      </c>
      <c r="D3" s="56" t="s">
        <v>418</v>
      </c>
      <c r="E3" s="56" t="s">
        <v>419</v>
      </c>
      <c r="F3" s="56" t="s">
        <v>420</v>
      </c>
      <c r="G3" s="148"/>
      <c r="H3" s="148"/>
      <c r="I3" s="56" t="s">
        <v>63</v>
      </c>
      <c r="J3" s="56" t="s">
        <v>64</v>
      </c>
      <c r="K3" s="56" t="s">
        <v>65</v>
      </c>
      <c r="L3" s="33" t="s">
        <v>66</v>
      </c>
      <c r="M3" s="33" t="s">
        <v>67</v>
      </c>
      <c r="N3" s="57"/>
      <c r="O3" s="57"/>
      <c r="P3" s="191"/>
      <c r="Q3" s="140"/>
    </row>
    <row r="4" s="141" customFormat="1" spans="1:17">
      <c r="A4" s="149"/>
      <c r="B4" s="149"/>
      <c r="C4" s="150"/>
      <c r="D4" s="150"/>
      <c r="E4" s="150"/>
      <c r="F4" s="150"/>
      <c r="G4" s="149"/>
      <c r="H4" s="149"/>
      <c r="I4" s="150"/>
      <c r="J4" s="150"/>
      <c r="K4" s="150"/>
      <c r="L4" s="58">
        <v>0.095</v>
      </c>
      <c r="M4" s="59">
        <v>0.09</v>
      </c>
      <c r="N4" s="57"/>
      <c r="O4" s="57"/>
      <c r="P4" s="192"/>
      <c r="Q4" s="140"/>
    </row>
    <row r="5" s="141" customFormat="1" ht="18.75" spans="1:17">
      <c r="A5" s="182" t="s">
        <v>68</v>
      </c>
      <c r="B5" s="183" t="s">
        <v>421</v>
      </c>
      <c r="C5" s="183"/>
      <c r="D5" s="183"/>
      <c r="E5" s="183"/>
      <c r="F5" s="183"/>
      <c r="G5" s="183"/>
      <c r="H5" s="183"/>
      <c r="I5" s="193"/>
      <c r="J5" s="183"/>
      <c r="K5" s="183"/>
      <c r="L5" s="169"/>
      <c r="M5" s="183"/>
      <c r="N5" s="194"/>
      <c r="O5" s="183"/>
      <c r="P5" s="195"/>
      <c r="Q5" s="140"/>
    </row>
    <row r="6" s="141" customFormat="1" ht="24" spans="1:17">
      <c r="A6" s="184">
        <v>1</v>
      </c>
      <c r="B6" s="185" t="s">
        <v>422</v>
      </c>
      <c r="C6" s="186" t="s">
        <v>423</v>
      </c>
      <c r="D6" s="187">
        <v>5</v>
      </c>
      <c r="E6" s="187">
        <v>4</v>
      </c>
      <c r="F6" s="187" t="s">
        <v>424</v>
      </c>
      <c r="G6" s="184">
        <v>1</v>
      </c>
      <c r="H6" s="184" t="s">
        <v>425</v>
      </c>
      <c r="I6" s="193">
        <f t="shared" ref="I6:I46" si="0">J6*20%</f>
        <v>658</v>
      </c>
      <c r="J6" s="193">
        <v>3290</v>
      </c>
      <c r="K6" s="193">
        <f t="shared" ref="K6:K46" si="1">J6*8.5%</f>
        <v>279.65</v>
      </c>
      <c r="L6" s="60">
        <f>(I6+J6+K6)*$L$4</f>
        <v>401.62675</v>
      </c>
      <c r="M6" s="169">
        <f>(I6+J6+K6+L6)*$M$4</f>
        <v>416.6349075</v>
      </c>
      <c r="N6" s="166">
        <f>I6+J6+K6+L6+M6</f>
        <v>5045.9116575</v>
      </c>
      <c r="O6" s="169">
        <f>N6*G6</f>
        <v>5045.9116575</v>
      </c>
      <c r="P6" s="196" t="s">
        <v>426</v>
      </c>
      <c r="Q6" s="171"/>
    </row>
    <row r="7" s="141" customFormat="1" ht="24" spans="1:17">
      <c r="A7" s="38">
        <v>2</v>
      </c>
      <c r="B7" s="185" t="s">
        <v>427</v>
      </c>
      <c r="C7" s="186" t="s">
        <v>428</v>
      </c>
      <c r="D7" s="187">
        <v>4</v>
      </c>
      <c r="E7" s="187">
        <v>3.5</v>
      </c>
      <c r="F7" s="187" t="s">
        <v>429</v>
      </c>
      <c r="G7" s="184">
        <v>19</v>
      </c>
      <c r="H7" s="184" t="s">
        <v>425</v>
      </c>
      <c r="I7" s="193">
        <f t="shared" si="0"/>
        <v>564</v>
      </c>
      <c r="J7" s="193">
        <v>2820</v>
      </c>
      <c r="K7" s="193">
        <f t="shared" si="1"/>
        <v>239.7</v>
      </c>
      <c r="L7" s="60">
        <f t="shared" ref="L7:L46" si="2">(I7+J7+K7)*$L$4</f>
        <v>344.2515</v>
      </c>
      <c r="M7" s="169">
        <f t="shared" ref="M7:M46" si="3">(I7+J7+K7+L7)*$M$4</f>
        <v>357.115635</v>
      </c>
      <c r="N7" s="166">
        <f t="shared" ref="N7:N46" si="4">I7+J7+K7+L7+M7</f>
        <v>4325.067135</v>
      </c>
      <c r="O7" s="169">
        <f t="shared" ref="O7:O46" si="5">N7*G7</f>
        <v>82176.275565</v>
      </c>
      <c r="P7" s="196" t="s">
        <v>430</v>
      </c>
      <c r="Q7" s="171"/>
    </row>
    <row r="8" s="141" customFormat="1" ht="24" spans="1:17">
      <c r="A8" s="184">
        <v>3</v>
      </c>
      <c r="B8" s="185" t="s">
        <v>431</v>
      </c>
      <c r="C8" s="188" t="s">
        <v>432</v>
      </c>
      <c r="D8" s="187">
        <v>3</v>
      </c>
      <c r="E8" s="187">
        <v>3</v>
      </c>
      <c r="F8" s="187"/>
      <c r="G8" s="184">
        <v>30</v>
      </c>
      <c r="H8" s="184" t="s">
        <v>425</v>
      </c>
      <c r="I8" s="193">
        <f t="shared" si="0"/>
        <v>272.6</v>
      </c>
      <c r="J8" s="193">
        <v>1363</v>
      </c>
      <c r="K8" s="193">
        <f t="shared" si="1"/>
        <v>115.855</v>
      </c>
      <c r="L8" s="60">
        <f t="shared" si="2"/>
        <v>166.388225</v>
      </c>
      <c r="M8" s="169">
        <f t="shared" si="3"/>
        <v>172.60589025</v>
      </c>
      <c r="N8" s="166">
        <f t="shared" si="4"/>
        <v>2090.44911525</v>
      </c>
      <c r="O8" s="169">
        <f t="shared" si="5"/>
        <v>62713.4734575</v>
      </c>
      <c r="P8" s="196" t="s">
        <v>430</v>
      </c>
      <c r="Q8" s="171"/>
    </row>
    <row r="9" s="141" customFormat="1" ht="48" spans="1:17">
      <c r="A9" s="184">
        <v>4</v>
      </c>
      <c r="B9" s="185" t="s">
        <v>433</v>
      </c>
      <c r="C9" s="188" t="s">
        <v>434</v>
      </c>
      <c r="D9" s="187">
        <v>11</v>
      </c>
      <c r="E9" s="187">
        <v>4.5</v>
      </c>
      <c r="F9" s="187">
        <v>2.1</v>
      </c>
      <c r="G9" s="184">
        <v>6</v>
      </c>
      <c r="H9" s="184" t="s">
        <v>425</v>
      </c>
      <c r="I9" s="193">
        <f t="shared" si="0"/>
        <v>540</v>
      </c>
      <c r="J9" s="193">
        <v>2700</v>
      </c>
      <c r="K9" s="193">
        <f t="shared" si="1"/>
        <v>229.5</v>
      </c>
      <c r="L9" s="60">
        <f t="shared" si="2"/>
        <v>329.6025</v>
      </c>
      <c r="M9" s="169">
        <f t="shared" si="3"/>
        <v>341.919225</v>
      </c>
      <c r="N9" s="166">
        <f t="shared" si="4"/>
        <v>4141.021725</v>
      </c>
      <c r="O9" s="169">
        <f t="shared" si="5"/>
        <v>24846.13035</v>
      </c>
      <c r="P9" s="196" t="s">
        <v>435</v>
      </c>
      <c r="Q9" s="140"/>
    </row>
    <row r="10" s="141" customFormat="1" ht="48" spans="1:17">
      <c r="A10" s="184">
        <v>5</v>
      </c>
      <c r="B10" s="185" t="s">
        <v>436</v>
      </c>
      <c r="C10" s="188" t="s">
        <v>437</v>
      </c>
      <c r="D10" s="187">
        <v>8.5</v>
      </c>
      <c r="E10" s="187" t="s">
        <v>438</v>
      </c>
      <c r="F10" s="187" t="s">
        <v>439</v>
      </c>
      <c r="G10" s="184">
        <v>4</v>
      </c>
      <c r="H10" s="184" t="s">
        <v>425</v>
      </c>
      <c r="I10" s="193">
        <f t="shared" si="0"/>
        <v>890</v>
      </c>
      <c r="J10" s="193">
        <v>4450</v>
      </c>
      <c r="K10" s="193">
        <f t="shared" si="1"/>
        <v>378.25</v>
      </c>
      <c r="L10" s="60">
        <f t="shared" si="2"/>
        <v>543.23375</v>
      </c>
      <c r="M10" s="169">
        <f t="shared" si="3"/>
        <v>563.5335375</v>
      </c>
      <c r="N10" s="166">
        <f t="shared" si="4"/>
        <v>6825.0172875</v>
      </c>
      <c r="O10" s="169">
        <f t="shared" si="5"/>
        <v>27300.06915</v>
      </c>
      <c r="P10" s="196" t="s">
        <v>435</v>
      </c>
      <c r="Q10" s="171"/>
    </row>
    <row r="11" s="141" customFormat="1" ht="23.25" customHeight="1" spans="1:17">
      <c r="A11" s="38">
        <v>6</v>
      </c>
      <c r="B11" s="185" t="s">
        <v>440</v>
      </c>
      <c r="C11" s="187">
        <v>27</v>
      </c>
      <c r="D11" s="187" t="s">
        <v>441</v>
      </c>
      <c r="E11" s="187" t="s">
        <v>442</v>
      </c>
      <c r="F11" s="187"/>
      <c r="G11" s="184">
        <v>8</v>
      </c>
      <c r="H11" s="184" t="s">
        <v>425</v>
      </c>
      <c r="I11" s="193">
        <f t="shared" si="0"/>
        <v>1200</v>
      </c>
      <c r="J11" s="193">
        <v>6000</v>
      </c>
      <c r="K11" s="193">
        <f t="shared" si="1"/>
        <v>510</v>
      </c>
      <c r="L11" s="60">
        <f t="shared" si="2"/>
        <v>732.45</v>
      </c>
      <c r="M11" s="169">
        <f t="shared" si="3"/>
        <v>759.8205</v>
      </c>
      <c r="N11" s="166">
        <f t="shared" si="4"/>
        <v>9202.2705</v>
      </c>
      <c r="O11" s="169">
        <f t="shared" si="5"/>
        <v>73618.164</v>
      </c>
      <c r="P11" s="196" t="s">
        <v>443</v>
      </c>
      <c r="Q11" s="171"/>
    </row>
    <row r="12" s="141" customFormat="1" ht="27" customHeight="1" spans="1:17">
      <c r="A12" s="184">
        <v>7</v>
      </c>
      <c r="B12" s="185" t="s">
        <v>444</v>
      </c>
      <c r="C12" s="188" t="s">
        <v>445</v>
      </c>
      <c r="D12" s="187" t="s">
        <v>446</v>
      </c>
      <c r="E12" s="187" t="s">
        <v>447</v>
      </c>
      <c r="F12" s="187">
        <v>1</v>
      </c>
      <c r="G12" s="184">
        <v>16</v>
      </c>
      <c r="H12" s="184" t="s">
        <v>425</v>
      </c>
      <c r="I12" s="193">
        <f t="shared" si="0"/>
        <v>860</v>
      </c>
      <c r="J12" s="193">
        <v>4300</v>
      </c>
      <c r="K12" s="193">
        <f t="shared" si="1"/>
        <v>365.5</v>
      </c>
      <c r="L12" s="60">
        <f t="shared" si="2"/>
        <v>524.9225</v>
      </c>
      <c r="M12" s="169">
        <f t="shared" si="3"/>
        <v>544.538025</v>
      </c>
      <c r="N12" s="166">
        <f t="shared" si="4"/>
        <v>6594.960525</v>
      </c>
      <c r="O12" s="169">
        <f t="shared" si="5"/>
        <v>105519.3684</v>
      </c>
      <c r="P12" s="196" t="s">
        <v>443</v>
      </c>
      <c r="Q12" s="171"/>
    </row>
    <row r="13" s="141" customFormat="1" ht="24" spans="1:17">
      <c r="A13" s="184">
        <v>8</v>
      </c>
      <c r="B13" s="185" t="s">
        <v>448</v>
      </c>
      <c r="C13" s="188" t="s">
        <v>449</v>
      </c>
      <c r="D13" s="187">
        <v>8</v>
      </c>
      <c r="E13" s="187">
        <v>4.5</v>
      </c>
      <c r="F13" s="187" t="s">
        <v>439</v>
      </c>
      <c r="G13" s="184">
        <v>12</v>
      </c>
      <c r="H13" s="184" t="s">
        <v>425</v>
      </c>
      <c r="I13" s="193">
        <f t="shared" si="0"/>
        <v>470</v>
      </c>
      <c r="J13" s="193">
        <v>2350</v>
      </c>
      <c r="K13" s="193">
        <f t="shared" si="1"/>
        <v>199.75</v>
      </c>
      <c r="L13" s="60">
        <f t="shared" si="2"/>
        <v>286.87625</v>
      </c>
      <c r="M13" s="169">
        <f t="shared" si="3"/>
        <v>297.5963625</v>
      </c>
      <c r="N13" s="166">
        <f t="shared" si="4"/>
        <v>3604.2226125</v>
      </c>
      <c r="O13" s="169">
        <f t="shared" si="5"/>
        <v>43250.67135</v>
      </c>
      <c r="P13" s="196" t="s">
        <v>450</v>
      </c>
      <c r="Q13" s="171"/>
    </row>
    <row r="14" s="141" customFormat="1" ht="48" spans="1:17">
      <c r="A14" s="184">
        <v>9</v>
      </c>
      <c r="B14" s="185" t="s">
        <v>451</v>
      </c>
      <c r="C14" s="187">
        <v>30</v>
      </c>
      <c r="D14" s="187">
        <v>9</v>
      </c>
      <c r="E14" s="187">
        <v>6</v>
      </c>
      <c r="F14" s="187" t="s">
        <v>452</v>
      </c>
      <c r="G14" s="184">
        <v>3</v>
      </c>
      <c r="H14" s="184" t="s">
        <v>425</v>
      </c>
      <c r="I14" s="193">
        <f t="shared" si="0"/>
        <v>1500</v>
      </c>
      <c r="J14" s="193">
        <v>7500</v>
      </c>
      <c r="K14" s="193">
        <f t="shared" si="1"/>
        <v>637.5</v>
      </c>
      <c r="L14" s="60">
        <f t="shared" si="2"/>
        <v>915.5625</v>
      </c>
      <c r="M14" s="169">
        <f t="shared" si="3"/>
        <v>949.775625</v>
      </c>
      <c r="N14" s="166">
        <f t="shared" si="4"/>
        <v>11502.838125</v>
      </c>
      <c r="O14" s="169">
        <f t="shared" si="5"/>
        <v>34508.514375</v>
      </c>
      <c r="P14" s="196" t="s">
        <v>453</v>
      </c>
      <c r="Q14" s="171"/>
    </row>
    <row r="15" s="141" customFormat="1" ht="24" spans="1:17">
      <c r="A15" s="38">
        <v>10</v>
      </c>
      <c r="B15" s="185" t="s">
        <v>454</v>
      </c>
      <c r="C15" s="187">
        <v>27</v>
      </c>
      <c r="D15" s="187">
        <v>8</v>
      </c>
      <c r="E15" s="187" t="s">
        <v>455</v>
      </c>
      <c r="F15" s="187" t="s">
        <v>452</v>
      </c>
      <c r="G15" s="184">
        <v>2</v>
      </c>
      <c r="H15" s="184" t="s">
        <v>425</v>
      </c>
      <c r="I15" s="193">
        <f t="shared" si="0"/>
        <v>1340</v>
      </c>
      <c r="J15" s="193">
        <v>6700</v>
      </c>
      <c r="K15" s="193">
        <f t="shared" si="1"/>
        <v>569.5</v>
      </c>
      <c r="L15" s="60">
        <f t="shared" si="2"/>
        <v>817.9025</v>
      </c>
      <c r="M15" s="169">
        <f t="shared" si="3"/>
        <v>848.466225</v>
      </c>
      <c r="N15" s="166">
        <f t="shared" si="4"/>
        <v>10275.868725</v>
      </c>
      <c r="O15" s="169">
        <f t="shared" si="5"/>
        <v>20551.73745</v>
      </c>
      <c r="P15" s="196" t="s">
        <v>456</v>
      </c>
      <c r="Q15" s="171"/>
    </row>
    <row r="16" s="141" customFormat="1" ht="24" spans="1:17">
      <c r="A16" s="184">
        <v>11</v>
      </c>
      <c r="B16" s="185" t="s">
        <v>457</v>
      </c>
      <c r="C16" s="187">
        <v>24</v>
      </c>
      <c r="D16" s="187">
        <v>8</v>
      </c>
      <c r="E16" s="187">
        <v>5.5</v>
      </c>
      <c r="F16" s="187"/>
      <c r="G16" s="184">
        <v>4</v>
      </c>
      <c r="H16" s="184" t="s">
        <v>425</v>
      </c>
      <c r="I16" s="193">
        <f t="shared" si="0"/>
        <v>1060</v>
      </c>
      <c r="J16" s="193">
        <v>5300</v>
      </c>
      <c r="K16" s="193">
        <f t="shared" si="1"/>
        <v>450.5</v>
      </c>
      <c r="L16" s="60">
        <f t="shared" si="2"/>
        <v>646.9975</v>
      </c>
      <c r="M16" s="169">
        <f t="shared" si="3"/>
        <v>671.174775</v>
      </c>
      <c r="N16" s="166">
        <f t="shared" si="4"/>
        <v>8128.672275</v>
      </c>
      <c r="O16" s="169">
        <f t="shared" si="5"/>
        <v>32514.6891</v>
      </c>
      <c r="P16" s="196" t="s">
        <v>458</v>
      </c>
      <c r="Q16" s="140"/>
    </row>
    <row r="17" s="141" customFormat="1" ht="24" spans="1:17">
      <c r="A17" s="184">
        <v>12</v>
      </c>
      <c r="B17" s="185" t="s">
        <v>459</v>
      </c>
      <c r="C17" s="187">
        <v>22</v>
      </c>
      <c r="D17" s="187" t="s">
        <v>438</v>
      </c>
      <c r="E17" s="187">
        <v>5.5</v>
      </c>
      <c r="F17" s="187"/>
      <c r="G17" s="184">
        <v>1</v>
      </c>
      <c r="H17" s="184" t="s">
        <v>425</v>
      </c>
      <c r="I17" s="193">
        <f t="shared" si="0"/>
        <v>580</v>
      </c>
      <c r="J17" s="193">
        <v>2900</v>
      </c>
      <c r="K17" s="193">
        <f t="shared" si="1"/>
        <v>246.5</v>
      </c>
      <c r="L17" s="60">
        <f t="shared" si="2"/>
        <v>354.0175</v>
      </c>
      <c r="M17" s="169">
        <f t="shared" si="3"/>
        <v>367.246575</v>
      </c>
      <c r="N17" s="166">
        <f t="shared" si="4"/>
        <v>4447.764075</v>
      </c>
      <c r="O17" s="169">
        <f t="shared" si="5"/>
        <v>4447.764075</v>
      </c>
      <c r="P17" s="196" t="s">
        <v>458</v>
      </c>
      <c r="Q17" s="140"/>
    </row>
    <row r="18" s="141" customFormat="1" ht="48" spans="1:17">
      <c r="A18" s="184">
        <v>13</v>
      </c>
      <c r="B18" s="185" t="s">
        <v>460</v>
      </c>
      <c r="C18" s="188" t="s">
        <v>461</v>
      </c>
      <c r="D18" s="187" t="s">
        <v>462</v>
      </c>
      <c r="E18" s="187">
        <v>4.5</v>
      </c>
      <c r="F18" s="187" t="s">
        <v>439</v>
      </c>
      <c r="G18" s="184">
        <v>16</v>
      </c>
      <c r="H18" s="184" t="s">
        <v>425</v>
      </c>
      <c r="I18" s="193">
        <f t="shared" si="0"/>
        <v>360</v>
      </c>
      <c r="J18" s="193">
        <v>1800</v>
      </c>
      <c r="K18" s="193">
        <f t="shared" si="1"/>
        <v>153</v>
      </c>
      <c r="L18" s="60">
        <f t="shared" si="2"/>
        <v>219.735</v>
      </c>
      <c r="M18" s="169">
        <f t="shared" si="3"/>
        <v>227.94615</v>
      </c>
      <c r="N18" s="166">
        <f t="shared" si="4"/>
        <v>2760.68115</v>
      </c>
      <c r="O18" s="169">
        <f t="shared" si="5"/>
        <v>44170.8984</v>
      </c>
      <c r="P18" s="196" t="s">
        <v>435</v>
      </c>
      <c r="Q18" s="140"/>
    </row>
    <row r="19" s="141" customFormat="1" ht="36" spans="1:17">
      <c r="A19" s="38">
        <v>14</v>
      </c>
      <c r="B19" s="185" t="s">
        <v>463</v>
      </c>
      <c r="C19" s="187" t="s">
        <v>464</v>
      </c>
      <c r="D19" s="187" t="s">
        <v>462</v>
      </c>
      <c r="E19" s="187">
        <v>5</v>
      </c>
      <c r="F19" s="187" t="s">
        <v>465</v>
      </c>
      <c r="G19" s="184">
        <v>3</v>
      </c>
      <c r="H19" s="184" t="s">
        <v>425</v>
      </c>
      <c r="I19" s="193">
        <f t="shared" si="0"/>
        <v>1500</v>
      </c>
      <c r="J19" s="193">
        <v>7500</v>
      </c>
      <c r="K19" s="193">
        <f t="shared" si="1"/>
        <v>637.5</v>
      </c>
      <c r="L19" s="60">
        <f t="shared" si="2"/>
        <v>915.5625</v>
      </c>
      <c r="M19" s="169">
        <f t="shared" si="3"/>
        <v>949.775625</v>
      </c>
      <c r="N19" s="166">
        <f t="shared" si="4"/>
        <v>11502.838125</v>
      </c>
      <c r="O19" s="169">
        <f t="shared" si="5"/>
        <v>34508.514375</v>
      </c>
      <c r="P19" s="196" t="s">
        <v>466</v>
      </c>
      <c r="Q19" s="171"/>
    </row>
    <row r="20" s="141" customFormat="1" ht="36" spans="1:17">
      <c r="A20" s="184"/>
      <c r="B20" s="185" t="s">
        <v>467</v>
      </c>
      <c r="C20" s="187">
        <v>25</v>
      </c>
      <c r="D20" s="187" t="s">
        <v>446</v>
      </c>
      <c r="E20" s="187" t="s">
        <v>447</v>
      </c>
      <c r="F20" s="187"/>
      <c r="G20" s="184">
        <v>0</v>
      </c>
      <c r="H20" s="184" t="s">
        <v>425</v>
      </c>
      <c r="I20" s="197">
        <f t="shared" si="0"/>
        <v>1300</v>
      </c>
      <c r="J20" s="197">
        <v>6500</v>
      </c>
      <c r="K20" s="197">
        <f t="shared" si="1"/>
        <v>552.5</v>
      </c>
      <c r="L20" s="198">
        <f t="shared" si="2"/>
        <v>793.4875</v>
      </c>
      <c r="M20" s="199">
        <f t="shared" si="3"/>
        <v>823.138875</v>
      </c>
      <c r="N20" s="200">
        <f t="shared" si="4"/>
        <v>9969.126375</v>
      </c>
      <c r="O20" s="199">
        <f t="shared" si="5"/>
        <v>0</v>
      </c>
      <c r="P20" s="196" t="s">
        <v>466</v>
      </c>
      <c r="Q20" s="171"/>
    </row>
    <row r="21" s="141" customFormat="1" ht="48" spans="1:17">
      <c r="A21" s="184"/>
      <c r="B21" s="185" t="s">
        <v>468</v>
      </c>
      <c r="C21" s="187">
        <v>20</v>
      </c>
      <c r="D21" s="187">
        <v>7.5</v>
      </c>
      <c r="E21" s="187" t="s">
        <v>469</v>
      </c>
      <c r="F21" s="187"/>
      <c r="G21" s="184">
        <v>0</v>
      </c>
      <c r="H21" s="184" t="s">
        <v>425</v>
      </c>
      <c r="I21" s="197">
        <f t="shared" si="0"/>
        <v>1000</v>
      </c>
      <c r="J21" s="197">
        <v>5000</v>
      </c>
      <c r="K21" s="197">
        <f t="shared" si="1"/>
        <v>425</v>
      </c>
      <c r="L21" s="198">
        <f t="shared" si="2"/>
        <v>610.375</v>
      </c>
      <c r="M21" s="199">
        <f t="shared" si="3"/>
        <v>633.18375</v>
      </c>
      <c r="N21" s="200">
        <f t="shared" si="4"/>
        <v>7668.55875</v>
      </c>
      <c r="O21" s="199">
        <f t="shared" si="5"/>
        <v>0</v>
      </c>
      <c r="P21" s="196" t="s">
        <v>470</v>
      </c>
      <c r="Q21" s="171"/>
    </row>
    <row r="22" s="141" customFormat="1" ht="24" spans="1:17">
      <c r="A22" s="184">
        <v>15</v>
      </c>
      <c r="B22" s="185" t="s">
        <v>471</v>
      </c>
      <c r="C22" s="186" t="s">
        <v>472</v>
      </c>
      <c r="D22" s="187">
        <v>4</v>
      </c>
      <c r="E22" s="187">
        <v>3.5</v>
      </c>
      <c r="F22" s="187" t="s">
        <v>473</v>
      </c>
      <c r="G22" s="184">
        <v>6</v>
      </c>
      <c r="H22" s="184" t="s">
        <v>425</v>
      </c>
      <c r="I22" s="193">
        <f t="shared" si="0"/>
        <v>325.24</v>
      </c>
      <c r="J22" s="193">
        <v>1626.2</v>
      </c>
      <c r="K22" s="193">
        <f t="shared" si="1"/>
        <v>138.227</v>
      </c>
      <c r="L22" s="60">
        <f t="shared" si="2"/>
        <v>198.518365</v>
      </c>
      <c r="M22" s="169">
        <f t="shared" si="3"/>
        <v>205.93668285</v>
      </c>
      <c r="N22" s="166">
        <f t="shared" si="4"/>
        <v>2494.12204785</v>
      </c>
      <c r="O22" s="169">
        <f t="shared" si="5"/>
        <v>14964.7322871</v>
      </c>
      <c r="P22" s="196" t="s">
        <v>474</v>
      </c>
      <c r="Q22" s="140"/>
    </row>
    <row r="23" s="141" customFormat="1" ht="24" spans="1:17">
      <c r="A23" s="38">
        <v>16</v>
      </c>
      <c r="B23" s="185" t="s">
        <v>475</v>
      </c>
      <c r="C23" s="188" t="s">
        <v>476</v>
      </c>
      <c r="D23" s="187">
        <v>6</v>
      </c>
      <c r="E23" s="187">
        <v>5</v>
      </c>
      <c r="F23" s="187" t="s">
        <v>477</v>
      </c>
      <c r="G23" s="184">
        <v>10</v>
      </c>
      <c r="H23" s="184" t="s">
        <v>425</v>
      </c>
      <c r="I23" s="193">
        <f t="shared" si="0"/>
        <v>660</v>
      </c>
      <c r="J23" s="193">
        <v>3300</v>
      </c>
      <c r="K23" s="193">
        <f t="shared" si="1"/>
        <v>280.5</v>
      </c>
      <c r="L23" s="60">
        <f t="shared" si="2"/>
        <v>402.8475</v>
      </c>
      <c r="M23" s="169">
        <f t="shared" si="3"/>
        <v>417.901275</v>
      </c>
      <c r="N23" s="166">
        <f t="shared" si="4"/>
        <v>5061.248775</v>
      </c>
      <c r="O23" s="169">
        <f t="shared" si="5"/>
        <v>50612.48775</v>
      </c>
      <c r="P23" s="196" t="s">
        <v>478</v>
      </c>
      <c r="Q23" s="171"/>
    </row>
    <row r="24" s="141" customFormat="1" ht="25.5" customHeight="1" spans="1:17">
      <c r="A24" s="184">
        <v>17</v>
      </c>
      <c r="B24" s="185" t="s">
        <v>479</v>
      </c>
      <c r="C24" s="188" t="s">
        <v>428</v>
      </c>
      <c r="D24" s="187">
        <v>4</v>
      </c>
      <c r="E24" s="187">
        <v>4.5</v>
      </c>
      <c r="F24" s="187"/>
      <c r="G24" s="184">
        <v>3</v>
      </c>
      <c r="H24" s="184" t="s">
        <v>425</v>
      </c>
      <c r="I24" s="193">
        <f t="shared" si="0"/>
        <v>240.64</v>
      </c>
      <c r="J24" s="193">
        <v>1203.2</v>
      </c>
      <c r="K24" s="193">
        <f t="shared" si="1"/>
        <v>102.272</v>
      </c>
      <c r="L24" s="60">
        <f t="shared" si="2"/>
        <v>146.88064</v>
      </c>
      <c r="M24" s="169">
        <f t="shared" si="3"/>
        <v>152.3693376</v>
      </c>
      <c r="N24" s="166">
        <f t="shared" si="4"/>
        <v>1845.3619776</v>
      </c>
      <c r="O24" s="169">
        <f t="shared" si="5"/>
        <v>5536.0859328</v>
      </c>
      <c r="P24" s="196" t="s">
        <v>480</v>
      </c>
      <c r="Q24" s="171"/>
    </row>
    <row r="25" s="141" customFormat="1" ht="24" spans="1:17">
      <c r="A25" s="184">
        <v>18</v>
      </c>
      <c r="B25" s="185" t="s">
        <v>481</v>
      </c>
      <c r="C25" s="188" t="s">
        <v>482</v>
      </c>
      <c r="D25" s="187">
        <v>4.5</v>
      </c>
      <c r="E25" s="187">
        <v>4</v>
      </c>
      <c r="F25" s="187"/>
      <c r="G25" s="184">
        <v>2</v>
      </c>
      <c r="H25" s="184" t="s">
        <v>425</v>
      </c>
      <c r="I25" s="193">
        <f t="shared" si="0"/>
        <v>300</v>
      </c>
      <c r="J25" s="193">
        <v>1500</v>
      </c>
      <c r="K25" s="193">
        <f t="shared" si="1"/>
        <v>127.5</v>
      </c>
      <c r="L25" s="60">
        <f t="shared" si="2"/>
        <v>183.1125</v>
      </c>
      <c r="M25" s="169">
        <f t="shared" si="3"/>
        <v>189.955125</v>
      </c>
      <c r="N25" s="166">
        <f t="shared" si="4"/>
        <v>2300.567625</v>
      </c>
      <c r="O25" s="169">
        <f t="shared" si="5"/>
        <v>4601.13525</v>
      </c>
      <c r="P25" s="196" t="s">
        <v>483</v>
      </c>
      <c r="Q25" s="140"/>
    </row>
    <row r="26" s="141" customFormat="1" ht="24" spans="1:17">
      <c r="A26" s="38">
        <v>19</v>
      </c>
      <c r="B26" s="185" t="s">
        <v>484</v>
      </c>
      <c r="C26" s="188" t="s">
        <v>482</v>
      </c>
      <c r="D26" s="187">
        <v>4.5</v>
      </c>
      <c r="E26" s="187">
        <v>4</v>
      </c>
      <c r="F26" s="187"/>
      <c r="G26" s="184">
        <v>2</v>
      </c>
      <c r="H26" s="184" t="s">
        <v>425</v>
      </c>
      <c r="I26" s="193">
        <f t="shared" si="0"/>
        <v>260</v>
      </c>
      <c r="J26" s="193">
        <v>1300</v>
      </c>
      <c r="K26" s="193">
        <f t="shared" si="1"/>
        <v>110.5</v>
      </c>
      <c r="L26" s="60">
        <f t="shared" si="2"/>
        <v>158.6975</v>
      </c>
      <c r="M26" s="169">
        <f t="shared" si="3"/>
        <v>164.627775</v>
      </c>
      <c r="N26" s="166">
        <f t="shared" si="4"/>
        <v>1993.825275</v>
      </c>
      <c r="O26" s="169">
        <f t="shared" si="5"/>
        <v>3987.65055</v>
      </c>
      <c r="P26" s="196" t="s">
        <v>483</v>
      </c>
      <c r="Q26" s="140"/>
    </row>
    <row r="27" s="141" customFormat="1" ht="24" spans="1:17">
      <c r="A27" s="184">
        <v>20</v>
      </c>
      <c r="B27" s="185" t="s">
        <v>485</v>
      </c>
      <c r="C27" s="188" t="s">
        <v>486</v>
      </c>
      <c r="D27" s="187">
        <v>3.5</v>
      </c>
      <c r="E27" s="187">
        <v>3</v>
      </c>
      <c r="F27" s="187"/>
      <c r="G27" s="184">
        <v>2</v>
      </c>
      <c r="H27" s="184" t="s">
        <v>425</v>
      </c>
      <c r="I27" s="193">
        <f t="shared" si="0"/>
        <v>240</v>
      </c>
      <c r="J27" s="193">
        <v>1200</v>
      </c>
      <c r="K27" s="193">
        <f t="shared" si="1"/>
        <v>102</v>
      </c>
      <c r="L27" s="60">
        <f t="shared" si="2"/>
        <v>146.49</v>
      </c>
      <c r="M27" s="169">
        <f t="shared" si="3"/>
        <v>151.9641</v>
      </c>
      <c r="N27" s="166">
        <f t="shared" si="4"/>
        <v>1840.4541</v>
      </c>
      <c r="O27" s="169">
        <f t="shared" si="5"/>
        <v>3680.9082</v>
      </c>
      <c r="P27" s="196" t="s">
        <v>483</v>
      </c>
      <c r="Q27" s="140"/>
    </row>
    <row r="28" s="141" customFormat="1" ht="24" spans="1:17">
      <c r="A28" s="184">
        <v>21</v>
      </c>
      <c r="B28" s="185" t="s">
        <v>487</v>
      </c>
      <c r="C28" s="188"/>
      <c r="D28" s="187">
        <v>4</v>
      </c>
      <c r="E28" s="187">
        <v>3.5</v>
      </c>
      <c r="F28" s="187"/>
      <c r="G28" s="184">
        <v>7</v>
      </c>
      <c r="H28" s="184" t="s">
        <v>425</v>
      </c>
      <c r="I28" s="193">
        <f t="shared" si="0"/>
        <v>220</v>
      </c>
      <c r="J28" s="193">
        <v>1100</v>
      </c>
      <c r="K28" s="193">
        <f t="shared" si="1"/>
        <v>93.5</v>
      </c>
      <c r="L28" s="60">
        <f t="shared" si="2"/>
        <v>134.2825</v>
      </c>
      <c r="M28" s="169">
        <f t="shared" si="3"/>
        <v>139.300425</v>
      </c>
      <c r="N28" s="166">
        <f t="shared" si="4"/>
        <v>1687.082925</v>
      </c>
      <c r="O28" s="169">
        <f t="shared" si="5"/>
        <v>11809.580475</v>
      </c>
      <c r="P28" s="196" t="s">
        <v>478</v>
      </c>
      <c r="Q28" s="140"/>
    </row>
    <row r="29" s="141" customFormat="1" ht="36" spans="1:17">
      <c r="A29" s="38">
        <v>22</v>
      </c>
      <c r="B29" s="185" t="s">
        <v>488</v>
      </c>
      <c r="C29" s="188" t="s">
        <v>489</v>
      </c>
      <c r="D29" s="187">
        <v>3</v>
      </c>
      <c r="E29" s="187">
        <v>2</v>
      </c>
      <c r="F29" s="187"/>
      <c r="G29" s="184">
        <v>4</v>
      </c>
      <c r="H29" s="184" t="s">
        <v>425</v>
      </c>
      <c r="I29" s="193">
        <f t="shared" si="0"/>
        <v>62</v>
      </c>
      <c r="J29" s="193">
        <v>310</v>
      </c>
      <c r="K29" s="193">
        <f t="shared" si="1"/>
        <v>26.35</v>
      </c>
      <c r="L29" s="60">
        <f t="shared" si="2"/>
        <v>37.84325</v>
      </c>
      <c r="M29" s="169">
        <f t="shared" si="3"/>
        <v>39.2573925</v>
      </c>
      <c r="N29" s="166">
        <f t="shared" si="4"/>
        <v>475.4506425</v>
      </c>
      <c r="O29" s="169">
        <f t="shared" si="5"/>
        <v>1901.80257</v>
      </c>
      <c r="P29" s="196" t="s">
        <v>490</v>
      </c>
      <c r="Q29" s="171"/>
    </row>
    <row r="30" s="141" customFormat="1" ht="24" customHeight="1" spans="1:17">
      <c r="A30" s="184">
        <v>23</v>
      </c>
      <c r="B30" s="185" t="s">
        <v>491</v>
      </c>
      <c r="C30" s="188" t="s">
        <v>492</v>
      </c>
      <c r="D30" s="187">
        <v>3</v>
      </c>
      <c r="E30" s="187">
        <v>2.5</v>
      </c>
      <c r="F30" s="187"/>
      <c r="G30" s="184">
        <v>0</v>
      </c>
      <c r="H30" s="184" t="s">
        <v>425</v>
      </c>
      <c r="I30" s="193">
        <f t="shared" si="0"/>
        <v>380.7</v>
      </c>
      <c r="J30" s="193">
        <v>1903.5</v>
      </c>
      <c r="K30" s="193">
        <f t="shared" si="1"/>
        <v>161.7975</v>
      </c>
      <c r="L30" s="60">
        <f t="shared" si="2"/>
        <v>232.3697625</v>
      </c>
      <c r="M30" s="169">
        <f t="shared" si="3"/>
        <v>241.053053625</v>
      </c>
      <c r="N30" s="166">
        <f t="shared" si="4"/>
        <v>2919.420316125</v>
      </c>
      <c r="O30" s="169">
        <f t="shared" si="5"/>
        <v>0</v>
      </c>
      <c r="P30" s="196" t="s">
        <v>493</v>
      </c>
      <c r="Q30" s="171"/>
    </row>
    <row r="31" s="141" customFormat="1" ht="24" spans="1:17">
      <c r="A31" s="184">
        <v>24</v>
      </c>
      <c r="B31" s="185" t="s">
        <v>494</v>
      </c>
      <c r="C31" s="188" t="s">
        <v>492</v>
      </c>
      <c r="D31" s="187">
        <v>5.5</v>
      </c>
      <c r="E31" s="187">
        <v>5</v>
      </c>
      <c r="F31" s="187"/>
      <c r="G31" s="184">
        <v>5</v>
      </c>
      <c r="H31" s="184" t="s">
        <v>425</v>
      </c>
      <c r="I31" s="193">
        <f t="shared" si="0"/>
        <v>507.6</v>
      </c>
      <c r="J31" s="193">
        <v>2538</v>
      </c>
      <c r="K31" s="193">
        <f t="shared" si="1"/>
        <v>215.73</v>
      </c>
      <c r="L31" s="60">
        <f t="shared" si="2"/>
        <v>309.82635</v>
      </c>
      <c r="M31" s="169">
        <f t="shared" si="3"/>
        <v>321.4040715</v>
      </c>
      <c r="N31" s="166">
        <f t="shared" si="4"/>
        <v>3892.5604215</v>
      </c>
      <c r="O31" s="169">
        <f t="shared" si="5"/>
        <v>19462.8021075</v>
      </c>
      <c r="P31" s="196" t="s">
        <v>495</v>
      </c>
      <c r="Q31" s="171"/>
    </row>
    <row r="32" s="141" customFormat="1" ht="24" spans="1:17">
      <c r="A32" s="38">
        <v>25</v>
      </c>
      <c r="B32" s="185" t="s">
        <v>496</v>
      </c>
      <c r="C32" s="188" t="s">
        <v>482</v>
      </c>
      <c r="D32" s="187">
        <v>4.5</v>
      </c>
      <c r="E32" s="187">
        <v>3.5</v>
      </c>
      <c r="F32" s="187"/>
      <c r="G32" s="184">
        <v>11</v>
      </c>
      <c r="H32" s="184" t="s">
        <v>425</v>
      </c>
      <c r="I32" s="193">
        <f t="shared" si="0"/>
        <v>347.8</v>
      </c>
      <c r="J32" s="193">
        <v>1739</v>
      </c>
      <c r="K32" s="193">
        <f t="shared" si="1"/>
        <v>147.815</v>
      </c>
      <c r="L32" s="60">
        <f t="shared" si="2"/>
        <v>212.288425</v>
      </c>
      <c r="M32" s="169">
        <f t="shared" si="3"/>
        <v>220.22130825</v>
      </c>
      <c r="N32" s="166">
        <f t="shared" si="4"/>
        <v>2667.12473325</v>
      </c>
      <c r="O32" s="169">
        <f t="shared" si="5"/>
        <v>29338.37206575</v>
      </c>
      <c r="P32" s="196" t="s">
        <v>497</v>
      </c>
      <c r="Q32" s="140"/>
    </row>
    <row r="33" s="141" customFormat="1" ht="24" spans="1:17">
      <c r="A33" s="184">
        <v>26</v>
      </c>
      <c r="B33" s="185" t="s">
        <v>498</v>
      </c>
      <c r="C33" s="188" t="s">
        <v>499</v>
      </c>
      <c r="D33" s="187">
        <v>4</v>
      </c>
      <c r="E33" s="187">
        <v>4</v>
      </c>
      <c r="F33" s="187"/>
      <c r="G33" s="184">
        <v>2</v>
      </c>
      <c r="H33" s="184" t="s">
        <v>425</v>
      </c>
      <c r="I33" s="193">
        <f t="shared" si="0"/>
        <v>266.96</v>
      </c>
      <c r="J33" s="193">
        <v>1334.8</v>
      </c>
      <c r="K33" s="193">
        <f t="shared" si="1"/>
        <v>113.458</v>
      </c>
      <c r="L33" s="60">
        <f t="shared" si="2"/>
        <v>162.94571</v>
      </c>
      <c r="M33" s="169">
        <f t="shared" si="3"/>
        <v>169.0347339</v>
      </c>
      <c r="N33" s="166">
        <f t="shared" si="4"/>
        <v>2047.1984439</v>
      </c>
      <c r="O33" s="169">
        <f t="shared" si="5"/>
        <v>4094.3968878</v>
      </c>
      <c r="P33" s="196" t="s">
        <v>478</v>
      </c>
      <c r="Q33" s="140"/>
    </row>
    <row r="34" s="141" customFormat="1" ht="24" spans="1:17">
      <c r="A34" s="184">
        <v>27</v>
      </c>
      <c r="B34" s="185" t="s">
        <v>500</v>
      </c>
      <c r="C34" s="188" t="s">
        <v>501</v>
      </c>
      <c r="D34" s="187">
        <v>5</v>
      </c>
      <c r="E34" s="187">
        <v>5.5</v>
      </c>
      <c r="F34" s="187"/>
      <c r="G34" s="184">
        <v>1</v>
      </c>
      <c r="H34" s="184" t="s">
        <v>425</v>
      </c>
      <c r="I34" s="193">
        <f t="shared" si="0"/>
        <v>900</v>
      </c>
      <c r="J34" s="193">
        <v>4500</v>
      </c>
      <c r="K34" s="193">
        <f t="shared" si="1"/>
        <v>382.5</v>
      </c>
      <c r="L34" s="60">
        <f t="shared" si="2"/>
        <v>549.3375</v>
      </c>
      <c r="M34" s="169">
        <f t="shared" si="3"/>
        <v>569.865375</v>
      </c>
      <c r="N34" s="166">
        <f t="shared" si="4"/>
        <v>6901.702875</v>
      </c>
      <c r="O34" s="169">
        <f t="shared" si="5"/>
        <v>6901.702875</v>
      </c>
      <c r="P34" s="196" t="s">
        <v>502</v>
      </c>
      <c r="Q34" s="140"/>
    </row>
    <row r="35" s="141" customFormat="1" ht="24" spans="1:17">
      <c r="A35" s="38">
        <v>28</v>
      </c>
      <c r="B35" s="185" t="s">
        <v>503</v>
      </c>
      <c r="C35" s="188" t="s">
        <v>423</v>
      </c>
      <c r="D35" s="187">
        <v>4</v>
      </c>
      <c r="E35" s="187">
        <v>3.5</v>
      </c>
      <c r="F35" s="187"/>
      <c r="G35" s="184">
        <v>2</v>
      </c>
      <c r="H35" s="184" t="s">
        <v>425</v>
      </c>
      <c r="I35" s="193">
        <f t="shared" si="0"/>
        <v>220</v>
      </c>
      <c r="J35" s="193">
        <v>1100</v>
      </c>
      <c r="K35" s="193">
        <f t="shared" si="1"/>
        <v>93.5</v>
      </c>
      <c r="L35" s="60">
        <f t="shared" si="2"/>
        <v>134.2825</v>
      </c>
      <c r="M35" s="169">
        <f t="shared" si="3"/>
        <v>139.300425</v>
      </c>
      <c r="N35" s="166">
        <f t="shared" si="4"/>
        <v>1687.082925</v>
      </c>
      <c r="O35" s="169">
        <f t="shared" si="5"/>
        <v>3374.16585</v>
      </c>
      <c r="P35" s="196" t="s">
        <v>504</v>
      </c>
      <c r="Q35" s="171"/>
    </row>
    <row r="36" s="141" customFormat="1" ht="24" spans="1:17">
      <c r="A36" s="184">
        <v>29</v>
      </c>
      <c r="B36" s="185" t="s">
        <v>505</v>
      </c>
      <c r="C36" s="188" t="s">
        <v>428</v>
      </c>
      <c r="D36" s="187">
        <v>3</v>
      </c>
      <c r="E36" s="187">
        <v>3</v>
      </c>
      <c r="F36" s="187"/>
      <c r="G36" s="184">
        <v>10</v>
      </c>
      <c r="H36" s="184" t="s">
        <v>425</v>
      </c>
      <c r="I36" s="193">
        <f t="shared" si="0"/>
        <v>180</v>
      </c>
      <c r="J36" s="193">
        <v>900</v>
      </c>
      <c r="K36" s="193">
        <f t="shared" si="1"/>
        <v>76.5</v>
      </c>
      <c r="L36" s="60">
        <f t="shared" si="2"/>
        <v>109.8675</v>
      </c>
      <c r="M36" s="169">
        <f t="shared" si="3"/>
        <v>113.973075</v>
      </c>
      <c r="N36" s="166">
        <f t="shared" si="4"/>
        <v>1380.340575</v>
      </c>
      <c r="O36" s="169">
        <f t="shared" si="5"/>
        <v>13803.40575</v>
      </c>
      <c r="P36" s="196" t="s">
        <v>504</v>
      </c>
      <c r="Q36" s="140"/>
    </row>
    <row r="37" s="141" customFormat="1" ht="24" spans="1:17">
      <c r="A37" s="184">
        <v>30</v>
      </c>
      <c r="B37" s="185" t="s">
        <v>506</v>
      </c>
      <c r="C37" s="188" t="s">
        <v>492</v>
      </c>
      <c r="D37" s="187" t="s">
        <v>507</v>
      </c>
      <c r="E37" s="187" t="s">
        <v>507</v>
      </c>
      <c r="F37" s="187"/>
      <c r="G37" s="184">
        <v>18</v>
      </c>
      <c r="H37" s="184" t="s">
        <v>425</v>
      </c>
      <c r="I37" s="193">
        <f t="shared" si="0"/>
        <v>261.32</v>
      </c>
      <c r="J37" s="193">
        <v>1306.6</v>
      </c>
      <c r="K37" s="193">
        <f t="shared" si="1"/>
        <v>111.061</v>
      </c>
      <c r="L37" s="60">
        <f t="shared" si="2"/>
        <v>159.503195</v>
      </c>
      <c r="M37" s="169">
        <f t="shared" si="3"/>
        <v>165.46357755</v>
      </c>
      <c r="N37" s="166">
        <f t="shared" si="4"/>
        <v>2003.94777255</v>
      </c>
      <c r="O37" s="169">
        <f t="shared" si="5"/>
        <v>36071.0599059</v>
      </c>
      <c r="P37" s="196" t="s">
        <v>508</v>
      </c>
      <c r="Q37" s="171"/>
    </row>
    <row r="38" s="141" customFormat="1" ht="27.75" customHeight="1" spans="1:17">
      <c r="A38" s="38">
        <v>31</v>
      </c>
      <c r="B38" s="185" t="s">
        <v>509</v>
      </c>
      <c r="C38" s="188" t="s">
        <v>482</v>
      </c>
      <c r="D38" s="187" t="s">
        <v>510</v>
      </c>
      <c r="E38" s="187" t="s">
        <v>511</v>
      </c>
      <c r="F38" s="187"/>
      <c r="G38" s="184">
        <v>14</v>
      </c>
      <c r="H38" s="184" t="s">
        <v>425</v>
      </c>
      <c r="I38" s="193">
        <f t="shared" si="0"/>
        <v>216.2</v>
      </c>
      <c r="J38" s="193">
        <v>1081</v>
      </c>
      <c r="K38" s="193">
        <f t="shared" si="1"/>
        <v>91.885</v>
      </c>
      <c r="L38" s="60">
        <f t="shared" si="2"/>
        <v>131.963075</v>
      </c>
      <c r="M38" s="169">
        <f t="shared" si="3"/>
        <v>136.89432675</v>
      </c>
      <c r="N38" s="166">
        <f t="shared" si="4"/>
        <v>1657.94240175</v>
      </c>
      <c r="O38" s="169">
        <f t="shared" si="5"/>
        <v>23211.1936245</v>
      </c>
      <c r="P38" s="196" t="s">
        <v>512</v>
      </c>
      <c r="Q38" s="171"/>
    </row>
    <row r="39" s="141" customFormat="1" ht="24" spans="1:17">
      <c r="A39" s="184">
        <v>32</v>
      </c>
      <c r="B39" s="185" t="s">
        <v>513</v>
      </c>
      <c r="C39" s="188" t="s">
        <v>482</v>
      </c>
      <c r="D39" s="187">
        <v>1.5</v>
      </c>
      <c r="E39" s="187">
        <v>2</v>
      </c>
      <c r="F39" s="187"/>
      <c r="G39" s="184">
        <v>1</v>
      </c>
      <c r="H39" s="184" t="s">
        <v>425</v>
      </c>
      <c r="I39" s="193">
        <f t="shared" si="0"/>
        <v>3300</v>
      </c>
      <c r="J39" s="193">
        <v>16500</v>
      </c>
      <c r="K39" s="193">
        <f t="shared" si="1"/>
        <v>1402.5</v>
      </c>
      <c r="L39" s="60">
        <f t="shared" si="2"/>
        <v>2014.2375</v>
      </c>
      <c r="M39" s="169">
        <f t="shared" si="3"/>
        <v>2089.506375</v>
      </c>
      <c r="N39" s="166">
        <f t="shared" si="4"/>
        <v>25306.243875</v>
      </c>
      <c r="O39" s="169">
        <f t="shared" si="5"/>
        <v>25306.243875</v>
      </c>
      <c r="P39" s="196" t="s">
        <v>514</v>
      </c>
      <c r="Q39" s="140"/>
    </row>
    <row r="40" s="141" customFormat="1" ht="24" spans="1:17">
      <c r="A40" s="184">
        <v>33</v>
      </c>
      <c r="B40" s="185" t="s">
        <v>515</v>
      </c>
      <c r="C40" s="188" t="s">
        <v>482</v>
      </c>
      <c r="D40" s="187">
        <v>4</v>
      </c>
      <c r="E40" s="187">
        <v>4</v>
      </c>
      <c r="F40" s="187" t="s">
        <v>516</v>
      </c>
      <c r="G40" s="184">
        <v>1</v>
      </c>
      <c r="H40" s="184" t="s">
        <v>425</v>
      </c>
      <c r="I40" s="193">
        <f t="shared" si="0"/>
        <v>761.4</v>
      </c>
      <c r="J40" s="193">
        <v>3807</v>
      </c>
      <c r="K40" s="193">
        <f t="shared" si="1"/>
        <v>323.595</v>
      </c>
      <c r="L40" s="60">
        <f t="shared" si="2"/>
        <v>464.739525</v>
      </c>
      <c r="M40" s="169">
        <f t="shared" si="3"/>
        <v>482.10610725</v>
      </c>
      <c r="N40" s="166">
        <f t="shared" si="4"/>
        <v>5838.84063225</v>
      </c>
      <c r="O40" s="169">
        <f t="shared" si="5"/>
        <v>5838.84063225</v>
      </c>
      <c r="P40" s="196" t="s">
        <v>517</v>
      </c>
      <c r="Q40" s="171"/>
    </row>
    <row r="41" s="141" customFormat="1" ht="24" spans="1:17">
      <c r="A41" s="38">
        <v>34</v>
      </c>
      <c r="B41" s="185" t="s">
        <v>518</v>
      </c>
      <c r="C41" s="188" t="s">
        <v>499</v>
      </c>
      <c r="D41" s="187">
        <v>3.5</v>
      </c>
      <c r="E41" s="187">
        <v>3.5</v>
      </c>
      <c r="F41" s="187" t="s">
        <v>519</v>
      </c>
      <c r="G41" s="184">
        <v>21</v>
      </c>
      <c r="H41" s="184" t="s">
        <v>425</v>
      </c>
      <c r="I41" s="193">
        <f t="shared" si="0"/>
        <v>456.84</v>
      </c>
      <c r="J41" s="193">
        <v>2284.2</v>
      </c>
      <c r="K41" s="193">
        <f t="shared" si="1"/>
        <v>194.157</v>
      </c>
      <c r="L41" s="60">
        <f t="shared" si="2"/>
        <v>278.843715</v>
      </c>
      <c r="M41" s="169">
        <f t="shared" si="3"/>
        <v>289.26366435</v>
      </c>
      <c r="N41" s="166">
        <f t="shared" si="4"/>
        <v>3503.30437935</v>
      </c>
      <c r="O41" s="169">
        <f t="shared" si="5"/>
        <v>73569.39196635</v>
      </c>
      <c r="P41" s="196" t="s">
        <v>517</v>
      </c>
      <c r="Q41" s="140"/>
    </row>
    <row r="42" s="141" customFormat="1" ht="24" spans="1:17">
      <c r="A42" s="184">
        <v>35</v>
      </c>
      <c r="B42" s="185" t="s">
        <v>520</v>
      </c>
      <c r="C42" s="188" t="s">
        <v>521</v>
      </c>
      <c r="D42" s="187">
        <v>2.5</v>
      </c>
      <c r="E42" s="187">
        <v>2.5</v>
      </c>
      <c r="F42" s="187"/>
      <c r="G42" s="184">
        <v>17</v>
      </c>
      <c r="H42" s="184" t="s">
        <v>425</v>
      </c>
      <c r="I42" s="193">
        <f t="shared" si="0"/>
        <v>304.56</v>
      </c>
      <c r="J42" s="193">
        <v>1522.8</v>
      </c>
      <c r="K42" s="193">
        <f t="shared" si="1"/>
        <v>129.438</v>
      </c>
      <c r="L42" s="60">
        <f t="shared" si="2"/>
        <v>185.89581</v>
      </c>
      <c r="M42" s="169">
        <f t="shared" si="3"/>
        <v>192.8424429</v>
      </c>
      <c r="N42" s="166">
        <f t="shared" si="4"/>
        <v>2335.5362529</v>
      </c>
      <c r="O42" s="169">
        <f t="shared" si="5"/>
        <v>39704.1162993</v>
      </c>
      <c r="P42" s="196" t="s">
        <v>517</v>
      </c>
      <c r="Q42" s="171"/>
    </row>
    <row r="43" s="141" customFormat="1" ht="24" spans="1:17">
      <c r="A43" s="184">
        <v>36</v>
      </c>
      <c r="B43" s="185" t="s">
        <v>522</v>
      </c>
      <c r="C43" s="188" t="s">
        <v>486</v>
      </c>
      <c r="D43" s="187">
        <v>3.5</v>
      </c>
      <c r="E43" s="187">
        <v>3.5</v>
      </c>
      <c r="F43" s="187"/>
      <c r="G43" s="184">
        <v>5</v>
      </c>
      <c r="H43" s="184" t="s">
        <v>425</v>
      </c>
      <c r="I43" s="193">
        <f t="shared" si="0"/>
        <v>685.26</v>
      </c>
      <c r="J43" s="193">
        <v>3426.3</v>
      </c>
      <c r="K43" s="193">
        <f t="shared" si="1"/>
        <v>291.2355</v>
      </c>
      <c r="L43" s="60">
        <f t="shared" si="2"/>
        <v>418.2655725</v>
      </c>
      <c r="M43" s="169">
        <f t="shared" si="3"/>
        <v>433.895496525</v>
      </c>
      <c r="N43" s="166">
        <f t="shared" si="4"/>
        <v>5254.956569025</v>
      </c>
      <c r="O43" s="169">
        <f t="shared" si="5"/>
        <v>26274.782845125</v>
      </c>
      <c r="P43" s="196" t="s">
        <v>517</v>
      </c>
      <c r="Q43" s="140"/>
    </row>
    <row r="44" s="141" customFormat="1" ht="24" spans="1:17">
      <c r="A44" s="38">
        <v>37</v>
      </c>
      <c r="B44" s="185" t="s">
        <v>523</v>
      </c>
      <c r="C44" s="188" t="s">
        <v>432</v>
      </c>
      <c r="D44" s="187">
        <v>3</v>
      </c>
      <c r="E44" s="187">
        <v>3</v>
      </c>
      <c r="F44" s="187" t="s">
        <v>516</v>
      </c>
      <c r="G44" s="184">
        <v>17</v>
      </c>
      <c r="H44" s="184" t="s">
        <v>425</v>
      </c>
      <c r="I44" s="193">
        <f t="shared" si="0"/>
        <v>320</v>
      </c>
      <c r="J44" s="193">
        <v>1600</v>
      </c>
      <c r="K44" s="193">
        <f t="shared" si="1"/>
        <v>136</v>
      </c>
      <c r="L44" s="60">
        <f t="shared" si="2"/>
        <v>195.32</v>
      </c>
      <c r="M44" s="169">
        <f t="shared" si="3"/>
        <v>202.6188</v>
      </c>
      <c r="N44" s="166">
        <f t="shared" si="4"/>
        <v>2453.9388</v>
      </c>
      <c r="O44" s="169">
        <f t="shared" si="5"/>
        <v>41716.9596</v>
      </c>
      <c r="P44" s="196" t="s">
        <v>517</v>
      </c>
      <c r="Q44" s="171"/>
    </row>
    <row r="45" s="141" customFormat="1" ht="24" spans="1:17">
      <c r="A45" s="184">
        <v>38</v>
      </c>
      <c r="B45" s="185" t="s">
        <v>524</v>
      </c>
      <c r="C45" s="188" t="s">
        <v>525</v>
      </c>
      <c r="D45" s="187">
        <v>2.5</v>
      </c>
      <c r="E45" s="187">
        <v>2.5</v>
      </c>
      <c r="F45" s="187"/>
      <c r="G45" s="184">
        <v>8</v>
      </c>
      <c r="H45" s="184" t="s">
        <v>425</v>
      </c>
      <c r="I45" s="193">
        <f t="shared" si="0"/>
        <v>190</v>
      </c>
      <c r="J45" s="193">
        <v>950</v>
      </c>
      <c r="K45" s="193">
        <f t="shared" si="1"/>
        <v>80.75</v>
      </c>
      <c r="L45" s="60">
        <f t="shared" si="2"/>
        <v>115.97125</v>
      </c>
      <c r="M45" s="169">
        <f t="shared" si="3"/>
        <v>120.3049125</v>
      </c>
      <c r="N45" s="166">
        <f t="shared" si="4"/>
        <v>1457.0261625</v>
      </c>
      <c r="O45" s="169">
        <f t="shared" si="5"/>
        <v>11656.2093</v>
      </c>
      <c r="P45" s="196" t="s">
        <v>517</v>
      </c>
      <c r="Q45" s="171"/>
    </row>
    <row r="46" s="141" customFormat="1" spans="1:17">
      <c r="A46" s="184">
        <v>39</v>
      </c>
      <c r="B46" s="185" t="s">
        <v>526</v>
      </c>
      <c r="C46" s="188"/>
      <c r="D46" s="187" t="s">
        <v>527</v>
      </c>
      <c r="E46" s="187">
        <v>1.5</v>
      </c>
      <c r="F46" s="187"/>
      <c r="G46" s="184">
        <v>10</v>
      </c>
      <c r="H46" s="184" t="s">
        <v>425</v>
      </c>
      <c r="I46" s="193">
        <f t="shared" si="0"/>
        <v>150</v>
      </c>
      <c r="J46" s="193">
        <v>750</v>
      </c>
      <c r="K46" s="193">
        <f t="shared" si="1"/>
        <v>63.75</v>
      </c>
      <c r="L46" s="60">
        <f t="shared" si="2"/>
        <v>91.55625</v>
      </c>
      <c r="M46" s="169">
        <f t="shared" si="3"/>
        <v>94.9775625</v>
      </c>
      <c r="N46" s="166">
        <f t="shared" si="4"/>
        <v>1150.2838125</v>
      </c>
      <c r="O46" s="169">
        <f t="shared" si="5"/>
        <v>11502.838125</v>
      </c>
      <c r="P46" s="196" t="s">
        <v>528</v>
      </c>
      <c r="Q46" s="140"/>
    </row>
    <row r="47" s="141" customFormat="1" spans="1:17">
      <c r="A47" s="184" t="s">
        <v>110</v>
      </c>
      <c r="B47" s="185" t="s">
        <v>53</v>
      </c>
      <c r="C47" s="188"/>
      <c r="D47" s="187"/>
      <c r="E47" s="187"/>
      <c r="F47" s="187"/>
      <c r="G47" s="184"/>
      <c r="H47" s="184"/>
      <c r="I47" s="193"/>
      <c r="J47" s="193"/>
      <c r="K47" s="193"/>
      <c r="L47" s="193"/>
      <c r="M47" s="193"/>
      <c r="N47" s="193"/>
      <c r="O47" s="193">
        <f>SUM(O6:O46)</f>
        <v>1064093.04642938</v>
      </c>
      <c r="P47" s="196"/>
      <c r="Q47" s="140"/>
    </row>
    <row r="48" s="140" customFormat="1" ht="90" customHeight="1" spans="1:16">
      <c r="A48" s="161" t="s">
        <v>529</v>
      </c>
      <c r="B48" s="161"/>
      <c r="C48" s="161"/>
      <c r="D48" s="161"/>
      <c r="E48" s="161"/>
      <c r="F48" s="161"/>
      <c r="G48" s="161"/>
      <c r="H48" s="161"/>
      <c r="I48" s="161"/>
      <c r="J48" s="161"/>
      <c r="K48" s="161"/>
      <c r="L48" s="161"/>
      <c r="M48" s="161"/>
      <c r="N48" s="161"/>
      <c r="O48" s="161"/>
      <c r="P48" s="161"/>
    </row>
  </sheetData>
  <sheetProtection formatCells="0" insertHyperlinks="0" autoFilter="0"/>
  <mergeCells count="18">
    <mergeCell ref="A1:P1"/>
    <mergeCell ref="C2:E2"/>
    <mergeCell ref="I2:M2"/>
    <mergeCell ref="A48:P48"/>
    <mergeCell ref="A2:A4"/>
    <mergeCell ref="B2:B4"/>
    <mergeCell ref="C3:C4"/>
    <mergeCell ref="D3:D4"/>
    <mergeCell ref="E3:E4"/>
    <mergeCell ref="F3:F4"/>
    <mergeCell ref="G2:G4"/>
    <mergeCell ref="H2:H4"/>
    <mergeCell ref="I3:I4"/>
    <mergeCell ref="J3:J4"/>
    <mergeCell ref="K3:K4"/>
    <mergeCell ref="N2:N4"/>
    <mergeCell ref="O2:O4"/>
    <mergeCell ref="P2:P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workbookViewId="0">
      <pane xSplit="6" ySplit="4" topLeftCell="G42" activePane="bottomRight" state="frozen"/>
      <selection/>
      <selection pane="topRight"/>
      <selection pane="bottomLeft"/>
      <selection pane="bottomRight" activeCell="D24" sqref="D24"/>
    </sheetView>
  </sheetViews>
  <sheetFormatPr defaultColWidth="8.85714285714286" defaultRowHeight="12.75"/>
  <cols>
    <col min="1" max="1" width="8.85714285714286" style="142"/>
    <col min="2" max="2" width="20.7142857142857" style="140" customWidth="1"/>
    <col min="3" max="3" width="13.2857142857143" style="142" customWidth="1"/>
    <col min="4" max="4" width="11.5714285714286" style="140" customWidth="1"/>
    <col min="5" max="5" width="8.85714285714286" style="142" customWidth="1"/>
    <col min="6" max="7" width="8.85714285714286" style="140" customWidth="1"/>
    <col min="8" max="9" width="10.7142857142857" style="140" customWidth="1"/>
    <col min="10" max="10" width="9.71428571428571" style="140" customWidth="1"/>
    <col min="11" max="11" width="12.7142857142857" style="143" customWidth="1"/>
    <col min="12" max="12" width="10.7142857142857" style="143" customWidth="1"/>
    <col min="13" max="13" width="11.8571428571429" style="143" customWidth="1"/>
    <col min="14" max="14" width="15.2857142857143" style="143" customWidth="1"/>
    <col min="15" max="15" width="28.2857142857143" style="140" customWidth="1"/>
    <col min="16" max="16" width="8.85714285714286" style="140" customWidth="1"/>
    <col min="17" max="16384" width="8.85714285714286" style="140"/>
  </cols>
  <sheetData>
    <row r="1" s="140" customFormat="1" ht="18.75" spans="1:15">
      <c r="A1" s="144" t="s">
        <v>530</v>
      </c>
      <c r="B1" s="145"/>
      <c r="C1" s="144"/>
      <c r="D1" s="144"/>
      <c r="E1" s="144"/>
      <c r="F1" s="144"/>
      <c r="G1" s="144"/>
      <c r="H1" s="144"/>
      <c r="I1" s="144"/>
      <c r="J1" s="144"/>
      <c r="K1" s="162"/>
      <c r="L1" s="162"/>
      <c r="M1" s="163"/>
      <c r="N1" s="162"/>
      <c r="O1" s="144"/>
    </row>
    <row r="2" s="140" customFormat="1" spans="1:15">
      <c r="A2" s="146" t="s">
        <v>56</v>
      </c>
      <c r="B2" s="146" t="s">
        <v>413</v>
      </c>
      <c r="C2" s="147" t="s">
        <v>414</v>
      </c>
      <c r="D2" s="147"/>
      <c r="E2" s="147"/>
      <c r="F2" s="146" t="s">
        <v>58</v>
      </c>
      <c r="G2" s="146" t="s">
        <v>41</v>
      </c>
      <c r="H2" s="33" t="s">
        <v>59</v>
      </c>
      <c r="I2" s="33"/>
      <c r="J2" s="33"/>
      <c r="K2" s="33"/>
      <c r="L2" s="33"/>
      <c r="M2" s="56" t="s">
        <v>416</v>
      </c>
      <c r="N2" s="56" t="s">
        <v>61</v>
      </c>
      <c r="O2" s="146" t="s">
        <v>531</v>
      </c>
    </row>
    <row r="3" s="140" customFormat="1" ht="45" spans="1:15">
      <c r="A3" s="148"/>
      <c r="B3" s="148"/>
      <c r="C3" s="56" t="s">
        <v>532</v>
      </c>
      <c r="D3" s="56" t="s">
        <v>533</v>
      </c>
      <c r="E3" s="56" t="s">
        <v>534</v>
      </c>
      <c r="F3" s="148"/>
      <c r="G3" s="148"/>
      <c r="H3" s="56" t="s">
        <v>63</v>
      </c>
      <c r="I3" s="56" t="s">
        <v>64</v>
      </c>
      <c r="J3" s="56" t="s">
        <v>65</v>
      </c>
      <c r="K3" s="33" t="s">
        <v>66</v>
      </c>
      <c r="L3" s="33" t="s">
        <v>67</v>
      </c>
      <c r="M3" s="57"/>
      <c r="N3" s="57"/>
      <c r="O3" s="148"/>
    </row>
    <row r="4" s="141" customFormat="1" spans="1:16">
      <c r="A4" s="149"/>
      <c r="B4" s="149"/>
      <c r="C4" s="150"/>
      <c r="D4" s="150"/>
      <c r="E4" s="150"/>
      <c r="F4" s="149"/>
      <c r="G4" s="149"/>
      <c r="H4" s="150"/>
      <c r="I4" s="150"/>
      <c r="J4" s="150"/>
      <c r="K4" s="58">
        <v>0.095</v>
      </c>
      <c r="L4" s="59">
        <v>0.09</v>
      </c>
      <c r="M4" s="57"/>
      <c r="N4" s="57"/>
      <c r="O4" s="149"/>
      <c r="P4" s="140"/>
    </row>
    <row r="5" s="141" customFormat="1" spans="1:16">
      <c r="A5" s="151">
        <v>1</v>
      </c>
      <c r="B5" s="152" t="s">
        <v>535</v>
      </c>
      <c r="C5" s="151">
        <v>0.8</v>
      </c>
      <c r="D5" s="152"/>
      <c r="E5" s="151">
        <v>0.5</v>
      </c>
      <c r="F5" s="151">
        <v>33</v>
      </c>
      <c r="G5" s="153" t="s">
        <v>425</v>
      </c>
      <c r="H5" s="154">
        <f t="shared" ref="H5:H44" si="0">I5*20%</f>
        <v>6.195</v>
      </c>
      <c r="I5" s="164">
        <v>30.975</v>
      </c>
      <c r="J5" s="164">
        <v>2.275</v>
      </c>
      <c r="K5" s="165">
        <f>(H5+I5+J5)*$K$4</f>
        <v>3.747275</v>
      </c>
      <c r="L5" s="165">
        <f>(H5+I5+J5+K5)*$L$4</f>
        <v>3.88730475</v>
      </c>
      <c r="M5" s="166">
        <f>H5+I5+J5+K5+L5</f>
        <v>47.07957975</v>
      </c>
      <c r="N5" s="165">
        <f>M5*F5</f>
        <v>1553.62613175</v>
      </c>
      <c r="O5" s="167" t="s">
        <v>536</v>
      </c>
      <c r="P5" s="140"/>
    </row>
    <row r="6" s="141" customFormat="1" spans="1:16">
      <c r="A6" s="151">
        <v>2</v>
      </c>
      <c r="B6" s="152" t="s">
        <v>537</v>
      </c>
      <c r="C6" s="151">
        <v>0.8</v>
      </c>
      <c r="D6" s="152"/>
      <c r="E6" s="151">
        <v>0.5</v>
      </c>
      <c r="F6" s="151">
        <v>26</v>
      </c>
      <c r="G6" s="153" t="s">
        <v>425</v>
      </c>
      <c r="H6" s="154">
        <f t="shared" si="0"/>
        <v>6</v>
      </c>
      <c r="I6" s="164">
        <v>30</v>
      </c>
      <c r="J6" s="164">
        <v>4.55</v>
      </c>
      <c r="K6" s="165">
        <f t="shared" ref="K6:K48" si="1">(H6+I6+J6)*$K$4</f>
        <v>3.85225</v>
      </c>
      <c r="L6" s="165">
        <f t="shared" ref="L6:L48" si="2">(H6+I6+J6+K6)*$L$4</f>
        <v>3.9962025</v>
      </c>
      <c r="M6" s="166">
        <f t="shared" ref="M6:M48" si="3">H6+I6+J6+K6+L6</f>
        <v>48.3984525</v>
      </c>
      <c r="N6" s="165">
        <f t="shared" ref="N6:N48" si="4">M6*F6</f>
        <v>1258.359765</v>
      </c>
      <c r="O6" s="167" t="s">
        <v>538</v>
      </c>
      <c r="P6" s="140"/>
    </row>
    <row r="7" s="140" customFormat="1" spans="1:16">
      <c r="A7" s="155">
        <v>3</v>
      </c>
      <c r="B7" s="152" t="s">
        <v>539</v>
      </c>
      <c r="C7" s="151">
        <v>1</v>
      </c>
      <c r="D7" s="151"/>
      <c r="E7" s="151">
        <v>1.2</v>
      </c>
      <c r="F7" s="156">
        <v>63</v>
      </c>
      <c r="G7" s="153" t="s">
        <v>425</v>
      </c>
      <c r="H7" s="154">
        <f t="shared" si="0"/>
        <v>28</v>
      </c>
      <c r="I7" s="164">
        <v>140</v>
      </c>
      <c r="J7" s="164">
        <v>42.12</v>
      </c>
      <c r="K7" s="165">
        <f t="shared" si="1"/>
        <v>19.9614</v>
      </c>
      <c r="L7" s="165">
        <f t="shared" si="2"/>
        <v>20.707326</v>
      </c>
      <c r="M7" s="166">
        <f t="shared" si="3"/>
        <v>250.788726</v>
      </c>
      <c r="N7" s="165">
        <f t="shared" si="4"/>
        <v>15799.689738</v>
      </c>
      <c r="O7" s="167" t="s">
        <v>540</v>
      </c>
      <c r="P7" s="168"/>
    </row>
    <row r="8" s="140" customFormat="1" ht="24" spans="1:16">
      <c r="A8" s="155">
        <v>4</v>
      </c>
      <c r="B8" s="152" t="s">
        <v>541</v>
      </c>
      <c r="C8" s="151">
        <v>1.8</v>
      </c>
      <c r="D8" s="151"/>
      <c r="E8" s="151">
        <v>2</v>
      </c>
      <c r="F8" s="156">
        <v>20</v>
      </c>
      <c r="G8" s="153" t="s">
        <v>425</v>
      </c>
      <c r="H8" s="154">
        <f t="shared" si="0"/>
        <v>144</v>
      </c>
      <c r="I8" s="164">
        <v>720</v>
      </c>
      <c r="J8" s="164">
        <v>61.75</v>
      </c>
      <c r="K8" s="165">
        <f t="shared" si="1"/>
        <v>87.94625</v>
      </c>
      <c r="L8" s="165">
        <f t="shared" si="2"/>
        <v>91.2326625</v>
      </c>
      <c r="M8" s="166">
        <f t="shared" si="3"/>
        <v>1104.9289125</v>
      </c>
      <c r="N8" s="165">
        <f t="shared" si="4"/>
        <v>22098.57825</v>
      </c>
      <c r="O8" s="167" t="s">
        <v>542</v>
      </c>
      <c r="P8" s="168"/>
    </row>
    <row r="9" s="140" customFormat="1" ht="24" spans="1:16">
      <c r="A9" s="155">
        <v>5</v>
      </c>
      <c r="B9" s="152" t="s">
        <v>543</v>
      </c>
      <c r="C9" s="151">
        <v>1.6</v>
      </c>
      <c r="D9" s="151"/>
      <c r="E9" s="151">
        <v>1.8</v>
      </c>
      <c r="F9" s="156">
        <v>43</v>
      </c>
      <c r="G9" s="153" t="s">
        <v>425</v>
      </c>
      <c r="H9" s="154">
        <f t="shared" si="0"/>
        <v>115.05</v>
      </c>
      <c r="I9" s="164">
        <v>575.25</v>
      </c>
      <c r="J9" s="164">
        <v>42.25</v>
      </c>
      <c r="K9" s="165">
        <f t="shared" si="1"/>
        <v>69.59225</v>
      </c>
      <c r="L9" s="165">
        <f t="shared" si="2"/>
        <v>72.1928025</v>
      </c>
      <c r="M9" s="166">
        <f t="shared" si="3"/>
        <v>874.3350525</v>
      </c>
      <c r="N9" s="165">
        <f t="shared" si="4"/>
        <v>37596.4072575</v>
      </c>
      <c r="O9" s="167" t="s">
        <v>542</v>
      </c>
      <c r="P9" s="168"/>
    </row>
    <row r="10" s="140" customFormat="1" ht="24" spans="1:16">
      <c r="A10" s="151">
        <v>6</v>
      </c>
      <c r="B10" s="152" t="s">
        <v>544</v>
      </c>
      <c r="C10" s="151">
        <v>2</v>
      </c>
      <c r="D10" s="151"/>
      <c r="E10" s="151">
        <v>2.5</v>
      </c>
      <c r="F10" s="156">
        <v>9</v>
      </c>
      <c r="G10" s="153" t="s">
        <v>425</v>
      </c>
      <c r="H10" s="154">
        <f t="shared" si="0"/>
        <v>140</v>
      </c>
      <c r="I10" s="164">
        <v>700</v>
      </c>
      <c r="J10" s="164">
        <v>61.75</v>
      </c>
      <c r="K10" s="165">
        <f t="shared" si="1"/>
        <v>85.66625</v>
      </c>
      <c r="L10" s="165">
        <f t="shared" si="2"/>
        <v>88.8674625</v>
      </c>
      <c r="M10" s="166">
        <f t="shared" si="3"/>
        <v>1076.2837125</v>
      </c>
      <c r="N10" s="165">
        <f t="shared" si="4"/>
        <v>9686.5534125</v>
      </c>
      <c r="O10" s="167" t="s">
        <v>542</v>
      </c>
      <c r="P10" s="168"/>
    </row>
    <row r="11" s="140" customFormat="1" ht="24" spans="1:16">
      <c r="A11" s="151">
        <v>7</v>
      </c>
      <c r="B11" s="152" t="s">
        <v>545</v>
      </c>
      <c r="C11" s="151">
        <v>1.5</v>
      </c>
      <c r="D11" s="151"/>
      <c r="E11" s="151">
        <v>1.8</v>
      </c>
      <c r="F11" s="156">
        <v>26</v>
      </c>
      <c r="G11" s="153" t="s">
        <v>425</v>
      </c>
      <c r="H11" s="154">
        <f t="shared" si="0"/>
        <v>90</v>
      </c>
      <c r="I11" s="164">
        <v>450</v>
      </c>
      <c r="J11" s="164">
        <v>42.25</v>
      </c>
      <c r="K11" s="165">
        <f t="shared" si="1"/>
        <v>55.31375</v>
      </c>
      <c r="L11" s="165">
        <f t="shared" si="2"/>
        <v>57.3807375</v>
      </c>
      <c r="M11" s="166">
        <f t="shared" si="3"/>
        <v>694.9444875</v>
      </c>
      <c r="N11" s="165">
        <f t="shared" si="4"/>
        <v>18068.556675</v>
      </c>
      <c r="O11" s="167" t="s">
        <v>542</v>
      </c>
      <c r="P11" s="168"/>
    </row>
    <row r="12" s="140" customFormat="1" ht="24" spans="1:16">
      <c r="A12" s="151">
        <v>8</v>
      </c>
      <c r="B12" s="152" t="s">
        <v>546</v>
      </c>
      <c r="C12" s="151">
        <v>1.3</v>
      </c>
      <c r="D12" s="151"/>
      <c r="E12" s="151">
        <v>1.6</v>
      </c>
      <c r="F12" s="156">
        <v>12</v>
      </c>
      <c r="G12" s="153" t="s">
        <v>425</v>
      </c>
      <c r="H12" s="154">
        <f t="shared" si="0"/>
        <v>52</v>
      </c>
      <c r="I12" s="164">
        <v>260</v>
      </c>
      <c r="J12" s="164">
        <v>22.75</v>
      </c>
      <c r="K12" s="165">
        <f t="shared" si="1"/>
        <v>31.80125</v>
      </c>
      <c r="L12" s="165">
        <f t="shared" si="2"/>
        <v>32.9896125</v>
      </c>
      <c r="M12" s="166">
        <f t="shared" si="3"/>
        <v>399.5408625</v>
      </c>
      <c r="N12" s="165">
        <f t="shared" si="4"/>
        <v>4794.49035</v>
      </c>
      <c r="O12" s="167" t="s">
        <v>542</v>
      </c>
      <c r="P12" s="168"/>
    </row>
    <row r="13" s="140" customFormat="1" ht="24" spans="1:16">
      <c r="A13" s="151">
        <v>9</v>
      </c>
      <c r="B13" s="152" t="s">
        <v>547</v>
      </c>
      <c r="C13" s="151">
        <v>2</v>
      </c>
      <c r="D13" s="151"/>
      <c r="E13" s="151">
        <v>2.2</v>
      </c>
      <c r="F13" s="156">
        <v>17</v>
      </c>
      <c r="G13" s="153" t="s">
        <v>425</v>
      </c>
      <c r="H13" s="154">
        <f t="shared" si="0"/>
        <v>124</v>
      </c>
      <c r="I13" s="164">
        <v>620</v>
      </c>
      <c r="J13" s="164">
        <v>48.75</v>
      </c>
      <c r="K13" s="165">
        <f t="shared" si="1"/>
        <v>75.31125</v>
      </c>
      <c r="L13" s="165">
        <f t="shared" si="2"/>
        <v>78.1255125</v>
      </c>
      <c r="M13" s="166">
        <f t="shared" si="3"/>
        <v>946.1867625</v>
      </c>
      <c r="N13" s="165">
        <f t="shared" si="4"/>
        <v>16085.1749625</v>
      </c>
      <c r="O13" s="167" t="s">
        <v>542</v>
      </c>
      <c r="P13" s="168"/>
    </row>
    <row r="14" s="140" customFormat="1" ht="24" spans="1:16">
      <c r="A14" s="155">
        <v>10</v>
      </c>
      <c r="B14" s="152" t="s">
        <v>548</v>
      </c>
      <c r="C14" s="151">
        <v>1.8</v>
      </c>
      <c r="D14" s="151"/>
      <c r="E14" s="151">
        <v>2</v>
      </c>
      <c r="F14" s="156">
        <v>20</v>
      </c>
      <c r="G14" s="153" t="s">
        <v>425</v>
      </c>
      <c r="H14" s="154">
        <f t="shared" si="0"/>
        <v>90</v>
      </c>
      <c r="I14" s="164">
        <v>450</v>
      </c>
      <c r="J14" s="164">
        <v>33.8</v>
      </c>
      <c r="K14" s="165">
        <f t="shared" si="1"/>
        <v>54.511</v>
      </c>
      <c r="L14" s="165">
        <f t="shared" si="2"/>
        <v>56.54799</v>
      </c>
      <c r="M14" s="166">
        <f t="shared" si="3"/>
        <v>684.85899</v>
      </c>
      <c r="N14" s="165">
        <f t="shared" si="4"/>
        <v>13697.1798</v>
      </c>
      <c r="O14" s="167" t="s">
        <v>542</v>
      </c>
      <c r="P14" s="168"/>
    </row>
    <row r="15" s="140" customFormat="1" ht="24" spans="1:16">
      <c r="A15" s="155">
        <v>11</v>
      </c>
      <c r="B15" s="152" t="s">
        <v>549</v>
      </c>
      <c r="C15" s="151">
        <v>1.4</v>
      </c>
      <c r="D15" s="151"/>
      <c r="E15" s="151">
        <v>1.6</v>
      </c>
      <c r="F15" s="156">
        <v>24</v>
      </c>
      <c r="G15" s="153" t="s">
        <v>425</v>
      </c>
      <c r="H15" s="154">
        <f t="shared" si="0"/>
        <v>106.2</v>
      </c>
      <c r="I15" s="164">
        <v>531</v>
      </c>
      <c r="J15" s="164">
        <v>39</v>
      </c>
      <c r="K15" s="165">
        <f t="shared" si="1"/>
        <v>64.239</v>
      </c>
      <c r="L15" s="165">
        <f t="shared" si="2"/>
        <v>66.63951</v>
      </c>
      <c r="M15" s="166">
        <f t="shared" si="3"/>
        <v>807.07851</v>
      </c>
      <c r="N15" s="165">
        <f t="shared" si="4"/>
        <v>19369.88424</v>
      </c>
      <c r="O15" s="167" t="s">
        <v>542</v>
      </c>
      <c r="P15" s="168"/>
    </row>
    <row r="16" s="140" customFormat="1" ht="24" spans="1:16">
      <c r="A16" s="155">
        <v>12</v>
      </c>
      <c r="B16" s="152" t="s">
        <v>550</v>
      </c>
      <c r="C16" s="151">
        <v>3</v>
      </c>
      <c r="D16" s="151"/>
      <c r="E16" s="151">
        <v>2.5</v>
      </c>
      <c r="F16" s="156">
        <v>5</v>
      </c>
      <c r="G16" s="153" t="s">
        <v>425</v>
      </c>
      <c r="H16" s="154">
        <f t="shared" si="0"/>
        <v>150</v>
      </c>
      <c r="I16" s="164">
        <v>750</v>
      </c>
      <c r="J16" s="164">
        <v>65</v>
      </c>
      <c r="K16" s="165">
        <f t="shared" si="1"/>
        <v>91.675</v>
      </c>
      <c r="L16" s="165">
        <f t="shared" si="2"/>
        <v>95.10075</v>
      </c>
      <c r="M16" s="166">
        <f t="shared" si="3"/>
        <v>1151.77575</v>
      </c>
      <c r="N16" s="165">
        <f t="shared" si="4"/>
        <v>5758.87875</v>
      </c>
      <c r="O16" s="167" t="s">
        <v>542</v>
      </c>
      <c r="P16" s="168"/>
    </row>
    <row r="17" s="140" customFormat="1" ht="24" spans="1:16">
      <c r="A17" s="151">
        <v>13</v>
      </c>
      <c r="B17" s="152" t="s">
        <v>551</v>
      </c>
      <c r="C17" s="151">
        <v>1.3</v>
      </c>
      <c r="D17" s="151"/>
      <c r="E17" s="151">
        <v>1.4</v>
      </c>
      <c r="F17" s="156">
        <v>14</v>
      </c>
      <c r="G17" s="153" t="s">
        <v>425</v>
      </c>
      <c r="H17" s="154">
        <f t="shared" si="0"/>
        <v>106.2</v>
      </c>
      <c r="I17" s="164">
        <v>531</v>
      </c>
      <c r="J17" s="164">
        <v>39</v>
      </c>
      <c r="K17" s="165">
        <f t="shared" si="1"/>
        <v>64.239</v>
      </c>
      <c r="L17" s="165">
        <f t="shared" si="2"/>
        <v>66.63951</v>
      </c>
      <c r="M17" s="166">
        <f t="shared" si="3"/>
        <v>807.07851</v>
      </c>
      <c r="N17" s="165">
        <f t="shared" si="4"/>
        <v>11299.09914</v>
      </c>
      <c r="O17" s="167" t="s">
        <v>542</v>
      </c>
      <c r="P17" s="168"/>
    </row>
    <row r="18" s="140" customFormat="1" ht="24" spans="1:15">
      <c r="A18" s="151">
        <v>14</v>
      </c>
      <c r="B18" s="152" t="s">
        <v>552</v>
      </c>
      <c r="C18" s="151">
        <v>1</v>
      </c>
      <c r="D18" s="151"/>
      <c r="E18" s="151">
        <v>1.1</v>
      </c>
      <c r="F18" s="156">
        <v>2</v>
      </c>
      <c r="G18" s="153" t="s">
        <v>425</v>
      </c>
      <c r="H18" s="154">
        <f t="shared" si="0"/>
        <v>54</v>
      </c>
      <c r="I18" s="164">
        <v>270</v>
      </c>
      <c r="J18" s="164">
        <v>22.75</v>
      </c>
      <c r="K18" s="165">
        <f t="shared" si="1"/>
        <v>32.94125</v>
      </c>
      <c r="L18" s="165">
        <f t="shared" si="2"/>
        <v>34.1722125</v>
      </c>
      <c r="M18" s="166">
        <f t="shared" si="3"/>
        <v>413.8634625</v>
      </c>
      <c r="N18" s="165">
        <f t="shared" si="4"/>
        <v>827.726925</v>
      </c>
      <c r="O18" s="167" t="s">
        <v>542</v>
      </c>
    </row>
    <row r="19" s="140" customFormat="1" ht="22.5" customHeight="1" spans="1:16">
      <c r="A19" s="151">
        <v>15</v>
      </c>
      <c r="B19" s="152" t="s">
        <v>553</v>
      </c>
      <c r="C19" s="151" t="s">
        <v>554</v>
      </c>
      <c r="D19" s="151"/>
      <c r="E19" s="151" t="s">
        <v>465</v>
      </c>
      <c r="F19" s="156">
        <v>13</v>
      </c>
      <c r="G19" s="153" t="s">
        <v>425</v>
      </c>
      <c r="H19" s="154">
        <f t="shared" si="0"/>
        <v>36</v>
      </c>
      <c r="I19" s="169">
        <v>180</v>
      </c>
      <c r="J19" s="170">
        <v>18</v>
      </c>
      <c r="K19" s="165">
        <f t="shared" si="1"/>
        <v>22.23</v>
      </c>
      <c r="L19" s="165">
        <f t="shared" si="2"/>
        <v>23.0607</v>
      </c>
      <c r="M19" s="166">
        <f t="shared" si="3"/>
        <v>279.2907</v>
      </c>
      <c r="N19" s="165">
        <f t="shared" si="4"/>
        <v>3630.7791</v>
      </c>
      <c r="O19" s="167" t="s">
        <v>555</v>
      </c>
      <c r="P19" s="171"/>
    </row>
    <row r="20" s="140" customFormat="1" ht="24" spans="1:15">
      <c r="A20" s="151">
        <v>16</v>
      </c>
      <c r="B20" s="152" t="s">
        <v>556</v>
      </c>
      <c r="C20" s="151">
        <v>1.2</v>
      </c>
      <c r="D20" s="151"/>
      <c r="E20" s="151">
        <v>1.3</v>
      </c>
      <c r="F20" s="156">
        <v>2</v>
      </c>
      <c r="G20" s="153" t="s">
        <v>425</v>
      </c>
      <c r="H20" s="154">
        <f t="shared" si="0"/>
        <v>48</v>
      </c>
      <c r="I20" s="164">
        <v>240</v>
      </c>
      <c r="J20" s="164">
        <v>19.5</v>
      </c>
      <c r="K20" s="165">
        <f t="shared" si="1"/>
        <v>29.2125</v>
      </c>
      <c r="L20" s="165">
        <f t="shared" si="2"/>
        <v>30.304125</v>
      </c>
      <c r="M20" s="166">
        <f t="shared" si="3"/>
        <v>367.016625</v>
      </c>
      <c r="N20" s="165">
        <f t="shared" si="4"/>
        <v>734.03325</v>
      </c>
      <c r="O20" s="167" t="s">
        <v>542</v>
      </c>
    </row>
    <row r="21" s="140" customFormat="1" spans="1:16">
      <c r="A21" s="155">
        <v>17</v>
      </c>
      <c r="B21" s="152" t="s">
        <v>557</v>
      </c>
      <c r="C21" s="151">
        <v>1.8</v>
      </c>
      <c r="D21" s="151"/>
      <c r="E21" s="151">
        <v>1.2</v>
      </c>
      <c r="F21" s="156">
        <v>8</v>
      </c>
      <c r="G21" s="153" t="s">
        <v>425</v>
      </c>
      <c r="H21" s="154">
        <f t="shared" si="0"/>
        <v>15</v>
      </c>
      <c r="I21" s="164">
        <v>75</v>
      </c>
      <c r="J21" s="164">
        <v>29.25</v>
      </c>
      <c r="K21" s="165">
        <f t="shared" si="1"/>
        <v>11.32875</v>
      </c>
      <c r="L21" s="165">
        <f t="shared" si="2"/>
        <v>11.7520875</v>
      </c>
      <c r="M21" s="166">
        <f t="shared" si="3"/>
        <v>142.3308375</v>
      </c>
      <c r="N21" s="165">
        <f t="shared" si="4"/>
        <v>1138.6467</v>
      </c>
      <c r="O21" s="167" t="s">
        <v>540</v>
      </c>
      <c r="P21" s="168"/>
    </row>
    <row r="22" s="140" customFormat="1" spans="1:16">
      <c r="A22" s="155">
        <v>18</v>
      </c>
      <c r="B22" s="152" t="s">
        <v>558</v>
      </c>
      <c r="C22" s="151">
        <v>1.2</v>
      </c>
      <c r="D22" s="151"/>
      <c r="E22" s="151">
        <v>1</v>
      </c>
      <c r="F22" s="156">
        <v>4</v>
      </c>
      <c r="G22" s="153" t="s">
        <v>425</v>
      </c>
      <c r="H22" s="154">
        <f t="shared" si="0"/>
        <v>12</v>
      </c>
      <c r="I22" s="164">
        <v>60</v>
      </c>
      <c r="J22" s="164">
        <f t="shared" ref="J22:J44" si="5">I22*10%</f>
        <v>6</v>
      </c>
      <c r="K22" s="165">
        <f t="shared" si="1"/>
        <v>7.41</v>
      </c>
      <c r="L22" s="165">
        <f t="shared" si="2"/>
        <v>7.6869</v>
      </c>
      <c r="M22" s="166">
        <f t="shared" si="3"/>
        <v>93.0969</v>
      </c>
      <c r="N22" s="165">
        <f t="shared" si="4"/>
        <v>372.3876</v>
      </c>
      <c r="O22" s="167" t="s">
        <v>540</v>
      </c>
      <c r="P22" s="168"/>
    </row>
    <row r="23" s="140" customFormat="1" spans="1:16">
      <c r="A23" s="155">
        <v>19</v>
      </c>
      <c r="B23" s="152" t="s">
        <v>559</v>
      </c>
      <c r="C23" s="156">
        <v>4</v>
      </c>
      <c r="D23" s="156">
        <v>12</v>
      </c>
      <c r="E23" s="156" t="s">
        <v>560</v>
      </c>
      <c r="F23" s="156">
        <v>75.6</v>
      </c>
      <c r="G23" s="156" t="s">
        <v>561</v>
      </c>
      <c r="H23" s="154">
        <f t="shared" si="0"/>
        <v>17.4</v>
      </c>
      <c r="I23" s="164">
        <v>87</v>
      </c>
      <c r="J23" s="164">
        <f t="shared" si="5"/>
        <v>8.7</v>
      </c>
      <c r="K23" s="165">
        <f t="shared" si="1"/>
        <v>10.7445</v>
      </c>
      <c r="L23" s="165">
        <f t="shared" si="2"/>
        <v>11.146005</v>
      </c>
      <c r="M23" s="166">
        <f t="shared" si="3"/>
        <v>134.990505</v>
      </c>
      <c r="N23" s="165">
        <f t="shared" si="4"/>
        <v>10205.282178</v>
      </c>
      <c r="O23" s="167" t="s">
        <v>562</v>
      </c>
      <c r="P23" s="168"/>
    </row>
    <row r="24" s="140" customFormat="1" spans="1:16">
      <c r="A24" s="151">
        <v>20</v>
      </c>
      <c r="B24" s="152" t="s">
        <v>563</v>
      </c>
      <c r="C24" s="156">
        <v>1.5</v>
      </c>
      <c r="D24" s="157" t="s">
        <v>564</v>
      </c>
      <c r="E24" s="156" t="s">
        <v>565</v>
      </c>
      <c r="F24" s="156">
        <v>969</v>
      </c>
      <c r="G24" s="156" t="s">
        <v>107</v>
      </c>
      <c r="H24" s="154">
        <f t="shared" si="0"/>
        <v>14.4</v>
      </c>
      <c r="I24" s="164">
        <v>72</v>
      </c>
      <c r="J24" s="164">
        <f t="shared" si="5"/>
        <v>7.2</v>
      </c>
      <c r="K24" s="165">
        <f t="shared" si="1"/>
        <v>8.892</v>
      </c>
      <c r="L24" s="165">
        <f t="shared" si="2"/>
        <v>9.22428</v>
      </c>
      <c r="M24" s="166">
        <f t="shared" si="3"/>
        <v>111.71628</v>
      </c>
      <c r="N24" s="165">
        <f t="shared" si="4"/>
        <v>108253.07532</v>
      </c>
      <c r="O24" s="167" t="s">
        <v>566</v>
      </c>
      <c r="P24" s="168"/>
    </row>
    <row r="25" s="140" customFormat="1" spans="1:16">
      <c r="A25" s="151">
        <v>21</v>
      </c>
      <c r="B25" s="152" t="s">
        <v>567</v>
      </c>
      <c r="C25" s="156" t="s">
        <v>568</v>
      </c>
      <c r="D25" s="156">
        <v>49</v>
      </c>
      <c r="E25" s="156" t="s">
        <v>569</v>
      </c>
      <c r="F25" s="156">
        <v>547.4</v>
      </c>
      <c r="G25" s="156" t="s">
        <v>561</v>
      </c>
      <c r="H25" s="154">
        <f t="shared" si="0"/>
        <v>19</v>
      </c>
      <c r="I25" s="164">
        <v>95</v>
      </c>
      <c r="J25" s="164">
        <f t="shared" si="5"/>
        <v>9.5</v>
      </c>
      <c r="K25" s="165">
        <f t="shared" si="1"/>
        <v>11.7325</v>
      </c>
      <c r="L25" s="165">
        <f t="shared" si="2"/>
        <v>12.170925</v>
      </c>
      <c r="M25" s="166">
        <f t="shared" si="3"/>
        <v>147.403425</v>
      </c>
      <c r="N25" s="165">
        <f t="shared" si="4"/>
        <v>80688.634845</v>
      </c>
      <c r="O25" s="167" t="s">
        <v>570</v>
      </c>
      <c r="P25" s="168"/>
    </row>
    <row r="26" s="140" customFormat="1" spans="1:16">
      <c r="A26" s="151">
        <v>22</v>
      </c>
      <c r="B26" s="152" t="s">
        <v>571</v>
      </c>
      <c r="C26" s="156" t="s">
        <v>572</v>
      </c>
      <c r="D26" s="156">
        <v>36</v>
      </c>
      <c r="E26" s="156" t="s">
        <v>573</v>
      </c>
      <c r="F26" s="156">
        <v>8.6</v>
      </c>
      <c r="G26" s="156" t="s">
        <v>561</v>
      </c>
      <c r="H26" s="154">
        <f t="shared" si="0"/>
        <v>14</v>
      </c>
      <c r="I26" s="164">
        <v>70</v>
      </c>
      <c r="J26" s="164">
        <f t="shared" si="5"/>
        <v>7</v>
      </c>
      <c r="K26" s="165">
        <f t="shared" si="1"/>
        <v>8.645</v>
      </c>
      <c r="L26" s="165">
        <f t="shared" si="2"/>
        <v>8.96805</v>
      </c>
      <c r="M26" s="166">
        <f t="shared" si="3"/>
        <v>108.61305</v>
      </c>
      <c r="N26" s="165">
        <f t="shared" si="4"/>
        <v>934.07223</v>
      </c>
      <c r="O26" s="167" t="s">
        <v>574</v>
      </c>
      <c r="P26" s="168"/>
    </row>
    <row r="27" s="140" customFormat="1" ht="24" spans="1:16">
      <c r="A27" s="151">
        <v>23</v>
      </c>
      <c r="B27" s="152" t="s">
        <v>575</v>
      </c>
      <c r="C27" s="156" t="s">
        <v>572</v>
      </c>
      <c r="D27" s="156">
        <v>36</v>
      </c>
      <c r="E27" s="156" t="s">
        <v>576</v>
      </c>
      <c r="F27" s="156">
        <v>379.2</v>
      </c>
      <c r="G27" s="156" t="s">
        <v>561</v>
      </c>
      <c r="H27" s="154">
        <f t="shared" si="0"/>
        <v>19</v>
      </c>
      <c r="I27" s="164">
        <v>95</v>
      </c>
      <c r="J27" s="164">
        <f t="shared" si="5"/>
        <v>9.5</v>
      </c>
      <c r="K27" s="165">
        <f t="shared" si="1"/>
        <v>11.7325</v>
      </c>
      <c r="L27" s="165">
        <f t="shared" si="2"/>
        <v>12.170925</v>
      </c>
      <c r="M27" s="166">
        <f t="shared" si="3"/>
        <v>147.403425</v>
      </c>
      <c r="N27" s="165">
        <f t="shared" si="4"/>
        <v>55895.37876</v>
      </c>
      <c r="O27" s="167" t="s">
        <v>577</v>
      </c>
      <c r="P27" s="168"/>
    </row>
    <row r="28" s="140" customFormat="1" ht="24" spans="1:16">
      <c r="A28" s="155">
        <v>24</v>
      </c>
      <c r="B28" s="152" t="s">
        <v>578</v>
      </c>
      <c r="C28" s="156" t="s">
        <v>576</v>
      </c>
      <c r="D28" s="156">
        <v>81</v>
      </c>
      <c r="E28" s="156" t="s">
        <v>579</v>
      </c>
      <c r="F28" s="156">
        <v>1042.4</v>
      </c>
      <c r="G28" s="156" t="s">
        <v>561</v>
      </c>
      <c r="H28" s="154">
        <f t="shared" si="0"/>
        <v>19</v>
      </c>
      <c r="I28" s="164">
        <v>95</v>
      </c>
      <c r="J28" s="164">
        <f t="shared" si="5"/>
        <v>9.5</v>
      </c>
      <c r="K28" s="165">
        <f t="shared" si="1"/>
        <v>11.7325</v>
      </c>
      <c r="L28" s="165">
        <f t="shared" si="2"/>
        <v>12.170925</v>
      </c>
      <c r="M28" s="166">
        <f t="shared" si="3"/>
        <v>147.403425</v>
      </c>
      <c r="N28" s="165">
        <f t="shared" si="4"/>
        <v>153653.33022</v>
      </c>
      <c r="O28" s="167" t="s">
        <v>577</v>
      </c>
      <c r="P28" s="168"/>
    </row>
    <row r="29" s="140" customFormat="1" ht="24" spans="1:16">
      <c r="A29" s="155">
        <v>25</v>
      </c>
      <c r="B29" s="152" t="s">
        <v>580</v>
      </c>
      <c r="C29" s="156" t="s">
        <v>565</v>
      </c>
      <c r="D29" s="156">
        <v>81</v>
      </c>
      <c r="E29" s="156" t="s">
        <v>576</v>
      </c>
      <c r="F29" s="156">
        <v>107.6</v>
      </c>
      <c r="G29" s="156" t="s">
        <v>561</v>
      </c>
      <c r="H29" s="154">
        <f t="shared" si="0"/>
        <v>19</v>
      </c>
      <c r="I29" s="164">
        <v>95</v>
      </c>
      <c r="J29" s="164">
        <f t="shared" si="5"/>
        <v>9.5</v>
      </c>
      <c r="K29" s="165">
        <f t="shared" si="1"/>
        <v>11.7325</v>
      </c>
      <c r="L29" s="165">
        <f t="shared" si="2"/>
        <v>12.170925</v>
      </c>
      <c r="M29" s="166">
        <f t="shared" si="3"/>
        <v>147.403425</v>
      </c>
      <c r="N29" s="165">
        <f t="shared" si="4"/>
        <v>15860.60853</v>
      </c>
      <c r="O29" s="167" t="s">
        <v>577</v>
      </c>
      <c r="P29" s="168"/>
    </row>
    <row r="30" s="140" customFormat="1" ht="24" spans="1:16">
      <c r="A30" s="155">
        <v>26</v>
      </c>
      <c r="B30" s="152" t="s">
        <v>581</v>
      </c>
      <c r="C30" s="156" t="s">
        <v>565</v>
      </c>
      <c r="D30" s="156">
        <v>81</v>
      </c>
      <c r="E30" s="156" t="s">
        <v>576</v>
      </c>
      <c r="F30" s="156">
        <v>944.4</v>
      </c>
      <c r="G30" s="156" t="s">
        <v>561</v>
      </c>
      <c r="H30" s="154">
        <f t="shared" si="0"/>
        <v>19</v>
      </c>
      <c r="I30" s="164">
        <v>95</v>
      </c>
      <c r="J30" s="164">
        <f t="shared" si="5"/>
        <v>9.5</v>
      </c>
      <c r="K30" s="165">
        <f t="shared" si="1"/>
        <v>11.7325</v>
      </c>
      <c r="L30" s="165">
        <f t="shared" si="2"/>
        <v>12.170925</v>
      </c>
      <c r="M30" s="166">
        <f t="shared" si="3"/>
        <v>147.403425</v>
      </c>
      <c r="N30" s="165">
        <f t="shared" si="4"/>
        <v>139207.79457</v>
      </c>
      <c r="O30" s="167" t="s">
        <v>577</v>
      </c>
      <c r="P30" s="168"/>
    </row>
    <row r="31" s="140" customFormat="1" ht="24" spans="1:15">
      <c r="A31" s="151">
        <v>27</v>
      </c>
      <c r="B31" s="152" t="s">
        <v>582</v>
      </c>
      <c r="C31" s="156" t="s">
        <v>583</v>
      </c>
      <c r="D31" s="156">
        <v>81</v>
      </c>
      <c r="E31" s="156" t="s">
        <v>576</v>
      </c>
      <c r="F31" s="156">
        <v>343</v>
      </c>
      <c r="G31" s="156" t="s">
        <v>561</v>
      </c>
      <c r="H31" s="154">
        <f t="shared" si="0"/>
        <v>19</v>
      </c>
      <c r="I31" s="164">
        <v>95</v>
      </c>
      <c r="J31" s="164">
        <f t="shared" si="5"/>
        <v>9.5</v>
      </c>
      <c r="K31" s="165">
        <f t="shared" si="1"/>
        <v>11.7325</v>
      </c>
      <c r="L31" s="165">
        <f t="shared" si="2"/>
        <v>12.170925</v>
      </c>
      <c r="M31" s="166">
        <f t="shared" si="3"/>
        <v>147.403425</v>
      </c>
      <c r="N31" s="165">
        <f t="shared" si="4"/>
        <v>50559.374775</v>
      </c>
      <c r="O31" s="167" t="s">
        <v>577</v>
      </c>
    </row>
    <row r="32" s="140" customFormat="1" ht="24" spans="1:15">
      <c r="A32" s="151">
        <v>28</v>
      </c>
      <c r="B32" s="152" t="s">
        <v>584</v>
      </c>
      <c r="C32" s="156" t="s">
        <v>583</v>
      </c>
      <c r="D32" s="156">
        <v>100</v>
      </c>
      <c r="E32" s="156" t="s">
        <v>569</v>
      </c>
      <c r="F32" s="156">
        <v>227.1</v>
      </c>
      <c r="G32" s="156" t="s">
        <v>561</v>
      </c>
      <c r="H32" s="154">
        <f t="shared" si="0"/>
        <v>11.34</v>
      </c>
      <c r="I32" s="164">
        <v>56.7</v>
      </c>
      <c r="J32" s="164">
        <f t="shared" si="5"/>
        <v>5.67</v>
      </c>
      <c r="K32" s="165">
        <f t="shared" si="1"/>
        <v>7.00245</v>
      </c>
      <c r="L32" s="165">
        <f t="shared" si="2"/>
        <v>7.2641205</v>
      </c>
      <c r="M32" s="166">
        <f t="shared" si="3"/>
        <v>87.9765705</v>
      </c>
      <c r="N32" s="165">
        <f t="shared" si="4"/>
        <v>19979.47916055</v>
      </c>
      <c r="O32" s="167" t="s">
        <v>585</v>
      </c>
    </row>
    <row r="33" s="140" customFormat="1" ht="24" spans="1:15">
      <c r="A33" s="151">
        <v>29</v>
      </c>
      <c r="B33" s="152" t="s">
        <v>586</v>
      </c>
      <c r="C33" s="156" t="s">
        <v>579</v>
      </c>
      <c r="D33" s="156">
        <v>81</v>
      </c>
      <c r="E33" s="156" t="s">
        <v>579</v>
      </c>
      <c r="F33" s="156">
        <v>58.3</v>
      </c>
      <c r="G33" s="156" t="s">
        <v>561</v>
      </c>
      <c r="H33" s="154">
        <f t="shared" si="0"/>
        <v>14.58</v>
      </c>
      <c r="I33" s="164">
        <v>72.9</v>
      </c>
      <c r="J33" s="164">
        <f t="shared" si="5"/>
        <v>7.29</v>
      </c>
      <c r="K33" s="165">
        <f t="shared" si="1"/>
        <v>9.00315</v>
      </c>
      <c r="L33" s="165">
        <f t="shared" si="2"/>
        <v>9.3395835</v>
      </c>
      <c r="M33" s="166">
        <f t="shared" si="3"/>
        <v>113.1127335</v>
      </c>
      <c r="N33" s="165">
        <f t="shared" si="4"/>
        <v>6594.47236305</v>
      </c>
      <c r="O33" s="167" t="s">
        <v>587</v>
      </c>
    </row>
    <row r="34" s="140" customFormat="1" spans="1:15">
      <c r="A34" s="151">
        <v>30</v>
      </c>
      <c r="B34" s="152" t="s">
        <v>588</v>
      </c>
      <c r="C34" s="156">
        <v>0.5</v>
      </c>
      <c r="D34" s="156">
        <v>36</v>
      </c>
      <c r="E34" s="156" t="s">
        <v>576</v>
      </c>
      <c r="F34" s="156">
        <v>5.3</v>
      </c>
      <c r="G34" s="156" t="s">
        <v>561</v>
      </c>
      <c r="H34" s="154">
        <f t="shared" si="0"/>
        <v>12.6</v>
      </c>
      <c r="I34" s="164">
        <v>63</v>
      </c>
      <c r="J34" s="164">
        <f t="shared" si="5"/>
        <v>6.3</v>
      </c>
      <c r="K34" s="165">
        <f t="shared" si="1"/>
        <v>7.7805</v>
      </c>
      <c r="L34" s="165">
        <f t="shared" si="2"/>
        <v>8.071245</v>
      </c>
      <c r="M34" s="166">
        <f t="shared" si="3"/>
        <v>97.751745</v>
      </c>
      <c r="N34" s="165">
        <f t="shared" si="4"/>
        <v>518.0842485</v>
      </c>
      <c r="O34" s="167" t="s">
        <v>589</v>
      </c>
    </row>
    <row r="35" s="140" customFormat="1" spans="1:15">
      <c r="A35" s="155">
        <v>31</v>
      </c>
      <c r="B35" s="152" t="s">
        <v>590</v>
      </c>
      <c r="C35" s="156" t="s">
        <v>572</v>
      </c>
      <c r="D35" s="156">
        <v>36</v>
      </c>
      <c r="E35" s="156" t="s">
        <v>565</v>
      </c>
      <c r="F35" s="156">
        <v>4.3</v>
      </c>
      <c r="G35" s="156" t="s">
        <v>561</v>
      </c>
      <c r="H35" s="154">
        <f t="shared" si="0"/>
        <v>24</v>
      </c>
      <c r="I35" s="172">
        <v>120</v>
      </c>
      <c r="J35" s="164">
        <f t="shared" si="5"/>
        <v>12</v>
      </c>
      <c r="K35" s="165">
        <f t="shared" si="1"/>
        <v>14.82</v>
      </c>
      <c r="L35" s="165">
        <f t="shared" si="2"/>
        <v>15.3738</v>
      </c>
      <c r="M35" s="166">
        <f t="shared" si="3"/>
        <v>186.1938</v>
      </c>
      <c r="N35" s="165">
        <f t="shared" si="4"/>
        <v>800.63334</v>
      </c>
      <c r="O35" s="167" t="s">
        <v>591</v>
      </c>
    </row>
    <row r="36" s="140" customFormat="1" ht="24" spans="1:15">
      <c r="A36" s="155">
        <v>32</v>
      </c>
      <c r="B36" s="152" t="s">
        <v>592</v>
      </c>
      <c r="C36" s="156" t="s">
        <v>593</v>
      </c>
      <c r="D36" s="156">
        <v>12</v>
      </c>
      <c r="E36" s="156" t="s">
        <v>594</v>
      </c>
      <c r="F36" s="156">
        <v>5.3</v>
      </c>
      <c r="G36" s="156" t="s">
        <v>561</v>
      </c>
      <c r="H36" s="154">
        <f t="shared" si="0"/>
        <v>30</v>
      </c>
      <c r="I36" s="172">
        <v>150</v>
      </c>
      <c r="J36" s="164">
        <f t="shared" si="5"/>
        <v>15</v>
      </c>
      <c r="K36" s="165">
        <f t="shared" si="1"/>
        <v>18.525</v>
      </c>
      <c r="L36" s="165">
        <f t="shared" si="2"/>
        <v>19.21725</v>
      </c>
      <c r="M36" s="166">
        <f t="shared" si="3"/>
        <v>232.74225</v>
      </c>
      <c r="N36" s="165">
        <f t="shared" si="4"/>
        <v>1233.533925</v>
      </c>
      <c r="O36" s="167" t="s">
        <v>595</v>
      </c>
    </row>
    <row r="37" s="140" customFormat="1" spans="1:15">
      <c r="A37" s="155">
        <v>33</v>
      </c>
      <c r="B37" s="152" t="s">
        <v>596</v>
      </c>
      <c r="C37" s="156" t="s">
        <v>597</v>
      </c>
      <c r="D37" s="156">
        <v>36</v>
      </c>
      <c r="E37" s="156" t="s">
        <v>598</v>
      </c>
      <c r="F37" s="156">
        <v>5.9</v>
      </c>
      <c r="G37" s="156" t="s">
        <v>561</v>
      </c>
      <c r="H37" s="154">
        <f t="shared" si="0"/>
        <v>15</v>
      </c>
      <c r="I37" s="172">
        <v>75</v>
      </c>
      <c r="J37" s="164">
        <f t="shared" si="5"/>
        <v>7.5</v>
      </c>
      <c r="K37" s="165">
        <f t="shared" si="1"/>
        <v>9.2625</v>
      </c>
      <c r="L37" s="165">
        <f t="shared" si="2"/>
        <v>9.608625</v>
      </c>
      <c r="M37" s="166">
        <f t="shared" si="3"/>
        <v>116.371125</v>
      </c>
      <c r="N37" s="165">
        <f t="shared" si="4"/>
        <v>686.5896375</v>
      </c>
      <c r="O37" s="167" t="s">
        <v>599</v>
      </c>
    </row>
    <row r="38" s="140" customFormat="1" spans="1:15">
      <c r="A38" s="151">
        <v>34</v>
      </c>
      <c r="B38" s="152" t="s">
        <v>600</v>
      </c>
      <c r="C38" s="156" t="s">
        <v>576</v>
      </c>
      <c r="D38" s="156">
        <v>49</v>
      </c>
      <c r="E38" s="156" t="s">
        <v>579</v>
      </c>
      <c r="F38" s="156">
        <v>2.2</v>
      </c>
      <c r="G38" s="156" t="s">
        <v>561</v>
      </c>
      <c r="H38" s="154">
        <f t="shared" si="0"/>
        <v>13</v>
      </c>
      <c r="I38" s="172">
        <v>65</v>
      </c>
      <c r="J38" s="164">
        <f t="shared" si="5"/>
        <v>6.5</v>
      </c>
      <c r="K38" s="165">
        <f t="shared" si="1"/>
        <v>8.0275</v>
      </c>
      <c r="L38" s="165">
        <f t="shared" si="2"/>
        <v>8.327475</v>
      </c>
      <c r="M38" s="166">
        <f t="shared" si="3"/>
        <v>100.854975</v>
      </c>
      <c r="N38" s="165">
        <f t="shared" si="4"/>
        <v>221.880945</v>
      </c>
      <c r="O38" s="167" t="s">
        <v>599</v>
      </c>
    </row>
    <row r="39" s="140" customFormat="1" spans="1:15">
      <c r="A39" s="151">
        <v>35</v>
      </c>
      <c r="B39" s="152" t="s">
        <v>601</v>
      </c>
      <c r="C39" s="156" t="s">
        <v>583</v>
      </c>
      <c r="D39" s="156">
        <v>36</v>
      </c>
      <c r="E39" s="156" t="s">
        <v>569</v>
      </c>
      <c r="F39" s="156">
        <v>6.7</v>
      </c>
      <c r="G39" s="156" t="s">
        <v>561</v>
      </c>
      <c r="H39" s="154">
        <f t="shared" si="0"/>
        <v>14</v>
      </c>
      <c r="I39" s="172">
        <v>70</v>
      </c>
      <c r="J39" s="164">
        <f t="shared" si="5"/>
        <v>7</v>
      </c>
      <c r="K39" s="165">
        <f t="shared" si="1"/>
        <v>8.645</v>
      </c>
      <c r="L39" s="165">
        <f t="shared" si="2"/>
        <v>8.96805</v>
      </c>
      <c r="M39" s="166">
        <f t="shared" si="3"/>
        <v>108.61305</v>
      </c>
      <c r="N39" s="165">
        <f t="shared" si="4"/>
        <v>727.707435</v>
      </c>
      <c r="O39" s="167" t="s">
        <v>599</v>
      </c>
    </row>
    <row r="40" s="140" customFormat="1" spans="1:15">
      <c r="A40" s="151">
        <v>36</v>
      </c>
      <c r="B40" s="152" t="s">
        <v>602</v>
      </c>
      <c r="C40" s="156" t="s">
        <v>579</v>
      </c>
      <c r="D40" s="156">
        <v>81</v>
      </c>
      <c r="E40" s="156" t="s">
        <v>579</v>
      </c>
      <c r="F40" s="156">
        <v>5.7</v>
      </c>
      <c r="G40" s="156" t="s">
        <v>561</v>
      </c>
      <c r="H40" s="154">
        <f t="shared" si="0"/>
        <v>24</v>
      </c>
      <c r="I40" s="156">
        <v>120</v>
      </c>
      <c r="J40" s="164">
        <f t="shared" si="5"/>
        <v>12</v>
      </c>
      <c r="K40" s="165">
        <f t="shared" si="1"/>
        <v>14.82</v>
      </c>
      <c r="L40" s="165">
        <f t="shared" si="2"/>
        <v>15.3738</v>
      </c>
      <c r="M40" s="166">
        <f t="shared" si="3"/>
        <v>186.1938</v>
      </c>
      <c r="N40" s="165">
        <f t="shared" si="4"/>
        <v>1061.30466</v>
      </c>
      <c r="O40" s="167" t="s">
        <v>603</v>
      </c>
    </row>
    <row r="41" s="140" customFormat="1" spans="1:15">
      <c r="A41" s="151">
        <v>37</v>
      </c>
      <c r="B41" s="152" t="s">
        <v>604</v>
      </c>
      <c r="C41" s="156" t="s">
        <v>594</v>
      </c>
      <c r="D41" s="156">
        <v>64</v>
      </c>
      <c r="E41" s="156" t="s">
        <v>569</v>
      </c>
      <c r="F41" s="156">
        <v>4.9</v>
      </c>
      <c r="G41" s="156" t="s">
        <v>561</v>
      </c>
      <c r="H41" s="154">
        <f t="shared" si="0"/>
        <v>22</v>
      </c>
      <c r="I41" s="156">
        <v>110</v>
      </c>
      <c r="J41" s="164">
        <f t="shared" si="5"/>
        <v>11</v>
      </c>
      <c r="K41" s="165">
        <f t="shared" si="1"/>
        <v>13.585</v>
      </c>
      <c r="L41" s="165">
        <f t="shared" si="2"/>
        <v>14.09265</v>
      </c>
      <c r="M41" s="166">
        <f t="shared" si="3"/>
        <v>170.67765</v>
      </c>
      <c r="N41" s="165">
        <f t="shared" si="4"/>
        <v>836.320485</v>
      </c>
      <c r="O41" s="167" t="s">
        <v>603</v>
      </c>
    </row>
    <row r="42" s="140" customFormat="1" spans="1:15">
      <c r="A42" s="155">
        <v>38</v>
      </c>
      <c r="B42" s="152" t="s">
        <v>605</v>
      </c>
      <c r="C42" s="156" t="s">
        <v>572</v>
      </c>
      <c r="D42" s="156">
        <v>81</v>
      </c>
      <c r="E42" s="156" t="s">
        <v>569</v>
      </c>
      <c r="F42" s="156">
        <v>5.5</v>
      </c>
      <c r="G42" s="156" t="s">
        <v>561</v>
      </c>
      <c r="H42" s="154">
        <f t="shared" si="0"/>
        <v>21</v>
      </c>
      <c r="I42" s="156">
        <v>105</v>
      </c>
      <c r="J42" s="164">
        <f t="shared" si="5"/>
        <v>10.5</v>
      </c>
      <c r="K42" s="165">
        <f t="shared" si="1"/>
        <v>12.9675</v>
      </c>
      <c r="L42" s="165">
        <f t="shared" si="2"/>
        <v>13.452075</v>
      </c>
      <c r="M42" s="166">
        <f t="shared" si="3"/>
        <v>162.919575</v>
      </c>
      <c r="N42" s="165">
        <f t="shared" si="4"/>
        <v>896.0576625</v>
      </c>
      <c r="O42" s="167" t="s">
        <v>603</v>
      </c>
    </row>
    <row r="43" s="140" customFormat="1" ht="24" spans="1:15">
      <c r="A43" s="155">
        <v>39</v>
      </c>
      <c r="B43" s="152" t="s">
        <v>606</v>
      </c>
      <c r="C43" s="156" t="s">
        <v>607</v>
      </c>
      <c r="D43" s="156"/>
      <c r="E43" s="156" t="s">
        <v>607</v>
      </c>
      <c r="F43" s="156">
        <v>2.4</v>
      </c>
      <c r="G43" s="156" t="s">
        <v>561</v>
      </c>
      <c r="H43" s="154">
        <f t="shared" si="0"/>
        <v>15</v>
      </c>
      <c r="I43" s="164">
        <v>75</v>
      </c>
      <c r="J43" s="164">
        <f t="shared" si="5"/>
        <v>7.5</v>
      </c>
      <c r="K43" s="165">
        <f t="shared" si="1"/>
        <v>9.2625</v>
      </c>
      <c r="L43" s="165">
        <f t="shared" si="2"/>
        <v>9.608625</v>
      </c>
      <c r="M43" s="166">
        <f t="shared" si="3"/>
        <v>116.371125</v>
      </c>
      <c r="N43" s="165">
        <f t="shared" si="4"/>
        <v>279.2907</v>
      </c>
      <c r="O43" s="167" t="s">
        <v>608</v>
      </c>
    </row>
    <row r="44" s="140" customFormat="1" ht="36" spans="1:16">
      <c r="A44" s="155">
        <v>40</v>
      </c>
      <c r="B44" s="152" t="s">
        <v>609</v>
      </c>
      <c r="C44" s="156" t="s">
        <v>607</v>
      </c>
      <c r="D44" s="156"/>
      <c r="E44" s="156" t="s">
        <v>607</v>
      </c>
      <c r="F44" s="156">
        <v>6045.2</v>
      </c>
      <c r="G44" s="156" t="s">
        <v>561</v>
      </c>
      <c r="H44" s="154">
        <f t="shared" si="0"/>
        <v>3.2</v>
      </c>
      <c r="I44" s="164">
        <v>16</v>
      </c>
      <c r="J44" s="164">
        <f t="shared" si="5"/>
        <v>1.6</v>
      </c>
      <c r="K44" s="165">
        <f t="shared" si="1"/>
        <v>1.976</v>
      </c>
      <c r="L44" s="165">
        <f t="shared" si="2"/>
        <v>2.04984</v>
      </c>
      <c r="M44" s="166">
        <f t="shared" si="3"/>
        <v>24.82584</v>
      </c>
      <c r="N44" s="165">
        <f t="shared" si="4"/>
        <v>150077.167968</v>
      </c>
      <c r="O44" s="167" t="s">
        <v>610</v>
      </c>
      <c r="P44" s="171"/>
    </row>
    <row r="45" s="140" customFormat="1" spans="1:15">
      <c r="A45" s="151">
        <v>41</v>
      </c>
      <c r="B45" s="152" t="s">
        <v>611</v>
      </c>
      <c r="C45" s="151"/>
      <c r="D45" s="151"/>
      <c r="E45" s="151"/>
      <c r="F45" s="156">
        <f>SUM(F23:F44)</f>
        <v>10796</v>
      </c>
      <c r="G45" s="153" t="s">
        <v>561</v>
      </c>
      <c r="H45" s="154">
        <v>2</v>
      </c>
      <c r="I45" s="173">
        <v>0</v>
      </c>
      <c r="J45" s="173">
        <v>1.2</v>
      </c>
      <c r="K45" s="165">
        <f t="shared" si="1"/>
        <v>0.304</v>
      </c>
      <c r="L45" s="165">
        <f t="shared" si="2"/>
        <v>0.31536</v>
      </c>
      <c r="M45" s="166">
        <f t="shared" si="3"/>
        <v>3.81936</v>
      </c>
      <c r="N45" s="165">
        <f t="shared" si="4"/>
        <v>41233.81056</v>
      </c>
      <c r="O45" s="167" t="s">
        <v>612</v>
      </c>
    </row>
    <row r="46" s="140" customFormat="1" ht="24" spans="1:15">
      <c r="A46" s="151">
        <v>42</v>
      </c>
      <c r="B46" s="152" t="s">
        <v>613</v>
      </c>
      <c r="C46" s="152"/>
      <c r="D46" s="152"/>
      <c r="E46" s="152"/>
      <c r="F46" s="156">
        <v>10</v>
      </c>
      <c r="G46" s="156" t="s">
        <v>614</v>
      </c>
      <c r="H46" s="154">
        <f t="shared" ref="H46:H48" si="6">I46*20%</f>
        <v>550.2</v>
      </c>
      <c r="I46" s="158">
        <v>2751</v>
      </c>
      <c r="J46" s="158">
        <f>600*(1-0.43)</f>
        <v>342</v>
      </c>
      <c r="K46" s="165">
        <f t="shared" si="1"/>
        <v>346.104</v>
      </c>
      <c r="L46" s="165">
        <f t="shared" si="2"/>
        <v>359.03736</v>
      </c>
      <c r="M46" s="166">
        <f t="shared" si="3"/>
        <v>4348.34136</v>
      </c>
      <c r="N46" s="165">
        <f t="shared" si="4"/>
        <v>43483.4136</v>
      </c>
      <c r="O46" s="167" t="s">
        <v>615</v>
      </c>
    </row>
    <row r="47" s="140" customFormat="1" ht="24" spans="1:15">
      <c r="A47" s="151">
        <v>43</v>
      </c>
      <c r="B47" s="152" t="s">
        <v>616</v>
      </c>
      <c r="C47" s="152"/>
      <c r="D47" s="152"/>
      <c r="E47" s="152"/>
      <c r="F47" s="156">
        <v>3</v>
      </c>
      <c r="G47" s="156" t="s">
        <v>614</v>
      </c>
      <c r="H47" s="154">
        <f t="shared" si="6"/>
        <v>393</v>
      </c>
      <c r="I47" s="158">
        <v>1965</v>
      </c>
      <c r="J47" s="158">
        <f>500*(1-0.43)</f>
        <v>285</v>
      </c>
      <c r="K47" s="165">
        <f t="shared" si="1"/>
        <v>251.085</v>
      </c>
      <c r="L47" s="165">
        <f t="shared" si="2"/>
        <v>260.46765</v>
      </c>
      <c r="M47" s="166">
        <f t="shared" si="3"/>
        <v>3154.55265</v>
      </c>
      <c r="N47" s="165">
        <f t="shared" si="4"/>
        <v>9463.65795</v>
      </c>
      <c r="O47" s="167" t="s">
        <v>617</v>
      </c>
    </row>
    <row r="48" s="140" customFormat="1" ht="24" spans="1:15">
      <c r="A48" s="151">
        <v>44</v>
      </c>
      <c r="B48" s="152" t="s">
        <v>618</v>
      </c>
      <c r="C48" s="152"/>
      <c r="D48" s="152"/>
      <c r="E48" s="152"/>
      <c r="F48" s="156">
        <v>13</v>
      </c>
      <c r="G48" s="156" t="s">
        <v>614</v>
      </c>
      <c r="H48" s="154">
        <f t="shared" si="6"/>
        <v>90</v>
      </c>
      <c r="I48" s="158">
        <v>450</v>
      </c>
      <c r="J48" s="158">
        <f>400*(1-0.43)</f>
        <v>228</v>
      </c>
      <c r="K48" s="165">
        <f t="shared" si="1"/>
        <v>72.96</v>
      </c>
      <c r="L48" s="165">
        <f t="shared" si="2"/>
        <v>75.6864</v>
      </c>
      <c r="M48" s="166">
        <f t="shared" si="3"/>
        <v>916.6464</v>
      </c>
      <c r="N48" s="165">
        <f t="shared" si="4"/>
        <v>11916.4032</v>
      </c>
      <c r="O48" s="167" t="s">
        <v>619</v>
      </c>
    </row>
    <row r="49" s="140" customFormat="1" spans="1:15">
      <c r="A49" s="155">
        <v>45</v>
      </c>
      <c r="B49" s="152" t="s">
        <v>53</v>
      </c>
      <c r="C49" s="151"/>
      <c r="D49" s="151"/>
      <c r="E49" s="151"/>
      <c r="F49" s="156"/>
      <c r="G49" s="153"/>
      <c r="H49" s="158"/>
      <c r="I49" s="158"/>
      <c r="J49" s="158"/>
      <c r="K49" s="158"/>
      <c r="L49" s="158"/>
      <c r="M49" s="158"/>
      <c r="N49" s="158">
        <f>SUM(N5:N48)</f>
        <v>1089037.41131535</v>
      </c>
      <c r="O49" s="167"/>
    </row>
    <row r="50" s="140" customFormat="1" ht="14.25" spans="1:15">
      <c r="A50" s="159" t="s">
        <v>620</v>
      </c>
      <c r="B50" s="160"/>
      <c r="C50" s="160"/>
      <c r="D50" s="160"/>
      <c r="E50" s="160"/>
      <c r="F50" s="160"/>
      <c r="G50" s="160"/>
      <c r="H50" s="160"/>
      <c r="I50" s="160"/>
      <c r="J50" s="160"/>
      <c r="K50" s="174"/>
      <c r="L50" s="174"/>
      <c r="M50" s="175"/>
      <c r="N50" s="174"/>
      <c r="O50" s="176"/>
    </row>
    <row r="51" s="140" customFormat="1" ht="123" customHeight="1" spans="1:16">
      <c r="A51" s="161" t="s">
        <v>621</v>
      </c>
      <c r="B51" s="161"/>
      <c r="C51" s="161"/>
      <c r="D51" s="161"/>
      <c r="E51" s="161"/>
      <c r="F51" s="161"/>
      <c r="G51" s="161"/>
      <c r="H51" s="161"/>
      <c r="I51" s="161"/>
      <c r="J51" s="161"/>
      <c r="K51" s="177"/>
      <c r="L51" s="177"/>
      <c r="M51" s="177"/>
      <c r="N51" s="177"/>
      <c r="O51" s="161"/>
      <c r="P51" s="178"/>
    </row>
  </sheetData>
  <sheetProtection formatCells="0" insertHyperlinks="0" autoFilter="0"/>
  <mergeCells count="18">
    <mergeCell ref="A1:O1"/>
    <mergeCell ref="C2:E2"/>
    <mergeCell ref="H2:L2"/>
    <mergeCell ref="A50:O50"/>
    <mergeCell ref="A51:O51"/>
    <mergeCell ref="A2:A4"/>
    <mergeCell ref="B2:B4"/>
    <mergeCell ref="C3:C4"/>
    <mergeCell ref="D3:D4"/>
    <mergeCell ref="E3:E4"/>
    <mergeCell ref="F2:F4"/>
    <mergeCell ref="G2:G4"/>
    <mergeCell ref="H3:H4"/>
    <mergeCell ref="I3:I4"/>
    <mergeCell ref="J3:J4"/>
    <mergeCell ref="M2:M4"/>
    <mergeCell ref="N2:N4"/>
    <mergeCell ref="O2:O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19"/>
  <sheetViews>
    <sheetView zoomScaleSheetLayoutView="130" workbookViewId="0">
      <pane xSplit="5" ySplit="4" topLeftCell="F5" activePane="bottomRight" state="frozen"/>
      <selection/>
      <selection pane="topRight"/>
      <selection pane="bottomLeft"/>
      <selection pane="bottomRight" activeCell="Q18" sqref="Q18"/>
    </sheetView>
  </sheetViews>
  <sheetFormatPr defaultColWidth="10.2857142857143" defaultRowHeight="14.25"/>
  <cols>
    <col min="1" max="1" width="4.42857142857143" style="119" customWidth="1"/>
    <col min="2" max="2" width="7.66666666666667" style="119" customWidth="1"/>
    <col min="3" max="3" width="26.1428571428571" style="119" customWidth="1"/>
    <col min="4" max="4" width="4.42857142857143" style="70" customWidth="1"/>
    <col min="5" max="5" width="8.57142857142857" style="119" customWidth="1"/>
    <col min="6" max="6" width="7.55238095238095" style="119" customWidth="1"/>
    <col min="7" max="7" width="8.71428571428571" style="119" customWidth="1"/>
    <col min="8" max="8" width="14" style="119" customWidth="1"/>
    <col min="9" max="12" width="14" style="70" customWidth="1"/>
    <col min="13" max="13" width="14" style="112" customWidth="1"/>
    <col min="14" max="14" width="25.2666666666667" style="119" customWidth="1"/>
    <col min="15" max="16384" width="10.2857142857143" style="119"/>
  </cols>
  <sheetData>
    <row r="1" s="119" customFormat="1" ht="33.95" customHeight="1" spans="1:13">
      <c r="A1" s="72" t="s">
        <v>622</v>
      </c>
      <c r="B1" s="72"/>
      <c r="C1" s="72"/>
      <c r="D1" s="72"/>
      <c r="E1" s="72"/>
      <c r="F1" s="72"/>
      <c r="G1" s="72"/>
      <c r="H1" s="72"/>
      <c r="I1" s="72"/>
      <c r="J1" s="72"/>
      <c r="K1" s="72"/>
      <c r="L1" s="72"/>
      <c r="M1" s="72"/>
    </row>
    <row r="2" s="119" customFormat="1" ht="12.95" customHeight="1" spans="1:13">
      <c r="A2" s="73" t="s">
        <v>56</v>
      </c>
      <c r="B2" s="74" t="s">
        <v>623</v>
      </c>
      <c r="C2" s="74" t="s">
        <v>624</v>
      </c>
      <c r="D2" s="74" t="s">
        <v>41</v>
      </c>
      <c r="E2" s="75" t="s">
        <v>58</v>
      </c>
      <c r="F2" s="76" t="s">
        <v>59</v>
      </c>
      <c r="G2" s="77"/>
      <c r="H2" s="77"/>
      <c r="I2" s="77"/>
      <c r="J2" s="106"/>
      <c r="K2" s="35" t="s">
        <v>625</v>
      </c>
      <c r="L2" s="35" t="s">
        <v>61</v>
      </c>
      <c r="M2" s="35" t="s">
        <v>626</v>
      </c>
    </row>
    <row r="3" s="119" customFormat="1" ht="34" customHeight="1" spans="1:13">
      <c r="A3" s="78"/>
      <c r="B3" s="79"/>
      <c r="C3" s="79"/>
      <c r="D3" s="79"/>
      <c r="E3" s="80"/>
      <c r="F3" s="35" t="s">
        <v>63</v>
      </c>
      <c r="G3" s="35" t="s">
        <v>64</v>
      </c>
      <c r="H3" s="35" t="s">
        <v>65</v>
      </c>
      <c r="I3" s="33" t="s">
        <v>627</v>
      </c>
      <c r="J3" s="33" t="s">
        <v>628</v>
      </c>
      <c r="K3" s="36"/>
      <c r="L3" s="36"/>
      <c r="M3" s="36"/>
    </row>
    <row r="4" s="119" customFormat="1" ht="18" customHeight="1" spans="1:13">
      <c r="A4" s="81"/>
      <c r="B4" s="82"/>
      <c r="C4" s="82"/>
      <c r="D4" s="82"/>
      <c r="E4" s="83"/>
      <c r="F4" s="84"/>
      <c r="G4" s="84"/>
      <c r="H4" s="84"/>
      <c r="I4" s="58">
        <v>0.095</v>
      </c>
      <c r="J4" s="59">
        <v>0.09</v>
      </c>
      <c r="K4" s="84"/>
      <c r="L4" s="84"/>
      <c r="M4" s="84"/>
    </row>
    <row r="5" s="119" customFormat="1" spans="1:13">
      <c r="A5" s="85" t="s">
        <v>68</v>
      </c>
      <c r="B5" s="86" t="s">
        <v>629</v>
      </c>
      <c r="C5" s="86"/>
      <c r="D5" s="85"/>
      <c r="E5" s="85"/>
      <c r="F5" s="87"/>
      <c r="G5" s="88"/>
      <c r="H5" s="87"/>
      <c r="I5" s="125"/>
      <c r="J5" s="126"/>
      <c r="K5" s="109"/>
      <c r="L5" s="109"/>
      <c r="M5" s="88"/>
    </row>
    <row r="6" s="119" customFormat="1" ht="56.25" spans="1:14">
      <c r="A6" s="85">
        <v>1</v>
      </c>
      <c r="B6" s="86" t="s">
        <v>630</v>
      </c>
      <c r="C6" s="103" t="s">
        <v>631</v>
      </c>
      <c r="D6" s="85" t="s">
        <v>632</v>
      </c>
      <c r="E6" s="120">
        <v>1</v>
      </c>
      <c r="F6" s="87">
        <v>150</v>
      </c>
      <c r="G6" s="87">
        <v>6500</v>
      </c>
      <c r="H6" s="87">
        <v>200</v>
      </c>
      <c r="I6" s="127">
        <f>(F6+G6+H6)*$I$4</f>
        <v>650.75</v>
      </c>
      <c r="J6" s="128">
        <f>(F6+G6+H6+I6)*$J$4</f>
        <v>675.0675</v>
      </c>
      <c r="K6" s="41">
        <f>F6+G6+H6+I6+J6</f>
        <v>8175.8175</v>
      </c>
      <c r="L6" s="41">
        <f>K6*E6</f>
        <v>8175.8175</v>
      </c>
      <c r="M6" s="129" t="s">
        <v>633</v>
      </c>
      <c r="N6" s="112"/>
    </row>
    <row r="7" s="119" customFormat="1" ht="75.75" customHeight="1" spans="1:13">
      <c r="A7" s="85">
        <v>2</v>
      </c>
      <c r="B7" s="86" t="s">
        <v>634</v>
      </c>
      <c r="C7" s="103" t="s">
        <v>635</v>
      </c>
      <c r="D7" s="85" t="s">
        <v>214</v>
      </c>
      <c r="E7" s="120">
        <v>6</v>
      </c>
      <c r="F7" s="87">
        <v>15</v>
      </c>
      <c r="G7" s="87">
        <v>160</v>
      </c>
      <c r="H7" s="87">
        <v>5</v>
      </c>
      <c r="I7" s="127">
        <f t="shared" ref="I7:I38" si="0">(F7+G7+H7)*$I$4</f>
        <v>17.1</v>
      </c>
      <c r="J7" s="128">
        <f t="shared" ref="J7:J38" si="1">(F7+G7+H7+I7)*$J$4</f>
        <v>17.739</v>
      </c>
      <c r="K7" s="41">
        <f t="shared" ref="K7:K38" si="2">F7+G7+H7+I7+J7</f>
        <v>214.839</v>
      </c>
      <c r="L7" s="41">
        <f t="shared" ref="L7:L38" si="3">K7*E7</f>
        <v>1289.034</v>
      </c>
      <c r="M7" s="129" t="s">
        <v>636</v>
      </c>
    </row>
    <row r="8" s="119" customFormat="1" ht="41.25" customHeight="1" spans="1:13">
      <c r="A8" s="85">
        <v>3</v>
      </c>
      <c r="B8" s="86" t="s">
        <v>637</v>
      </c>
      <c r="C8" s="103" t="s">
        <v>638</v>
      </c>
      <c r="D8" s="85" t="s">
        <v>197</v>
      </c>
      <c r="E8" s="120">
        <v>2</v>
      </c>
      <c r="F8" s="87">
        <v>20</v>
      </c>
      <c r="G8" s="87">
        <v>50</v>
      </c>
      <c r="H8" s="87">
        <v>5</v>
      </c>
      <c r="I8" s="127">
        <f t="shared" si="0"/>
        <v>7.125</v>
      </c>
      <c r="J8" s="128">
        <f t="shared" si="1"/>
        <v>7.39125</v>
      </c>
      <c r="K8" s="41">
        <f t="shared" si="2"/>
        <v>89.51625</v>
      </c>
      <c r="L8" s="41">
        <f t="shared" si="3"/>
        <v>179.0325</v>
      </c>
      <c r="M8" s="129" t="s">
        <v>639</v>
      </c>
    </row>
    <row r="9" s="119" customFormat="1" ht="109.5" customHeight="1" spans="1:13">
      <c r="A9" s="85">
        <v>4</v>
      </c>
      <c r="B9" s="86" t="s">
        <v>640</v>
      </c>
      <c r="C9" s="103" t="s">
        <v>641</v>
      </c>
      <c r="D9" s="85" t="s">
        <v>214</v>
      </c>
      <c r="E9" s="120">
        <v>41</v>
      </c>
      <c r="F9" s="87">
        <v>150</v>
      </c>
      <c r="G9" s="87">
        <v>1100</v>
      </c>
      <c r="H9" s="87">
        <v>90</v>
      </c>
      <c r="I9" s="127">
        <f t="shared" si="0"/>
        <v>127.3</v>
      </c>
      <c r="J9" s="128">
        <f t="shared" si="1"/>
        <v>132.057</v>
      </c>
      <c r="K9" s="41">
        <f t="shared" si="2"/>
        <v>1599.357</v>
      </c>
      <c r="L9" s="41">
        <f t="shared" si="3"/>
        <v>65573.637</v>
      </c>
      <c r="M9" s="111" t="s">
        <v>642</v>
      </c>
    </row>
    <row r="10" s="119" customFormat="1" ht="111.75" customHeight="1" spans="1:13">
      <c r="A10" s="85">
        <v>5</v>
      </c>
      <c r="B10" s="86" t="s">
        <v>643</v>
      </c>
      <c r="C10" s="103" t="s">
        <v>644</v>
      </c>
      <c r="D10" s="85" t="s">
        <v>214</v>
      </c>
      <c r="E10" s="120">
        <v>27</v>
      </c>
      <c r="F10" s="121">
        <v>32.1</v>
      </c>
      <c r="G10" s="100">
        <v>320</v>
      </c>
      <c r="H10" s="87">
        <v>15.5</v>
      </c>
      <c r="I10" s="127">
        <f t="shared" si="0"/>
        <v>34.922</v>
      </c>
      <c r="J10" s="128">
        <f t="shared" si="1"/>
        <v>36.22698</v>
      </c>
      <c r="K10" s="41">
        <f t="shared" si="2"/>
        <v>438.74898</v>
      </c>
      <c r="L10" s="41">
        <f t="shared" si="3"/>
        <v>11846.22246</v>
      </c>
      <c r="M10" s="111" t="s">
        <v>642</v>
      </c>
    </row>
    <row r="11" s="119" customFormat="1" ht="110.25" customHeight="1" spans="1:13">
      <c r="A11" s="85">
        <v>6</v>
      </c>
      <c r="B11" s="86" t="s">
        <v>645</v>
      </c>
      <c r="C11" s="103" t="s">
        <v>646</v>
      </c>
      <c r="D11" s="85" t="s">
        <v>214</v>
      </c>
      <c r="E11" s="120">
        <v>30</v>
      </c>
      <c r="F11" s="121">
        <v>60</v>
      </c>
      <c r="G11" s="100">
        <v>450</v>
      </c>
      <c r="H11" s="87">
        <v>50</v>
      </c>
      <c r="I11" s="127">
        <f t="shared" si="0"/>
        <v>53.2</v>
      </c>
      <c r="J11" s="128">
        <f t="shared" si="1"/>
        <v>55.188</v>
      </c>
      <c r="K11" s="41">
        <f t="shared" si="2"/>
        <v>668.388</v>
      </c>
      <c r="L11" s="41">
        <f t="shared" si="3"/>
        <v>20051.64</v>
      </c>
      <c r="M11" s="111" t="s">
        <v>642</v>
      </c>
    </row>
    <row r="12" s="119" customFormat="1" ht="78.75" spans="1:13">
      <c r="A12" s="85">
        <v>7</v>
      </c>
      <c r="B12" s="86" t="s">
        <v>647</v>
      </c>
      <c r="C12" s="103" t="s">
        <v>648</v>
      </c>
      <c r="D12" s="85" t="s">
        <v>214</v>
      </c>
      <c r="E12" s="120">
        <v>56</v>
      </c>
      <c r="F12" s="121">
        <v>40</v>
      </c>
      <c r="G12" s="100">
        <v>260</v>
      </c>
      <c r="H12" s="87">
        <v>5</v>
      </c>
      <c r="I12" s="127">
        <f t="shared" si="0"/>
        <v>28.975</v>
      </c>
      <c r="J12" s="128">
        <f t="shared" si="1"/>
        <v>30.05775</v>
      </c>
      <c r="K12" s="41">
        <f t="shared" si="2"/>
        <v>364.03275</v>
      </c>
      <c r="L12" s="41">
        <f t="shared" si="3"/>
        <v>20385.834</v>
      </c>
      <c r="M12" s="111" t="s">
        <v>649</v>
      </c>
    </row>
    <row r="13" s="119" customFormat="1" ht="56.25" spans="1:13">
      <c r="A13" s="85">
        <v>8</v>
      </c>
      <c r="B13" s="86" t="s">
        <v>650</v>
      </c>
      <c r="C13" s="103" t="s">
        <v>651</v>
      </c>
      <c r="D13" s="85" t="s">
        <v>214</v>
      </c>
      <c r="E13" s="120">
        <v>56</v>
      </c>
      <c r="F13" s="121">
        <v>15</v>
      </c>
      <c r="G13" s="100">
        <v>75</v>
      </c>
      <c r="H13" s="87">
        <v>10</v>
      </c>
      <c r="I13" s="127">
        <f t="shared" si="0"/>
        <v>9.5</v>
      </c>
      <c r="J13" s="128">
        <f t="shared" si="1"/>
        <v>9.855</v>
      </c>
      <c r="K13" s="41">
        <f t="shared" si="2"/>
        <v>119.355</v>
      </c>
      <c r="L13" s="41">
        <f t="shared" si="3"/>
        <v>6683.88</v>
      </c>
      <c r="M13" s="111" t="s">
        <v>639</v>
      </c>
    </row>
    <row r="14" s="119" customFormat="1" ht="67.5" spans="1:13">
      <c r="A14" s="85">
        <v>9</v>
      </c>
      <c r="B14" s="86" t="s">
        <v>652</v>
      </c>
      <c r="C14" s="103" t="s">
        <v>653</v>
      </c>
      <c r="D14" s="85" t="s">
        <v>214</v>
      </c>
      <c r="E14" s="120">
        <v>16</v>
      </c>
      <c r="F14" s="121">
        <v>50</v>
      </c>
      <c r="G14" s="100">
        <v>270</v>
      </c>
      <c r="H14" s="87">
        <v>5</v>
      </c>
      <c r="I14" s="127">
        <f t="shared" si="0"/>
        <v>30.875</v>
      </c>
      <c r="J14" s="128">
        <f t="shared" si="1"/>
        <v>32.02875</v>
      </c>
      <c r="K14" s="41">
        <f t="shared" si="2"/>
        <v>387.90375</v>
      </c>
      <c r="L14" s="41">
        <f t="shared" si="3"/>
        <v>6206.46</v>
      </c>
      <c r="M14" s="111" t="s">
        <v>649</v>
      </c>
    </row>
    <row r="15" s="119" customFormat="1" ht="67.5" spans="1:13">
      <c r="A15" s="85">
        <v>10</v>
      </c>
      <c r="B15" s="86" t="s">
        <v>654</v>
      </c>
      <c r="C15" s="103" t="s">
        <v>655</v>
      </c>
      <c r="D15" s="85" t="s">
        <v>214</v>
      </c>
      <c r="E15" s="120">
        <v>5</v>
      </c>
      <c r="F15" s="121">
        <v>50</v>
      </c>
      <c r="G15" s="100">
        <v>280</v>
      </c>
      <c r="H15" s="87">
        <v>5</v>
      </c>
      <c r="I15" s="127">
        <f t="shared" si="0"/>
        <v>31.825</v>
      </c>
      <c r="J15" s="128">
        <f t="shared" si="1"/>
        <v>33.01425</v>
      </c>
      <c r="K15" s="41">
        <f t="shared" si="2"/>
        <v>399.83925</v>
      </c>
      <c r="L15" s="41">
        <f t="shared" si="3"/>
        <v>1999.19625</v>
      </c>
      <c r="M15" s="111" t="s">
        <v>649</v>
      </c>
    </row>
    <row r="16" s="119" customFormat="1" ht="78.75" spans="1:13">
      <c r="A16" s="85">
        <v>11</v>
      </c>
      <c r="B16" s="86" t="s">
        <v>656</v>
      </c>
      <c r="C16" s="103" t="s">
        <v>657</v>
      </c>
      <c r="D16" s="85" t="s">
        <v>107</v>
      </c>
      <c r="E16" s="87">
        <v>75.5</v>
      </c>
      <c r="F16" s="121">
        <v>5</v>
      </c>
      <c r="G16" s="100">
        <v>15</v>
      </c>
      <c r="H16" s="87">
        <v>0.5</v>
      </c>
      <c r="I16" s="127">
        <f t="shared" si="0"/>
        <v>1.9475</v>
      </c>
      <c r="J16" s="128">
        <f t="shared" si="1"/>
        <v>2.020275</v>
      </c>
      <c r="K16" s="41">
        <f t="shared" si="2"/>
        <v>24.467775</v>
      </c>
      <c r="L16" s="41">
        <f t="shared" si="3"/>
        <v>1847.3170125</v>
      </c>
      <c r="M16" s="111" t="s">
        <v>649</v>
      </c>
    </row>
    <row r="17" s="119" customFormat="1" ht="78.75" spans="1:13">
      <c r="A17" s="85">
        <v>12</v>
      </c>
      <c r="B17" s="86" t="s">
        <v>658</v>
      </c>
      <c r="C17" s="103" t="s">
        <v>659</v>
      </c>
      <c r="D17" s="85" t="s">
        <v>107</v>
      </c>
      <c r="E17" s="87">
        <v>23.01</v>
      </c>
      <c r="F17" s="121">
        <v>30</v>
      </c>
      <c r="G17" s="100">
        <v>80</v>
      </c>
      <c r="H17" s="87">
        <v>1</v>
      </c>
      <c r="I17" s="127">
        <f t="shared" si="0"/>
        <v>10.545</v>
      </c>
      <c r="J17" s="128">
        <f t="shared" si="1"/>
        <v>10.93905</v>
      </c>
      <c r="K17" s="41">
        <f t="shared" si="2"/>
        <v>132.48405</v>
      </c>
      <c r="L17" s="41">
        <f t="shared" si="3"/>
        <v>3048.4579905</v>
      </c>
      <c r="M17" s="111" t="s">
        <v>649</v>
      </c>
    </row>
    <row r="18" s="119" customFormat="1" ht="90" spans="1:13">
      <c r="A18" s="85">
        <v>13</v>
      </c>
      <c r="B18" s="86" t="s">
        <v>656</v>
      </c>
      <c r="C18" s="103" t="s">
        <v>660</v>
      </c>
      <c r="D18" s="85" t="s">
        <v>107</v>
      </c>
      <c r="E18" s="87">
        <f>46.2+13.8+4.6+3</f>
        <v>67.6</v>
      </c>
      <c r="F18" s="121">
        <v>5</v>
      </c>
      <c r="G18" s="100">
        <v>15</v>
      </c>
      <c r="H18" s="87">
        <v>0.5</v>
      </c>
      <c r="I18" s="127">
        <f t="shared" si="0"/>
        <v>1.9475</v>
      </c>
      <c r="J18" s="128">
        <f t="shared" si="1"/>
        <v>2.020275</v>
      </c>
      <c r="K18" s="41">
        <f t="shared" si="2"/>
        <v>24.467775</v>
      </c>
      <c r="L18" s="41">
        <f t="shared" si="3"/>
        <v>1654.02159</v>
      </c>
      <c r="M18" s="111" t="s">
        <v>649</v>
      </c>
    </row>
    <row r="19" s="119" customFormat="1" ht="56.25" spans="1:13">
      <c r="A19" s="85">
        <v>14</v>
      </c>
      <c r="B19" s="86" t="s">
        <v>661</v>
      </c>
      <c r="C19" s="103" t="s">
        <v>662</v>
      </c>
      <c r="D19" s="85" t="s">
        <v>214</v>
      </c>
      <c r="E19" s="120">
        <v>12</v>
      </c>
      <c r="F19" s="121">
        <v>25</v>
      </c>
      <c r="G19" s="100">
        <v>80</v>
      </c>
      <c r="H19" s="87">
        <v>5</v>
      </c>
      <c r="I19" s="127">
        <f t="shared" si="0"/>
        <v>10.45</v>
      </c>
      <c r="J19" s="128">
        <f t="shared" si="1"/>
        <v>10.8405</v>
      </c>
      <c r="K19" s="41">
        <f t="shared" si="2"/>
        <v>131.2905</v>
      </c>
      <c r="L19" s="41">
        <f t="shared" si="3"/>
        <v>1575.486</v>
      </c>
      <c r="M19" s="111" t="s">
        <v>649</v>
      </c>
    </row>
    <row r="20" s="119" customFormat="1" ht="56.25" spans="1:13">
      <c r="A20" s="85">
        <v>15</v>
      </c>
      <c r="B20" s="86" t="s">
        <v>663</v>
      </c>
      <c r="C20" s="103" t="s">
        <v>662</v>
      </c>
      <c r="D20" s="85" t="s">
        <v>214</v>
      </c>
      <c r="E20" s="120">
        <v>10</v>
      </c>
      <c r="F20" s="121">
        <v>25</v>
      </c>
      <c r="G20" s="100">
        <v>80</v>
      </c>
      <c r="H20" s="87">
        <v>5</v>
      </c>
      <c r="I20" s="127">
        <f t="shared" si="0"/>
        <v>10.45</v>
      </c>
      <c r="J20" s="128">
        <f t="shared" si="1"/>
        <v>10.8405</v>
      </c>
      <c r="K20" s="41">
        <f t="shared" si="2"/>
        <v>131.2905</v>
      </c>
      <c r="L20" s="41">
        <f t="shared" si="3"/>
        <v>1312.905</v>
      </c>
      <c r="M20" s="111" t="s">
        <v>649</v>
      </c>
    </row>
    <row r="21" s="119" customFormat="1" ht="56.25" spans="1:13">
      <c r="A21" s="85">
        <v>16</v>
      </c>
      <c r="B21" s="86" t="s">
        <v>664</v>
      </c>
      <c r="C21" s="103" t="s">
        <v>665</v>
      </c>
      <c r="D21" s="85" t="s">
        <v>214</v>
      </c>
      <c r="E21" s="120">
        <v>24</v>
      </c>
      <c r="F21" s="121">
        <v>5</v>
      </c>
      <c r="G21" s="100">
        <v>2</v>
      </c>
      <c r="H21" s="87">
        <v>0.5</v>
      </c>
      <c r="I21" s="127">
        <f t="shared" si="0"/>
        <v>0.7125</v>
      </c>
      <c r="J21" s="128">
        <f t="shared" si="1"/>
        <v>0.739125</v>
      </c>
      <c r="K21" s="41">
        <f t="shared" si="2"/>
        <v>8.951625</v>
      </c>
      <c r="L21" s="41">
        <f t="shared" si="3"/>
        <v>214.839</v>
      </c>
      <c r="M21" s="87"/>
    </row>
    <row r="22" s="119" customFormat="1" ht="45" spans="1:13">
      <c r="A22" s="85">
        <v>17</v>
      </c>
      <c r="B22" s="86" t="s">
        <v>666</v>
      </c>
      <c r="C22" s="103" t="s">
        <v>667</v>
      </c>
      <c r="D22" s="85" t="s">
        <v>668</v>
      </c>
      <c r="E22" s="120">
        <v>24</v>
      </c>
      <c r="F22" s="121">
        <v>110</v>
      </c>
      <c r="G22" s="100">
        <v>330</v>
      </c>
      <c r="H22" s="87">
        <v>30</v>
      </c>
      <c r="I22" s="127">
        <f t="shared" si="0"/>
        <v>44.65</v>
      </c>
      <c r="J22" s="128">
        <f t="shared" si="1"/>
        <v>46.3185</v>
      </c>
      <c r="K22" s="41">
        <f t="shared" si="2"/>
        <v>560.9685</v>
      </c>
      <c r="L22" s="41">
        <f t="shared" si="3"/>
        <v>13463.244</v>
      </c>
      <c r="M22" s="87"/>
    </row>
    <row r="23" s="119" customFormat="1" ht="45" spans="1:13">
      <c r="A23" s="85">
        <v>18</v>
      </c>
      <c r="B23" s="86" t="s">
        <v>669</v>
      </c>
      <c r="C23" s="103" t="s">
        <v>670</v>
      </c>
      <c r="D23" s="85" t="s">
        <v>668</v>
      </c>
      <c r="E23" s="120">
        <v>2</v>
      </c>
      <c r="F23" s="121">
        <v>110</v>
      </c>
      <c r="G23" s="100">
        <v>400</v>
      </c>
      <c r="H23" s="87">
        <v>50</v>
      </c>
      <c r="I23" s="127">
        <f t="shared" si="0"/>
        <v>53.2</v>
      </c>
      <c r="J23" s="128">
        <f t="shared" si="1"/>
        <v>55.188</v>
      </c>
      <c r="K23" s="41">
        <f t="shared" si="2"/>
        <v>668.388</v>
      </c>
      <c r="L23" s="41">
        <f t="shared" si="3"/>
        <v>1336.776</v>
      </c>
      <c r="M23" s="87"/>
    </row>
    <row r="24" s="119" customFormat="1" ht="45" spans="1:13">
      <c r="A24" s="85">
        <v>19</v>
      </c>
      <c r="B24" s="86" t="s">
        <v>671</v>
      </c>
      <c r="C24" s="103" t="s">
        <v>672</v>
      </c>
      <c r="D24" s="85" t="s">
        <v>668</v>
      </c>
      <c r="E24" s="120">
        <v>1</v>
      </c>
      <c r="F24" s="121">
        <v>100</v>
      </c>
      <c r="G24" s="100">
        <v>200</v>
      </c>
      <c r="H24" s="87">
        <v>120</v>
      </c>
      <c r="I24" s="127">
        <f t="shared" si="0"/>
        <v>39.9</v>
      </c>
      <c r="J24" s="128">
        <f t="shared" si="1"/>
        <v>41.391</v>
      </c>
      <c r="K24" s="41">
        <f t="shared" si="2"/>
        <v>501.291</v>
      </c>
      <c r="L24" s="41">
        <f t="shared" si="3"/>
        <v>501.291</v>
      </c>
      <c r="M24" s="87"/>
    </row>
    <row r="25" s="119" customFormat="1" ht="56.25" spans="1:13">
      <c r="A25" s="85">
        <v>20</v>
      </c>
      <c r="B25" s="86" t="s">
        <v>673</v>
      </c>
      <c r="C25" s="103" t="s">
        <v>674</v>
      </c>
      <c r="D25" s="85" t="s">
        <v>107</v>
      </c>
      <c r="E25" s="87">
        <v>13.51</v>
      </c>
      <c r="F25" s="121">
        <v>5</v>
      </c>
      <c r="G25" s="100">
        <v>5.1</v>
      </c>
      <c r="H25" s="87">
        <v>5</v>
      </c>
      <c r="I25" s="127">
        <f t="shared" si="0"/>
        <v>1.4345</v>
      </c>
      <c r="J25" s="128">
        <f t="shared" si="1"/>
        <v>1.488105</v>
      </c>
      <c r="K25" s="41">
        <f t="shared" si="2"/>
        <v>18.022605</v>
      </c>
      <c r="L25" s="41">
        <f t="shared" si="3"/>
        <v>243.48539355</v>
      </c>
      <c r="M25" s="87"/>
    </row>
    <row r="26" s="119" customFormat="1" ht="56.25" spans="1:13">
      <c r="A26" s="85">
        <v>21</v>
      </c>
      <c r="B26" s="86" t="s">
        <v>673</v>
      </c>
      <c r="C26" s="103" t="s">
        <v>675</v>
      </c>
      <c r="D26" s="85" t="s">
        <v>107</v>
      </c>
      <c r="E26" s="87">
        <v>63.28</v>
      </c>
      <c r="F26" s="121">
        <v>5</v>
      </c>
      <c r="G26" s="100">
        <v>3.6</v>
      </c>
      <c r="H26" s="87">
        <v>0.5</v>
      </c>
      <c r="I26" s="127">
        <f t="shared" si="0"/>
        <v>0.8645</v>
      </c>
      <c r="J26" s="128">
        <f t="shared" si="1"/>
        <v>0.896805</v>
      </c>
      <c r="K26" s="41">
        <f t="shared" si="2"/>
        <v>10.861305</v>
      </c>
      <c r="L26" s="41">
        <f t="shared" si="3"/>
        <v>687.3033804</v>
      </c>
      <c r="M26" s="87"/>
    </row>
    <row r="27" s="119" customFormat="1" ht="56.25" spans="1:13">
      <c r="A27" s="85">
        <v>22</v>
      </c>
      <c r="B27" s="86" t="s">
        <v>676</v>
      </c>
      <c r="C27" s="103" t="s">
        <v>677</v>
      </c>
      <c r="D27" s="85" t="s">
        <v>678</v>
      </c>
      <c r="E27" s="120">
        <v>3</v>
      </c>
      <c r="F27" s="121">
        <v>5</v>
      </c>
      <c r="G27" s="100">
        <v>59.5</v>
      </c>
      <c r="H27" s="87">
        <v>1</v>
      </c>
      <c r="I27" s="127">
        <f t="shared" si="0"/>
        <v>6.2225</v>
      </c>
      <c r="J27" s="128">
        <f t="shared" si="1"/>
        <v>6.455025</v>
      </c>
      <c r="K27" s="41">
        <f t="shared" si="2"/>
        <v>78.177525</v>
      </c>
      <c r="L27" s="41">
        <f t="shared" si="3"/>
        <v>234.532575</v>
      </c>
      <c r="M27" s="87"/>
    </row>
    <row r="28" s="119" customFormat="1" ht="56.25" spans="1:13">
      <c r="A28" s="85">
        <v>23</v>
      </c>
      <c r="B28" s="86" t="s">
        <v>679</v>
      </c>
      <c r="C28" s="103" t="s">
        <v>680</v>
      </c>
      <c r="D28" s="85" t="s">
        <v>197</v>
      </c>
      <c r="E28" s="120">
        <v>1</v>
      </c>
      <c r="F28" s="121">
        <v>60</v>
      </c>
      <c r="G28" s="100">
        <v>150</v>
      </c>
      <c r="H28" s="87">
        <v>10</v>
      </c>
      <c r="I28" s="127">
        <f t="shared" si="0"/>
        <v>20.9</v>
      </c>
      <c r="J28" s="128">
        <f t="shared" si="1"/>
        <v>21.681</v>
      </c>
      <c r="K28" s="41">
        <f t="shared" si="2"/>
        <v>262.581</v>
      </c>
      <c r="L28" s="41">
        <f t="shared" si="3"/>
        <v>262.581</v>
      </c>
      <c r="M28" s="87"/>
    </row>
    <row r="29" s="119" customFormat="1" ht="56.25" spans="1:13">
      <c r="A29" s="85">
        <v>24</v>
      </c>
      <c r="B29" s="86" t="s">
        <v>681</v>
      </c>
      <c r="C29" s="103" t="s">
        <v>682</v>
      </c>
      <c r="D29" s="85" t="s">
        <v>107</v>
      </c>
      <c r="E29" s="87">
        <v>5.3</v>
      </c>
      <c r="F29" s="121">
        <v>5</v>
      </c>
      <c r="G29" s="100">
        <v>5.83</v>
      </c>
      <c r="H29" s="100">
        <v>0.5</v>
      </c>
      <c r="I29" s="127">
        <f t="shared" si="0"/>
        <v>1.07635</v>
      </c>
      <c r="J29" s="128">
        <f t="shared" si="1"/>
        <v>1.1165715</v>
      </c>
      <c r="K29" s="41">
        <f t="shared" si="2"/>
        <v>13.5229215</v>
      </c>
      <c r="L29" s="41">
        <f t="shared" si="3"/>
        <v>71.67148395</v>
      </c>
      <c r="M29" s="111" t="s">
        <v>683</v>
      </c>
    </row>
    <row r="30" s="119" customFormat="1" ht="56.25" spans="1:13">
      <c r="A30" s="85">
        <v>25</v>
      </c>
      <c r="B30" s="86" t="s">
        <v>681</v>
      </c>
      <c r="C30" s="103" t="s">
        <v>684</v>
      </c>
      <c r="D30" s="85" t="s">
        <v>107</v>
      </c>
      <c r="E30" s="87">
        <v>1046.64</v>
      </c>
      <c r="F30" s="121">
        <v>3</v>
      </c>
      <c r="G30" s="100">
        <v>3.17</v>
      </c>
      <c r="H30" s="100">
        <v>0.5</v>
      </c>
      <c r="I30" s="127">
        <f t="shared" si="0"/>
        <v>0.63365</v>
      </c>
      <c r="J30" s="128">
        <f t="shared" si="1"/>
        <v>0.6573285</v>
      </c>
      <c r="K30" s="41">
        <f t="shared" si="2"/>
        <v>7.9609785</v>
      </c>
      <c r="L30" s="41">
        <f t="shared" si="3"/>
        <v>8332.27853724</v>
      </c>
      <c r="M30" s="111" t="s">
        <v>683</v>
      </c>
    </row>
    <row r="31" s="119" customFormat="1" ht="56.25" spans="1:13">
      <c r="A31" s="85">
        <v>26</v>
      </c>
      <c r="B31" s="86" t="s">
        <v>681</v>
      </c>
      <c r="C31" s="103" t="s">
        <v>685</v>
      </c>
      <c r="D31" s="85" t="s">
        <v>107</v>
      </c>
      <c r="E31" s="87">
        <f>3453.84+137.95+82.09</f>
        <v>3673.88</v>
      </c>
      <c r="F31" s="121">
        <v>3</v>
      </c>
      <c r="G31" s="100">
        <v>2.48</v>
      </c>
      <c r="H31" s="100">
        <v>0.5</v>
      </c>
      <c r="I31" s="127">
        <f t="shared" si="0"/>
        <v>0.5681</v>
      </c>
      <c r="J31" s="128">
        <f t="shared" si="1"/>
        <v>0.589329</v>
      </c>
      <c r="K31" s="41">
        <f t="shared" si="2"/>
        <v>7.137429</v>
      </c>
      <c r="L31" s="41">
        <f t="shared" si="3"/>
        <v>26222.05765452</v>
      </c>
      <c r="M31" s="111" t="s">
        <v>683</v>
      </c>
    </row>
    <row r="32" s="119" customFormat="1" ht="56.25" spans="1:13">
      <c r="A32" s="85">
        <v>27</v>
      </c>
      <c r="B32" s="86" t="s">
        <v>686</v>
      </c>
      <c r="C32" s="103" t="s">
        <v>687</v>
      </c>
      <c r="D32" s="85" t="s">
        <v>107</v>
      </c>
      <c r="E32" s="87">
        <v>20</v>
      </c>
      <c r="F32" s="122">
        <v>15</v>
      </c>
      <c r="G32" s="122">
        <v>100</v>
      </c>
      <c r="H32" s="121">
        <v>1</v>
      </c>
      <c r="I32" s="127">
        <f t="shared" si="0"/>
        <v>11.02</v>
      </c>
      <c r="J32" s="128">
        <f t="shared" si="1"/>
        <v>11.4318</v>
      </c>
      <c r="K32" s="41">
        <f t="shared" si="2"/>
        <v>138.4518</v>
      </c>
      <c r="L32" s="41">
        <f t="shared" si="3"/>
        <v>2769.036</v>
      </c>
      <c r="M32" s="129" t="s">
        <v>688</v>
      </c>
    </row>
    <row r="33" s="119" customFormat="1" ht="56.25" spans="1:13">
      <c r="A33" s="85">
        <v>28</v>
      </c>
      <c r="B33" s="86" t="s">
        <v>689</v>
      </c>
      <c r="C33" s="103" t="s">
        <v>690</v>
      </c>
      <c r="D33" s="85" t="s">
        <v>107</v>
      </c>
      <c r="E33" s="87">
        <v>203.07</v>
      </c>
      <c r="F33" s="121">
        <v>7</v>
      </c>
      <c r="G33" s="121">
        <v>24.78</v>
      </c>
      <c r="H33" s="121">
        <v>0.5</v>
      </c>
      <c r="I33" s="127">
        <f t="shared" si="0"/>
        <v>3.0666</v>
      </c>
      <c r="J33" s="128">
        <f t="shared" si="1"/>
        <v>3.181194</v>
      </c>
      <c r="K33" s="41">
        <f t="shared" si="2"/>
        <v>38.527794</v>
      </c>
      <c r="L33" s="41">
        <f t="shared" si="3"/>
        <v>7823.83912758</v>
      </c>
      <c r="M33" s="129" t="s">
        <v>688</v>
      </c>
    </row>
    <row r="34" s="119" customFormat="1" ht="56.25" spans="1:13">
      <c r="A34" s="85">
        <v>29</v>
      </c>
      <c r="B34" s="86" t="s">
        <v>689</v>
      </c>
      <c r="C34" s="103" t="s">
        <v>691</v>
      </c>
      <c r="D34" s="85" t="s">
        <v>107</v>
      </c>
      <c r="E34" s="87">
        <v>105.81</v>
      </c>
      <c r="F34" s="121">
        <v>5</v>
      </c>
      <c r="G34" s="121">
        <v>17.1</v>
      </c>
      <c r="H34" s="121">
        <v>0.5</v>
      </c>
      <c r="I34" s="127">
        <f t="shared" si="0"/>
        <v>2.147</v>
      </c>
      <c r="J34" s="128">
        <f t="shared" si="1"/>
        <v>2.22723</v>
      </c>
      <c r="K34" s="41">
        <f t="shared" si="2"/>
        <v>26.97423</v>
      </c>
      <c r="L34" s="41">
        <f t="shared" si="3"/>
        <v>2854.1432763</v>
      </c>
      <c r="M34" s="129" t="s">
        <v>688</v>
      </c>
    </row>
    <row r="35" s="119" customFormat="1" ht="56.25" spans="1:13">
      <c r="A35" s="85">
        <v>30</v>
      </c>
      <c r="B35" s="86" t="s">
        <v>689</v>
      </c>
      <c r="C35" s="103" t="s">
        <v>692</v>
      </c>
      <c r="D35" s="85" t="s">
        <v>107</v>
      </c>
      <c r="E35" s="87">
        <v>279.77</v>
      </c>
      <c r="F35" s="121">
        <v>5</v>
      </c>
      <c r="G35" s="121">
        <v>13.84</v>
      </c>
      <c r="H35" s="121">
        <v>0.5</v>
      </c>
      <c r="I35" s="127">
        <f t="shared" si="0"/>
        <v>1.8373</v>
      </c>
      <c r="J35" s="128">
        <f t="shared" si="1"/>
        <v>1.905957</v>
      </c>
      <c r="K35" s="41">
        <f t="shared" si="2"/>
        <v>23.083257</v>
      </c>
      <c r="L35" s="41">
        <f t="shared" si="3"/>
        <v>6458.00281089</v>
      </c>
      <c r="M35" s="129" t="s">
        <v>688</v>
      </c>
    </row>
    <row r="36" s="119" customFormat="1" ht="56.25" spans="1:13">
      <c r="A36" s="85">
        <v>31</v>
      </c>
      <c r="B36" s="86" t="s">
        <v>689</v>
      </c>
      <c r="C36" s="103" t="s">
        <v>693</v>
      </c>
      <c r="D36" s="85" t="s">
        <v>107</v>
      </c>
      <c r="E36" s="87">
        <v>2989.01</v>
      </c>
      <c r="F36" s="121">
        <v>3</v>
      </c>
      <c r="G36" s="121">
        <v>10.01</v>
      </c>
      <c r="H36" s="121">
        <v>0.5</v>
      </c>
      <c r="I36" s="127">
        <f t="shared" si="0"/>
        <v>1.28345</v>
      </c>
      <c r="J36" s="128">
        <f t="shared" si="1"/>
        <v>1.3314105</v>
      </c>
      <c r="K36" s="41">
        <f t="shared" si="2"/>
        <v>16.1248605</v>
      </c>
      <c r="L36" s="41">
        <f t="shared" si="3"/>
        <v>48197.369283105</v>
      </c>
      <c r="M36" s="129" t="s">
        <v>688</v>
      </c>
    </row>
    <row r="37" s="119" customFormat="1" ht="56.25" spans="1:13">
      <c r="A37" s="85">
        <v>32</v>
      </c>
      <c r="B37" s="86" t="s">
        <v>689</v>
      </c>
      <c r="C37" s="103" t="s">
        <v>694</v>
      </c>
      <c r="D37" s="85" t="s">
        <v>107</v>
      </c>
      <c r="E37" s="87">
        <f>1046.89+84.15</f>
        <v>1131.04</v>
      </c>
      <c r="F37" s="121">
        <v>3</v>
      </c>
      <c r="G37" s="121">
        <f>2.96*3</f>
        <v>8.88</v>
      </c>
      <c r="H37" s="121">
        <v>0.5</v>
      </c>
      <c r="I37" s="127">
        <f t="shared" si="0"/>
        <v>1.1761</v>
      </c>
      <c r="J37" s="128">
        <f t="shared" si="1"/>
        <v>1.220049</v>
      </c>
      <c r="K37" s="41">
        <f t="shared" si="2"/>
        <v>14.776149</v>
      </c>
      <c r="L37" s="41">
        <f t="shared" si="3"/>
        <v>16712.41556496</v>
      </c>
      <c r="M37" s="129" t="s">
        <v>688</v>
      </c>
    </row>
    <row r="38" s="119" customFormat="1" ht="56.25" spans="1:13">
      <c r="A38" s="85">
        <v>33</v>
      </c>
      <c r="B38" s="86" t="s">
        <v>689</v>
      </c>
      <c r="C38" s="103" t="s">
        <v>695</v>
      </c>
      <c r="D38" s="85" t="s">
        <v>107</v>
      </c>
      <c r="E38" s="87">
        <v>50.15</v>
      </c>
      <c r="F38" s="121">
        <v>2</v>
      </c>
      <c r="G38" s="121">
        <v>5.02</v>
      </c>
      <c r="H38" s="121">
        <v>0.5</v>
      </c>
      <c r="I38" s="127">
        <f t="shared" si="0"/>
        <v>0.7144</v>
      </c>
      <c r="J38" s="128">
        <f t="shared" si="1"/>
        <v>0.741096</v>
      </c>
      <c r="K38" s="41">
        <f t="shared" si="2"/>
        <v>8.975496</v>
      </c>
      <c r="L38" s="41">
        <f t="shared" si="3"/>
        <v>450.1211244</v>
      </c>
      <c r="M38" s="129" t="s">
        <v>688</v>
      </c>
    </row>
    <row r="39" s="119" customFormat="1" ht="67.5" spans="1:13">
      <c r="A39" s="85">
        <v>34</v>
      </c>
      <c r="B39" s="86" t="s">
        <v>689</v>
      </c>
      <c r="C39" s="103" t="s">
        <v>696</v>
      </c>
      <c r="D39" s="85" t="s">
        <v>107</v>
      </c>
      <c r="E39" s="87">
        <v>6</v>
      </c>
      <c r="F39" s="121">
        <v>4</v>
      </c>
      <c r="G39" s="121">
        <v>14.78</v>
      </c>
      <c r="H39" s="121">
        <v>0.5</v>
      </c>
      <c r="I39" s="127">
        <f t="shared" ref="I39:I70" si="4">(F39+G39+H39)*$I$4</f>
        <v>1.8316</v>
      </c>
      <c r="J39" s="128">
        <f t="shared" ref="J39:J70" si="5">(F39+G39+H39+I39)*$J$4</f>
        <v>1.900044</v>
      </c>
      <c r="K39" s="41">
        <f t="shared" ref="K39:K70" si="6">F39+G39+H39+I39+J39</f>
        <v>23.011644</v>
      </c>
      <c r="L39" s="41">
        <f t="shared" ref="L39:L70" si="7">K39*E39</f>
        <v>138.069864</v>
      </c>
      <c r="M39" s="129" t="s">
        <v>688</v>
      </c>
    </row>
    <row r="40" s="119" customFormat="1" ht="56.25" spans="1:13">
      <c r="A40" s="85">
        <v>35</v>
      </c>
      <c r="B40" s="86" t="s">
        <v>689</v>
      </c>
      <c r="C40" s="103" t="s">
        <v>697</v>
      </c>
      <c r="D40" s="85" t="s">
        <v>107</v>
      </c>
      <c r="E40" s="87">
        <v>20.83</v>
      </c>
      <c r="F40" s="121">
        <v>2</v>
      </c>
      <c r="G40" s="121">
        <v>7.96</v>
      </c>
      <c r="H40" s="121">
        <v>0.5</v>
      </c>
      <c r="I40" s="127">
        <f t="shared" si="4"/>
        <v>0.9937</v>
      </c>
      <c r="J40" s="128">
        <f t="shared" si="5"/>
        <v>1.030833</v>
      </c>
      <c r="K40" s="41">
        <f t="shared" si="6"/>
        <v>12.484533</v>
      </c>
      <c r="L40" s="41">
        <f t="shared" si="7"/>
        <v>260.05282239</v>
      </c>
      <c r="M40" s="129" t="s">
        <v>688</v>
      </c>
    </row>
    <row r="41" s="119" customFormat="1" ht="45" spans="1:13">
      <c r="A41" s="85">
        <v>36</v>
      </c>
      <c r="B41" s="86" t="s">
        <v>698</v>
      </c>
      <c r="C41" s="103" t="s">
        <v>699</v>
      </c>
      <c r="D41" s="85" t="s">
        <v>197</v>
      </c>
      <c r="E41" s="120">
        <v>28</v>
      </c>
      <c r="F41" s="121">
        <v>10</v>
      </c>
      <c r="G41" s="121">
        <v>25</v>
      </c>
      <c r="H41" s="121">
        <v>0.5</v>
      </c>
      <c r="I41" s="127">
        <f t="shared" si="4"/>
        <v>3.3725</v>
      </c>
      <c r="J41" s="128">
        <f t="shared" si="5"/>
        <v>3.498525</v>
      </c>
      <c r="K41" s="41">
        <f t="shared" si="6"/>
        <v>42.371025</v>
      </c>
      <c r="L41" s="41">
        <f t="shared" si="7"/>
        <v>1186.3887</v>
      </c>
      <c r="M41" s="129" t="s">
        <v>688</v>
      </c>
    </row>
    <row r="42" s="119" customFormat="1" ht="45" spans="1:13">
      <c r="A42" s="85">
        <v>37</v>
      </c>
      <c r="B42" s="86" t="s">
        <v>698</v>
      </c>
      <c r="C42" s="103" t="s">
        <v>700</v>
      </c>
      <c r="D42" s="85" t="s">
        <v>197</v>
      </c>
      <c r="E42" s="120">
        <v>6</v>
      </c>
      <c r="F42" s="121">
        <v>10</v>
      </c>
      <c r="G42" s="121">
        <v>35</v>
      </c>
      <c r="H42" s="121">
        <v>0.5</v>
      </c>
      <c r="I42" s="127">
        <f t="shared" si="4"/>
        <v>4.3225</v>
      </c>
      <c r="J42" s="128">
        <f t="shared" si="5"/>
        <v>4.484025</v>
      </c>
      <c r="K42" s="41">
        <f t="shared" si="6"/>
        <v>54.306525</v>
      </c>
      <c r="L42" s="41">
        <f t="shared" si="7"/>
        <v>325.83915</v>
      </c>
      <c r="M42" s="129" t="s">
        <v>688</v>
      </c>
    </row>
    <row r="43" s="119" customFormat="1" ht="45" spans="1:13">
      <c r="A43" s="85">
        <v>38</v>
      </c>
      <c r="B43" s="86" t="s">
        <v>701</v>
      </c>
      <c r="C43" s="103" t="s">
        <v>702</v>
      </c>
      <c r="D43" s="85" t="s">
        <v>107</v>
      </c>
      <c r="E43" s="87">
        <v>454.07</v>
      </c>
      <c r="F43" s="102">
        <v>15</v>
      </c>
      <c r="G43" s="102">
        <v>4.5725</v>
      </c>
      <c r="H43" s="102">
        <v>1.5</v>
      </c>
      <c r="I43" s="127">
        <f t="shared" si="4"/>
        <v>2.0018875</v>
      </c>
      <c r="J43" s="128">
        <f t="shared" si="5"/>
        <v>2.076694875</v>
      </c>
      <c r="K43" s="41">
        <f t="shared" si="6"/>
        <v>25.151082375</v>
      </c>
      <c r="L43" s="41">
        <f t="shared" si="7"/>
        <v>11420.3519740162</v>
      </c>
      <c r="M43" s="87"/>
    </row>
    <row r="44" s="119" customFormat="1" ht="54.75" customHeight="1" spans="1:13">
      <c r="A44" s="85">
        <v>39</v>
      </c>
      <c r="B44" s="86" t="s">
        <v>70</v>
      </c>
      <c r="C44" s="103" t="s">
        <v>703</v>
      </c>
      <c r="D44" s="85" t="s">
        <v>72</v>
      </c>
      <c r="E44" s="87">
        <v>603.22</v>
      </c>
      <c r="F44" s="121">
        <f>[1]硬质铺装!F6</f>
        <v>3</v>
      </c>
      <c r="G44" s="121"/>
      <c r="H44" s="100">
        <f>[1]硬质铺装!H6</f>
        <v>7</v>
      </c>
      <c r="I44" s="127">
        <f t="shared" si="4"/>
        <v>0.95</v>
      </c>
      <c r="J44" s="128">
        <f t="shared" si="5"/>
        <v>0.9855</v>
      </c>
      <c r="K44" s="41">
        <f t="shared" si="6"/>
        <v>11.9355</v>
      </c>
      <c r="L44" s="41">
        <f t="shared" si="7"/>
        <v>7199.73231</v>
      </c>
      <c r="M44" s="87"/>
    </row>
    <row r="45" s="119" customFormat="1" ht="33.75" spans="1:13">
      <c r="A45" s="85">
        <v>40</v>
      </c>
      <c r="B45" s="86" t="s">
        <v>704</v>
      </c>
      <c r="C45" s="103" t="s">
        <v>705</v>
      </c>
      <c r="D45" s="85" t="s">
        <v>72</v>
      </c>
      <c r="E45" s="87">
        <v>603.22</v>
      </c>
      <c r="F45" s="121">
        <f>[1]硬质铺装!F73</f>
        <v>3</v>
      </c>
      <c r="G45" s="100"/>
      <c r="H45" s="87">
        <f>[1]硬质铺装!H73</f>
        <v>8</v>
      </c>
      <c r="I45" s="127">
        <f t="shared" si="4"/>
        <v>1.045</v>
      </c>
      <c r="J45" s="128">
        <f t="shared" si="5"/>
        <v>1.08405</v>
      </c>
      <c r="K45" s="41">
        <f t="shared" si="6"/>
        <v>13.12905</v>
      </c>
      <c r="L45" s="41">
        <f t="shared" si="7"/>
        <v>7919.705541</v>
      </c>
      <c r="M45" s="87"/>
    </row>
    <row r="46" s="119" customFormat="1" spans="1:14">
      <c r="A46" s="85" t="s">
        <v>110</v>
      </c>
      <c r="B46" s="86" t="s">
        <v>706</v>
      </c>
      <c r="C46" s="86"/>
      <c r="D46" s="85"/>
      <c r="E46" s="87"/>
      <c r="F46" s="121"/>
      <c r="G46" s="100"/>
      <c r="H46" s="87"/>
      <c r="I46" s="127">
        <f t="shared" si="4"/>
        <v>0</v>
      </c>
      <c r="J46" s="128">
        <f t="shared" si="5"/>
        <v>0</v>
      </c>
      <c r="K46" s="41">
        <f t="shared" si="6"/>
        <v>0</v>
      </c>
      <c r="L46" s="41">
        <f t="shared" si="7"/>
        <v>0</v>
      </c>
      <c r="M46" s="87"/>
      <c r="N46" s="130"/>
    </row>
    <row r="47" s="119" customFormat="1" ht="56.25" spans="1:13">
      <c r="A47" s="85">
        <v>1</v>
      </c>
      <c r="B47" s="86" t="s">
        <v>630</v>
      </c>
      <c r="C47" s="103" t="s">
        <v>707</v>
      </c>
      <c r="D47" s="85" t="s">
        <v>632</v>
      </c>
      <c r="E47" s="120">
        <v>1</v>
      </c>
      <c r="F47" s="87">
        <v>50</v>
      </c>
      <c r="G47" s="87">
        <v>240</v>
      </c>
      <c r="H47" s="87">
        <v>5</v>
      </c>
      <c r="I47" s="127">
        <f t="shared" si="4"/>
        <v>28.025</v>
      </c>
      <c r="J47" s="128">
        <f t="shared" si="5"/>
        <v>29.07225</v>
      </c>
      <c r="K47" s="41">
        <f t="shared" si="6"/>
        <v>352.09725</v>
      </c>
      <c r="L47" s="41">
        <f t="shared" si="7"/>
        <v>352.09725</v>
      </c>
      <c r="M47" s="129" t="s">
        <v>633</v>
      </c>
    </row>
    <row r="48" s="119" customFormat="1" ht="56.25" spans="1:13">
      <c r="A48" s="85">
        <v>2</v>
      </c>
      <c r="B48" s="86" t="s">
        <v>661</v>
      </c>
      <c r="C48" s="103" t="s">
        <v>708</v>
      </c>
      <c r="D48" s="85" t="s">
        <v>214</v>
      </c>
      <c r="E48" s="120">
        <v>19</v>
      </c>
      <c r="F48" s="121">
        <v>30</v>
      </c>
      <c r="G48" s="100">
        <v>40</v>
      </c>
      <c r="H48" s="87">
        <v>1</v>
      </c>
      <c r="I48" s="127">
        <f t="shared" si="4"/>
        <v>6.745</v>
      </c>
      <c r="J48" s="128">
        <f t="shared" si="5"/>
        <v>6.99705</v>
      </c>
      <c r="K48" s="41">
        <f t="shared" si="6"/>
        <v>84.74205</v>
      </c>
      <c r="L48" s="41">
        <f t="shared" si="7"/>
        <v>1610.09895</v>
      </c>
      <c r="M48" s="87"/>
    </row>
    <row r="49" s="119" customFormat="1" ht="56.25" spans="1:13">
      <c r="A49" s="85">
        <v>3</v>
      </c>
      <c r="B49" s="86" t="s">
        <v>709</v>
      </c>
      <c r="C49" s="103" t="s">
        <v>710</v>
      </c>
      <c r="D49" s="85" t="s">
        <v>214</v>
      </c>
      <c r="E49" s="120">
        <v>1</v>
      </c>
      <c r="F49" s="121">
        <v>30</v>
      </c>
      <c r="G49" s="100">
        <v>100</v>
      </c>
      <c r="H49" s="87">
        <v>1</v>
      </c>
      <c r="I49" s="127">
        <f t="shared" si="4"/>
        <v>12.445</v>
      </c>
      <c r="J49" s="128">
        <f t="shared" si="5"/>
        <v>12.91005</v>
      </c>
      <c r="K49" s="41">
        <f t="shared" si="6"/>
        <v>156.35505</v>
      </c>
      <c r="L49" s="41">
        <f t="shared" si="7"/>
        <v>156.35505</v>
      </c>
      <c r="M49" s="87"/>
    </row>
    <row r="50" s="119" customFormat="1" ht="78.75" spans="1:13">
      <c r="A50" s="85">
        <v>4</v>
      </c>
      <c r="B50" s="86" t="s">
        <v>656</v>
      </c>
      <c r="C50" s="103" t="s">
        <v>711</v>
      </c>
      <c r="D50" s="85" t="s">
        <v>107</v>
      </c>
      <c r="E50" s="87">
        <f>25+66.24</f>
        <v>91.24</v>
      </c>
      <c r="F50" s="121">
        <v>5</v>
      </c>
      <c r="G50" s="100">
        <v>15</v>
      </c>
      <c r="H50" s="87">
        <v>0.5</v>
      </c>
      <c r="I50" s="127">
        <f t="shared" si="4"/>
        <v>1.9475</v>
      </c>
      <c r="J50" s="128">
        <f t="shared" si="5"/>
        <v>2.020275</v>
      </c>
      <c r="K50" s="41">
        <f t="shared" si="6"/>
        <v>24.467775</v>
      </c>
      <c r="L50" s="41">
        <f t="shared" si="7"/>
        <v>2232.439791</v>
      </c>
      <c r="M50" s="87"/>
    </row>
    <row r="51" s="119" customFormat="1" ht="78.75" spans="1:13">
      <c r="A51" s="85">
        <v>5</v>
      </c>
      <c r="B51" s="86" t="s">
        <v>658</v>
      </c>
      <c r="C51" s="103" t="s">
        <v>712</v>
      </c>
      <c r="D51" s="85" t="s">
        <v>107</v>
      </c>
      <c r="E51" s="87">
        <v>16.35</v>
      </c>
      <c r="F51" s="121">
        <v>30</v>
      </c>
      <c r="G51" s="100">
        <v>80</v>
      </c>
      <c r="H51" s="87">
        <v>1</v>
      </c>
      <c r="I51" s="127">
        <f t="shared" si="4"/>
        <v>10.545</v>
      </c>
      <c r="J51" s="128">
        <f t="shared" si="5"/>
        <v>10.93905</v>
      </c>
      <c r="K51" s="41">
        <f t="shared" si="6"/>
        <v>132.48405</v>
      </c>
      <c r="L51" s="41">
        <f t="shared" si="7"/>
        <v>2166.1142175</v>
      </c>
      <c r="M51" s="87"/>
    </row>
    <row r="52" s="119" customFormat="1" ht="67.5" spans="1:13">
      <c r="A52" s="85">
        <v>6</v>
      </c>
      <c r="B52" s="86" t="s">
        <v>713</v>
      </c>
      <c r="C52" s="103" t="s">
        <v>714</v>
      </c>
      <c r="D52" s="85" t="s">
        <v>197</v>
      </c>
      <c r="E52" s="120">
        <v>1</v>
      </c>
      <c r="F52" s="121">
        <v>8</v>
      </c>
      <c r="G52" s="100">
        <v>20</v>
      </c>
      <c r="H52" s="87">
        <v>0.5</v>
      </c>
      <c r="I52" s="127">
        <f t="shared" si="4"/>
        <v>2.7075</v>
      </c>
      <c r="J52" s="128">
        <f t="shared" si="5"/>
        <v>2.808675</v>
      </c>
      <c r="K52" s="41">
        <f t="shared" si="6"/>
        <v>34.016175</v>
      </c>
      <c r="L52" s="41">
        <f t="shared" si="7"/>
        <v>34.016175</v>
      </c>
      <c r="M52" s="129" t="s">
        <v>639</v>
      </c>
    </row>
    <row r="53" s="119" customFormat="1" ht="67.5" spans="1:13">
      <c r="A53" s="85">
        <v>7</v>
      </c>
      <c r="B53" s="86" t="s">
        <v>715</v>
      </c>
      <c r="C53" s="103" t="s">
        <v>716</v>
      </c>
      <c r="D53" s="85" t="s">
        <v>197</v>
      </c>
      <c r="E53" s="120">
        <v>2</v>
      </c>
      <c r="F53" s="121">
        <v>8</v>
      </c>
      <c r="G53" s="100">
        <v>30</v>
      </c>
      <c r="H53" s="87">
        <v>0.5</v>
      </c>
      <c r="I53" s="127">
        <f t="shared" si="4"/>
        <v>3.6575</v>
      </c>
      <c r="J53" s="128">
        <f t="shared" si="5"/>
        <v>3.794175</v>
      </c>
      <c r="K53" s="41">
        <f t="shared" si="6"/>
        <v>45.951675</v>
      </c>
      <c r="L53" s="41">
        <f t="shared" si="7"/>
        <v>91.90335</v>
      </c>
      <c r="M53" s="129" t="s">
        <v>639</v>
      </c>
    </row>
    <row r="54" s="119" customFormat="1" ht="67.5" spans="1:13">
      <c r="A54" s="85">
        <v>8</v>
      </c>
      <c r="B54" s="86" t="s">
        <v>717</v>
      </c>
      <c r="C54" s="103" t="s">
        <v>718</v>
      </c>
      <c r="D54" s="85" t="s">
        <v>197</v>
      </c>
      <c r="E54" s="120">
        <v>1</v>
      </c>
      <c r="F54" s="121">
        <v>8</v>
      </c>
      <c r="G54" s="100">
        <v>40</v>
      </c>
      <c r="H54" s="87">
        <v>0.5</v>
      </c>
      <c r="I54" s="127">
        <f t="shared" si="4"/>
        <v>4.6075</v>
      </c>
      <c r="J54" s="128">
        <f t="shared" si="5"/>
        <v>4.779675</v>
      </c>
      <c r="K54" s="41">
        <f t="shared" si="6"/>
        <v>57.887175</v>
      </c>
      <c r="L54" s="41">
        <f t="shared" si="7"/>
        <v>57.887175</v>
      </c>
      <c r="M54" s="129" t="s">
        <v>639</v>
      </c>
    </row>
    <row r="55" s="119" customFormat="1" ht="67.5" spans="1:13">
      <c r="A55" s="85">
        <v>9</v>
      </c>
      <c r="B55" s="86" t="s">
        <v>719</v>
      </c>
      <c r="C55" s="103" t="s">
        <v>720</v>
      </c>
      <c r="D55" s="85" t="s">
        <v>197</v>
      </c>
      <c r="E55" s="120">
        <v>1</v>
      </c>
      <c r="F55" s="121">
        <v>8</v>
      </c>
      <c r="G55" s="100">
        <v>40</v>
      </c>
      <c r="H55" s="87">
        <v>0.5</v>
      </c>
      <c r="I55" s="127">
        <f t="shared" si="4"/>
        <v>4.6075</v>
      </c>
      <c r="J55" s="128">
        <f t="shared" si="5"/>
        <v>4.779675</v>
      </c>
      <c r="K55" s="41">
        <f t="shared" si="6"/>
        <v>57.887175</v>
      </c>
      <c r="L55" s="41">
        <f t="shared" si="7"/>
        <v>57.887175</v>
      </c>
      <c r="M55" s="111" t="s">
        <v>639</v>
      </c>
    </row>
    <row r="56" s="119" customFormat="1" ht="56.25" spans="1:13">
      <c r="A56" s="85">
        <v>10</v>
      </c>
      <c r="B56" s="86" t="s">
        <v>681</v>
      </c>
      <c r="C56" s="103" t="s">
        <v>721</v>
      </c>
      <c r="D56" s="85" t="s">
        <v>107</v>
      </c>
      <c r="E56" s="87">
        <v>120.88</v>
      </c>
      <c r="F56" s="121">
        <f>F30</f>
        <v>3</v>
      </c>
      <c r="G56" s="100">
        <v>1.8</v>
      </c>
      <c r="H56" s="87">
        <v>0.5</v>
      </c>
      <c r="I56" s="127">
        <f t="shared" si="4"/>
        <v>0.5035</v>
      </c>
      <c r="J56" s="128">
        <f t="shared" si="5"/>
        <v>0.522315</v>
      </c>
      <c r="K56" s="41">
        <f t="shared" si="6"/>
        <v>6.325815</v>
      </c>
      <c r="L56" s="41">
        <f t="shared" si="7"/>
        <v>764.6645172</v>
      </c>
      <c r="M56" s="111" t="s">
        <v>683</v>
      </c>
    </row>
    <row r="57" s="119" customFormat="1" ht="56.25" spans="1:13">
      <c r="A57" s="85">
        <v>11</v>
      </c>
      <c r="B57" s="86" t="s">
        <v>681</v>
      </c>
      <c r="C57" s="103" t="s">
        <v>685</v>
      </c>
      <c r="D57" s="85" t="s">
        <v>107</v>
      </c>
      <c r="E57" s="87">
        <v>8</v>
      </c>
      <c r="F57" s="121">
        <f>F31</f>
        <v>3</v>
      </c>
      <c r="G57" s="100">
        <v>2.48</v>
      </c>
      <c r="H57" s="100">
        <v>0.5</v>
      </c>
      <c r="I57" s="127">
        <f t="shared" si="4"/>
        <v>0.5681</v>
      </c>
      <c r="J57" s="128">
        <f t="shared" si="5"/>
        <v>0.589329</v>
      </c>
      <c r="K57" s="41">
        <f t="shared" si="6"/>
        <v>7.137429</v>
      </c>
      <c r="L57" s="41">
        <f t="shared" si="7"/>
        <v>57.099432</v>
      </c>
      <c r="M57" s="111" t="s">
        <v>683</v>
      </c>
    </row>
    <row r="58" s="119" customFormat="1" ht="56.25" spans="1:13">
      <c r="A58" s="85">
        <v>12</v>
      </c>
      <c r="B58" s="86" t="s">
        <v>722</v>
      </c>
      <c r="C58" s="103" t="s">
        <v>723</v>
      </c>
      <c r="D58" s="85" t="s">
        <v>107</v>
      </c>
      <c r="E58" s="87">
        <v>260.58</v>
      </c>
      <c r="F58" s="121">
        <v>2</v>
      </c>
      <c r="G58" s="100">
        <v>1.52</v>
      </c>
      <c r="H58" s="87">
        <v>0.5</v>
      </c>
      <c r="I58" s="127">
        <f t="shared" si="4"/>
        <v>0.3819</v>
      </c>
      <c r="J58" s="128">
        <f t="shared" si="5"/>
        <v>0.396171</v>
      </c>
      <c r="K58" s="41">
        <f t="shared" si="6"/>
        <v>4.798071</v>
      </c>
      <c r="L58" s="41">
        <f t="shared" si="7"/>
        <v>1250.28134118</v>
      </c>
      <c r="M58" s="87"/>
    </row>
    <row r="59" s="119" customFormat="1" ht="56.25" spans="1:13">
      <c r="A59" s="85">
        <v>13</v>
      </c>
      <c r="B59" s="86" t="s">
        <v>722</v>
      </c>
      <c r="C59" s="103" t="s">
        <v>724</v>
      </c>
      <c r="D59" s="85" t="s">
        <v>107</v>
      </c>
      <c r="E59" s="87">
        <v>18.2</v>
      </c>
      <c r="F59" s="121">
        <v>2</v>
      </c>
      <c r="G59" s="100">
        <v>2.49</v>
      </c>
      <c r="H59" s="87">
        <v>0.5</v>
      </c>
      <c r="I59" s="127">
        <f t="shared" si="4"/>
        <v>0.47405</v>
      </c>
      <c r="J59" s="128">
        <f t="shared" si="5"/>
        <v>0.4917645</v>
      </c>
      <c r="K59" s="41">
        <f t="shared" si="6"/>
        <v>5.9558145</v>
      </c>
      <c r="L59" s="41">
        <f t="shared" si="7"/>
        <v>108.3958239</v>
      </c>
      <c r="M59" s="87"/>
    </row>
    <row r="60" s="119" customFormat="1" ht="56.25" spans="1:13">
      <c r="A60" s="85">
        <v>14</v>
      </c>
      <c r="B60" s="86" t="s">
        <v>689</v>
      </c>
      <c r="C60" s="103" t="s">
        <v>693</v>
      </c>
      <c r="D60" s="85" t="s">
        <v>107</v>
      </c>
      <c r="E60" s="87">
        <v>36.58</v>
      </c>
      <c r="F60" s="121">
        <v>3</v>
      </c>
      <c r="G60" s="121">
        <v>10.01</v>
      </c>
      <c r="H60" s="121">
        <v>0.5</v>
      </c>
      <c r="I60" s="127">
        <f t="shared" si="4"/>
        <v>1.28345</v>
      </c>
      <c r="J60" s="128">
        <f t="shared" si="5"/>
        <v>1.3314105</v>
      </c>
      <c r="K60" s="41">
        <f t="shared" si="6"/>
        <v>16.1248605</v>
      </c>
      <c r="L60" s="41">
        <f t="shared" si="7"/>
        <v>589.84739709</v>
      </c>
      <c r="M60" s="129" t="s">
        <v>688</v>
      </c>
    </row>
    <row r="61" s="119" customFormat="1" ht="56.25" spans="1:13">
      <c r="A61" s="85">
        <v>15</v>
      </c>
      <c r="B61" s="86" t="s">
        <v>689</v>
      </c>
      <c r="C61" s="103" t="s">
        <v>694</v>
      </c>
      <c r="D61" s="85" t="s">
        <v>107</v>
      </c>
      <c r="E61" s="87">
        <v>8.2</v>
      </c>
      <c r="F61" s="121">
        <v>3</v>
      </c>
      <c r="G61" s="121">
        <v>8.88</v>
      </c>
      <c r="H61" s="121">
        <v>0.5</v>
      </c>
      <c r="I61" s="127">
        <f t="shared" si="4"/>
        <v>1.1761</v>
      </c>
      <c r="J61" s="128">
        <f t="shared" si="5"/>
        <v>1.220049</v>
      </c>
      <c r="K61" s="41">
        <f t="shared" si="6"/>
        <v>14.776149</v>
      </c>
      <c r="L61" s="41">
        <f t="shared" si="7"/>
        <v>121.1644218</v>
      </c>
      <c r="M61" s="129" t="s">
        <v>688</v>
      </c>
    </row>
    <row r="62" s="119" customFormat="1" ht="45" spans="1:13">
      <c r="A62" s="85">
        <v>16</v>
      </c>
      <c r="B62" s="86" t="s">
        <v>698</v>
      </c>
      <c r="C62" s="103" t="s">
        <v>699</v>
      </c>
      <c r="D62" s="85" t="s">
        <v>197</v>
      </c>
      <c r="E62" s="120">
        <v>2</v>
      </c>
      <c r="F62" s="121">
        <v>10</v>
      </c>
      <c r="G62" s="121">
        <v>25</v>
      </c>
      <c r="H62" s="121">
        <v>0.5</v>
      </c>
      <c r="I62" s="127">
        <f t="shared" si="4"/>
        <v>3.3725</v>
      </c>
      <c r="J62" s="128">
        <f t="shared" si="5"/>
        <v>3.498525</v>
      </c>
      <c r="K62" s="41">
        <f t="shared" si="6"/>
        <v>42.371025</v>
      </c>
      <c r="L62" s="41">
        <f t="shared" si="7"/>
        <v>84.74205</v>
      </c>
      <c r="M62" s="129" t="s">
        <v>688</v>
      </c>
    </row>
    <row r="63" s="119" customFormat="1" spans="1:13">
      <c r="A63" s="85" t="s">
        <v>135</v>
      </c>
      <c r="B63" s="86" t="s">
        <v>725</v>
      </c>
      <c r="C63" s="86"/>
      <c r="D63" s="85"/>
      <c r="E63" s="87"/>
      <c r="F63" s="121"/>
      <c r="G63" s="101"/>
      <c r="H63" s="87"/>
      <c r="I63" s="127">
        <f t="shared" si="4"/>
        <v>0</v>
      </c>
      <c r="J63" s="128">
        <f t="shared" si="5"/>
        <v>0</v>
      </c>
      <c r="K63" s="41">
        <f t="shared" si="6"/>
        <v>0</v>
      </c>
      <c r="L63" s="41">
        <f t="shared" si="7"/>
        <v>0</v>
      </c>
      <c r="M63" s="33"/>
    </row>
    <row r="64" s="119" customFormat="1" ht="89.25" customHeight="1" spans="1:13">
      <c r="A64" s="85">
        <v>1</v>
      </c>
      <c r="B64" s="123" t="s">
        <v>726</v>
      </c>
      <c r="C64" s="103" t="s">
        <v>727</v>
      </c>
      <c r="D64" s="88" t="s">
        <v>668</v>
      </c>
      <c r="E64" s="120">
        <v>7</v>
      </c>
      <c r="F64" s="124">
        <v>30</v>
      </c>
      <c r="G64" s="124">
        <v>55</v>
      </c>
      <c r="H64" s="87">
        <v>15</v>
      </c>
      <c r="I64" s="127">
        <f t="shared" si="4"/>
        <v>9.5</v>
      </c>
      <c r="J64" s="128">
        <f t="shared" si="5"/>
        <v>9.855</v>
      </c>
      <c r="K64" s="41">
        <f t="shared" si="6"/>
        <v>119.355</v>
      </c>
      <c r="L64" s="41">
        <f t="shared" si="7"/>
        <v>835.485</v>
      </c>
      <c r="M64" s="33"/>
    </row>
    <row r="65" s="119" customFormat="1" ht="85.5" customHeight="1" spans="1:13">
      <c r="A65" s="85">
        <v>2</v>
      </c>
      <c r="B65" s="123" t="s">
        <v>728</v>
      </c>
      <c r="C65" s="103" t="s">
        <v>729</v>
      </c>
      <c r="D65" s="88" t="s">
        <v>668</v>
      </c>
      <c r="E65" s="120">
        <v>16</v>
      </c>
      <c r="F65" s="124">
        <v>30</v>
      </c>
      <c r="G65" s="124">
        <v>55</v>
      </c>
      <c r="H65" s="87">
        <v>15</v>
      </c>
      <c r="I65" s="127">
        <f t="shared" si="4"/>
        <v>9.5</v>
      </c>
      <c r="J65" s="128">
        <f t="shared" si="5"/>
        <v>9.855</v>
      </c>
      <c r="K65" s="41">
        <f t="shared" si="6"/>
        <v>119.355</v>
      </c>
      <c r="L65" s="41">
        <f t="shared" si="7"/>
        <v>1909.68</v>
      </c>
      <c r="M65" s="33"/>
    </row>
    <row r="66" s="119" customFormat="1" ht="56.25" spans="1:13">
      <c r="A66" s="85">
        <v>3</v>
      </c>
      <c r="B66" s="123" t="s">
        <v>730</v>
      </c>
      <c r="C66" s="103" t="s">
        <v>731</v>
      </c>
      <c r="D66" s="88" t="s">
        <v>197</v>
      </c>
      <c r="E66" s="120">
        <v>1</v>
      </c>
      <c r="F66" s="124">
        <v>30</v>
      </c>
      <c r="G66" s="124">
        <v>86</v>
      </c>
      <c r="H66" s="87">
        <v>40</v>
      </c>
      <c r="I66" s="127">
        <f t="shared" si="4"/>
        <v>14.82</v>
      </c>
      <c r="J66" s="128">
        <f t="shared" si="5"/>
        <v>15.3738</v>
      </c>
      <c r="K66" s="41">
        <f t="shared" si="6"/>
        <v>186.1938</v>
      </c>
      <c r="L66" s="41">
        <f t="shared" si="7"/>
        <v>186.1938</v>
      </c>
      <c r="M66" s="135" t="s">
        <v>732</v>
      </c>
    </row>
    <row r="67" s="119" customFormat="1" ht="56.25" spans="1:13">
      <c r="A67" s="85">
        <v>4</v>
      </c>
      <c r="B67" s="123" t="s">
        <v>730</v>
      </c>
      <c r="C67" s="103" t="s">
        <v>733</v>
      </c>
      <c r="D67" s="88" t="s">
        <v>197</v>
      </c>
      <c r="E67" s="120">
        <v>6</v>
      </c>
      <c r="F67" s="124">
        <v>50</v>
      </c>
      <c r="G67" s="124">
        <v>101</v>
      </c>
      <c r="H67" s="87">
        <v>50</v>
      </c>
      <c r="I67" s="127">
        <f t="shared" si="4"/>
        <v>19.095</v>
      </c>
      <c r="J67" s="128">
        <f t="shared" si="5"/>
        <v>19.80855</v>
      </c>
      <c r="K67" s="41">
        <f t="shared" si="6"/>
        <v>239.90355</v>
      </c>
      <c r="L67" s="41">
        <f t="shared" si="7"/>
        <v>1439.4213</v>
      </c>
      <c r="M67" s="135" t="s">
        <v>732</v>
      </c>
    </row>
    <row r="68" s="119" customFormat="1" ht="56.25" spans="1:13">
      <c r="A68" s="85">
        <v>5</v>
      </c>
      <c r="B68" s="123" t="s">
        <v>734</v>
      </c>
      <c r="C68" s="103" t="s">
        <v>735</v>
      </c>
      <c r="D68" s="88" t="s">
        <v>197</v>
      </c>
      <c r="E68" s="120">
        <v>1</v>
      </c>
      <c r="F68" s="124">
        <v>50</v>
      </c>
      <c r="G68" s="124">
        <v>105</v>
      </c>
      <c r="H68" s="87">
        <v>50</v>
      </c>
      <c r="I68" s="127">
        <f t="shared" si="4"/>
        <v>19.475</v>
      </c>
      <c r="J68" s="128">
        <f t="shared" si="5"/>
        <v>20.20275</v>
      </c>
      <c r="K68" s="41">
        <f t="shared" si="6"/>
        <v>244.67775</v>
      </c>
      <c r="L68" s="41">
        <f t="shared" si="7"/>
        <v>244.67775</v>
      </c>
      <c r="M68" s="135" t="s">
        <v>732</v>
      </c>
    </row>
    <row r="69" s="119" customFormat="1" ht="56.25" spans="1:13">
      <c r="A69" s="85">
        <v>6</v>
      </c>
      <c r="B69" s="123" t="s">
        <v>736</v>
      </c>
      <c r="C69" s="103" t="s">
        <v>737</v>
      </c>
      <c r="D69" s="88" t="s">
        <v>197</v>
      </c>
      <c r="E69" s="120">
        <v>1</v>
      </c>
      <c r="F69" s="124">
        <v>50</v>
      </c>
      <c r="G69" s="124">
        <v>95</v>
      </c>
      <c r="H69" s="87">
        <v>50</v>
      </c>
      <c r="I69" s="127">
        <f t="shared" si="4"/>
        <v>18.525</v>
      </c>
      <c r="J69" s="128">
        <f t="shared" si="5"/>
        <v>19.21725</v>
      </c>
      <c r="K69" s="41">
        <f t="shared" si="6"/>
        <v>232.74225</v>
      </c>
      <c r="L69" s="41">
        <f t="shared" si="7"/>
        <v>232.74225</v>
      </c>
      <c r="M69" s="135" t="s">
        <v>732</v>
      </c>
    </row>
    <row r="70" s="119" customFormat="1" ht="56.25" spans="1:13">
      <c r="A70" s="85">
        <v>7</v>
      </c>
      <c r="B70" s="123" t="s">
        <v>738</v>
      </c>
      <c r="C70" s="103" t="s">
        <v>739</v>
      </c>
      <c r="D70" s="88" t="s">
        <v>197</v>
      </c>
      <c r="E70" s="120">
        <v>1</v>
      </c>
      <c r="F70" s="124">
        <v>50</v>
      </c>
      <c r="G70" s="124">
        <v>180</v>
      </c>
      <c r="H70" s="87">
        <v>20</v>
      </c>
      <c r="I70" s="127">
        <f t="shared" si="4"/>
        <v>23.75</v>
      </c>
      <c r="J70" s="128">
        <f t="shared" si="5"/>
        <v>24.6375</v>
      </c>
      <c r="K70" s="41">
        <f t="shared" si="6"/>
        <v>298.3875</v>
      </c>
      <c r="L70" s="41">
        <f t="shared" si="7"/>
        <v>298.3875</v>
      </c>
      <c r="M70" s="33"/>
    </row>
    <row r="71" s="119" customFormat="1" ht="56.25" spans="1:13">
      <c r="A71" s="85">
        <v>8</v>
      </c>
      <c r="B71" s="123" t="s">
        <v>740</v>
      </c>
      <c r="C71" s="103" t="s">
        <v>741</v>
      </c>
      <c r="D71" s="88" t="s">
        <v>668</v>
      </c>
      <c r="E71" s="120">
        <v>1</v>
      </c>
      <c r="F71" s="121">
        <v>80</v>
      </c>
      <c r="G71" s="101">
        <v>167</v>
      </c>
      <c r="H71" s="87">
        <v>20</v>
      </c>
      <c r="I71" s="127">
        <f t="shared" ref="I71:I117" si="8">(F71+G71+H71)*$I$4</f>
        <v>25.365</v>
      </c>
      <c r="J71" s="128">
        <f t="shared" ref="J71:J117" si="9">(F71+G71+H71+I71)*$J$4</f>
        <v>26.31285</v>
      </c>
      <c r="K71" s="41">
        <f t="shared" ref="K71:K117" si="10">F71+G71+H71+I71+J71</f>
        <v>318.67785</v>
      </c>
      <c r="L71" s="41">
        <f t="shared" ref="L71:L117" si="11">K71*E71</f>
        <v>318.67785</v>
      </c>
      <c r="M71" s="33"/>
    </row>
    <row r="72" s="119" customFormat="1" ht="56.25" spans="1:13">
      <c r="A72" s="85">
        <v>9</v>
      </c>
      <c r="B72" s="123" t="s">
        <v>742</v>
      </c>
      <c r="C72" s="103" t="s">
        <v>743</v>
      </c>
      <c r="D72" s="88" t="s">
        <v>197</v>
      </c>
      <c r="E72" s="120">
        <v>7</v>
      </c>
      <c r="F72" s="124">
        <v>15</v>
      </c>
      <c r="G72" s="124">
        <v>45</v>
      </c>
      <c r="H72" s="87">
        <v>2</v>
      </c>
      <c r="I72" s="127">
        <f t="shared" si="8"/>
        <v>5.89</v>
      </c>
      <c r="J72" s="128">
        <f t="shared" si="9"/>
        <v>6.1101</v>
      </c>
      <c r="K72" s="41">
        <f t="shared" si="10"/>
        <v>74.0001</v>
      </c>
      <c r="L72" s="41">
        <f t="shared" si="11"/>
        <v>518.0007</v>
      </c>
      <c r="M72" s="135" t="s">
        <v>732</v>
      </c>
    </row>
    <row r="73" s="119" customFormat="1" ht="56.25" spans="1:13">
      <c r="A73" s="85">
        <v>10</v>
      </c>
      <c r="B73" s="123" t="s">
        <v>744</v>
      </c>
      <c r="C73" s="103" t="s">
        <v>745</v>
      </c>
      <c r="D73" s="88" t="s">
        <v>668</v>
      </c>
      <c r="E73" s="120">
        <v>1</v>
      </c>
      <c r="F73" s="124">
        <v>120</v>
      </c>
      <c r="G73" s="124">
        <v>370</v>
      </c>
      <c r="H73" s="87">
        <v>30</v>
      </c>
      <c r="I73" s="127">
        <f t="shared" si="8"/>
        <v>49.4</v>
      </c>
      <c r="J73" s="128">
        <f t="shared" si="9"/>
        <v>51.246</v>
      </c>
      <c r="K73" s="41">
        <f t="shared" si="10"/>
        <v>620.646</v>
      </c>
      <c r="L73" s="41">
        <f t="shared" si="11"/>
        <v>620.646</v>
      </c>
      <c r="M73" s="33"/>
    </row>
    <row r="74" s="119" customFormat="1" ht="56.25" spans="1:13">
      <c r="A74" s="85">
        <v>11</v>
      </c>
      <c r="B74" s="123" t="s">
        <v>744</v>
      </c>
      <c r="C74" s="103" t="s">
        <v>746</v>
      </c>
      <c r="D74" s="88" t="s">
        <v>668</v>
      </c>
      <c r="E74" s="120">
        <v>4</v>
      </c>
      <c r="F74" s="124">
        <v>120</v>
      </c>
      <c r="G74" s="124">
        <v>370</v>
      </c>
      <c r="H74" s="87">
        <v>30</v>
      </c>
      <c r="I74" s="127">
        <f t="shared" si="8"/>
        <v>49.4</v>
      </c>
      <c r="J74" s="128">
        <f t="shared" si="9"/>
        <v>51.246</v>
      </c>
      <c r="K74" s="41">
        <f t="shared" si="10"/>
        <v>620.646</v>
      </c>
      <c r="L74" s="41">
        <f t="shared" si="11"/>
        <v>2482.584</v>
      </c>
      <c r="M74" s="33"/>
    </row>
    <row r="75" s="119" customFormat="1" ht="56.25" spans="1:13">
      <c r="A75" s="85">
        <v>12</v>
      </c>
      <c r="B75" s="123" t="s">
        <v>747</v>
      </c>
      <c r="C75" s="103" t="s">
        <v>748</v>
      </c>
      <c r="D75" s="88" t="s">
        <v>668</v>
      </c>
      <c r="E75" s="120">
        <v>1</v>
      </c>
      <c r="F75" s="124">
        <v>352</v>
      </c>
      <c r="G75" s="124">
        <v>1500</v>
      </c>
      <c r="H75" s="87">
        <v>80</v>
      </c>
      <c r="I75" s="127">
        <f t="shared" si="8"/>
        <v>183.54</v>
      </c>
      <c r="J75" s="128">
        <f t="shared" si="9"/>
        <v>190.3986</v>
      </c>
      <c r="K75" s="41">
        <f t="shared" si="10"/>
        <v>2305.9386</v>
      </c>
      <c r="L75" s="41">
        <f t="shared" si="11"/>
        <v>2305.9386</v>
      </c>
      <c r="M75" s="33"/>
    </row>
    <row r="76" s="119" customFormat="1" ht="33.75" spans="1:13">
      <c r="A76" s="85">
        <v>13</v>
      </c>
      <c r="B76" s="103" t="s">
        <v>749</v>
      </c>
      <c r="C76" s="103" t="s">
        <v>750</v>
      </c>
      <c r="D76" s="98" t="s">
        <v>668</v>
      </c>
      <c r="E76" s="120">
        <v>5</v>
      </c>
      <c r="F76" s="124">
        <v>60</v>
      </c>
      <c r="G76" s="124">
        <v>200</v>
      </c>
      <c r="H76" s="87">
        <v>20</v>
      </c>
      <c r="I76" s="127">
        <f t="shared" si="8"/>
        <v>26.6</v>
      </c>
      <c r="J76" s="128">
        <f t="shared" si="9"/>
        <v>27.594</v>
      </c>
      <c r="K76" s="41">
        <f t="shared" si="10"/>
        <v>334.194</v>
      </c>
      <c r="L76" s="41">
        <f t="shared" si="11"/>
        <v>1670.97</v>
      </c>
      <c r="M76" s="33"/>
    </row>
    <row r="77" s="119" customFormat="1" ht="33.75" spans="1:13">
      <c r="A77" s="85">
        <v>14</v>
      </c>
      <c r="B77" s="103" t="s">
        <v>751</v>
      </c>
      <c r="C77" s="103" t="s">
        <v>752</v>
      </c>
      <c r="D77" s="98" t="s">
        <v>668</v>
      </c>
      <c r="E77" s="120">
        <v>1</v>
      </c>
      <c r="F77" s="124">
        <v>600</v>
      </c>
      <c r="G77" s="124">
        <v>1000</v>
      </c>
      <c r="H77" s="87">
        <v>20</v>
      </c>
      <c r="I77" s="127">
        <f t="shared" si="8"/>
        <v>153.9</v>
      </c>
      <c r="J77" s="128">
        <f t="shared" si="9"/>
        <v>159.651</v>
      </c>
      <c r="K77" s="41">
        <f t="shared" si="10"/>
        <v>1933.551</v>
      </c>
      <c r="L77" s="41">
        <f t="shared" si="11"/>
        <v>1933.551</v>
      </c>
      <c r="M77" s="33"/>
    </row>
    <row r="78" s="119" customFormat="1" ht="45" spans="1:13">
      <c r="A78" s="85">
        <v>15</v>
      </c>
      <c r="B78" s="123" t="s">
        <v>753</v>
      </c>
      <c r="C78" s="103" t="s">
        <v>754</v>
      </c>
      <c r="D78" s="88" t="s">
        <v>197</v>
      </c>
      <c r="E78" s="120">
        <v>2</v>
      </c>
      <c r="F78" s="124">
        <v>5</v>
      </c>
      <c r="G78" s="124">
        <v>10</v>
      </c>
      <c r="H78" s="87">
        <v>1</v>
      </c>
      <c r="I78" s="127">
        <f t="shared" si="8"/>
        <v>1.52</v>
      </c>
      <c r="J78" s="128">
        <f t="shared" si="9"/>
        <v>1.5768</v>
      </c>
      <c r="K78" s="41">
        <f t="shared" si="10"/>
        <v>19.0968</v>
      </c>
      <c r="L78" s="41">
        <f t="shared" si="11"/>
        <v>38.1936</v>
      </c>
      <c r="M78" s="33"/>
    </row>
    <row r="79" s="119" customFormat="1" ht="90" spans="1:14">
      <c r="A79" s="85">
        <v>16</v>
      </c>
      <c r="B79" s="123" t="s">
        <v>755</v>
      </c>
      <c r="C79" s="103" t="s">
        <v>756</v>
      </c>
      <c r="D79" s="88" t="s">
        <v>107</v>
      </c>
      <c r="E79" s="87">
        <v>8.12</v>
      </c>
      <c r="F79" s="124">
        <v>4</v>
      </c>
      <c r="G79" s="124">
        <v>3.42</v>
      </c>
      <c r="H79" s="87">
        <v>0.5</v>
      </c>
      <c r="I79" s="127">
        <f t="shared" si="8"/>
        <v>0.7524</v>
      </c>
      <c r="J79" s="128">
        <f t="shared" si="9"/>
        <v>0.780516</v>
      </c>
      <c r="K79" s="41">
        <f t="shared" si="10"/>
        <v>9.452916</v>
      </c>
      <c r="L79" s="41">
        <f t="shared" si="11"/>
        <v>76.75767792</v>
      </c>
      <c r="M79" s="111" t="s">
        <v>683</v>
      </c>
      <c r="N79" s="130"/>
    </row>
    <row r="80" s="119" customFormat="1" ht="90" spans="1:14">
      <c r="A80" s="85">
        <v>17</v>
      </c>
      <c r="B80" s="123" t="s">
        <v>755</v>
      </c>
      <c r="C80" s="103" t="s">
        <v>757</v>
      </c>
      <c r="D80" s="88" t="s">
        <v>107</v>
      </c>
      <c r="E80" s="87">
        <v>464.75</v>
      </c>
      <c r="F80" s="124">
        <v>4</v>
      </c>
      <c r="G80" s="124">
        <v>6.8</v>
      </c>
      <c r="H80" s="87">
        <v>0.5</v>
      </c>
      <c r="I80" s="127">
        <f t="shared" si="8"/>
        <v>1.0735</v>
      </c>
      <c r="J80" s="128">
        <f t="shared" si="9"/>
        <v>1.113615</v>
      </c>
      <c r="K80" s="41">
        <f t="shared" si="10"/>
        <v>13.487115</v>
      </c>
      <c r="L80" s="41">
        <f t="shared" si="11"/>
        <v>6268.13669625</v>
      </c>
      <c r="M80" s="111" t="s">
        <v>683</v>
      </c>
      <c r="N80" s="130"/>
    </row>
    <row r="81" s="119" customFormat="1" ht="90" spans="1:14">
      <c r="A81" s="85">
        <v>18</v>
      </c>
      <c r="B81" s="123" t="s">
        <v>755</v>
      </c>
      <c r="C81" s="103" t="s">
        <v>758</v>
      </c>
      <c r="D81" s="88" t="s">
        <v>107</v>
      </c>
      <c r="E81" s="87">
        <v>27.9</v>
      </c>
      <c r="F81" s="124">
        <v>4</v>
      </c>
      <c r="G81" s="124">
        <v>11.2</v>
      </c>
      <c r="H81" s="87">
        <v>0.5</v>
      </c>
      <c r="I81" s="127">
        <f t="shared" si="8"/>
        <v>1.4915</v>
      </c>
      <c r="J81" s="128">
        <f t="shared" si="9"/>
        <v>1.547235</v>
      </c>
      <c r="K81" s="41">
        <f t="shared" si="10"/>
        <v>18.738735</v>
      </c>
      <c r="L81" s="41">
        <f t="shared" si="11"/>
        <v>522.8107065</v>
      </c>
      <c r="M81" s="111" t="s">
        <v>683</v>
      </c>
      <c r="N81" s="130"/>
    </row>
    <row r="82" s="119" customFormat="1" ht="90" spans="1:14">
      <c r="A82" s="85">
        <v>19</v>
      </c>
      <c r="B82" s="123" t="s">
        <v>755</v>
      </c>
      <c r="C82" s="103" t="s">
        <v>759</v>
      </c>
      <c r="D82" s="88" t="s">
        <v>107</v>
      </c>
      <c r="E82" s="87">
        <v>9.07</v>
      </c>
      <c r="F82" s="124">
        <v>5</v>
      </c>
      <c r="G82" s="124">
        <v>16</v>
      </c>
      <c r="H82" s="87">
        <v>0.5</v>
      </c>
      <c r="I82" s="127">
        <f t="shared" si="8"/>
        <v>2.0425</v>
      </c>
      <c r="J82" s="128">
        <f t="shared" si="9"/>
        <v>2.118825</v>
      </c>
      <c r="K82" s="41">
        <f t="shared" si="10"/>
        <v>25.661325</v>
      </c>
      <c r="L82" s="41">
        <f t="shared" si="11"/>
        <v>232.74821775</v>
      </c>
      <c r="M82" s="111" t="s">
        <v>683</v>
      </c>
      <c r="N82" s="130"/>
    </row>
    <row r="83" s="119" customFormat="1" ht="90" spans="1:14">
      <c r="A83" s="85">
        <v>20</v>
      </c>
      <c r="B83" s="123" t="s">
        <v>755</v>
      </c>
      <c r="C83" s="103" t="s">
        <v>760</v>
      </c>
      <c r="D83" s="88" t="s">
        <v>107</v>
      </c>
      <c r="E83" s="87">
        <v>25.97</v>
      </c>
      <c r="F83" s="124">
        <v>5</v>
      </c>
      <c r="G83" s="124">
        <v>25.1</v>
      </c>
      <c r="H83" s="87">
        <v>0.5</v>
      </c>
      <c r="I83" s="127">
        <f t="shared" si="8"/>
        <v>2.907</v>
      </c>
      <c r="J83" s="128">
        <f t="shared" si="9"/>
        <v>3.01563</v>
      </c>
      <c r="K83" s="41">
        <f t="shared" si="10"/>
        <v>36.52263</v>
      </c>
      <c r="L83" s="41">
        <f t="shared" si="11"/>
        <v>948.4927011</v>
      </c>
      <c r="M83" s="111" t="s">
        <v>683</v>
      </c>
      <c r="N83" s="130"/>
    </row>
    <row r="84" s="119" customFormat="1" ht="90" spans="1:14">
      <c r="A84" s="85">
        <v>21</v>
      </c>
      <c r="B84" s="123" t="s">
        <v>755</v>
      </c>
      <c r="C84" s="103" t="s">
        <v>761</v>
      </c>
      <c r="D84" s="88" t="s">
        <v>107</v>
      </c>
      <c r="E84" s="87">
        <v>274.41</v>
      </c>
      <c r="F84" s="124">
        <v>8</v>
      </c>
      <c r="G84" s="124">
        <v>34.1</v>
      </c>
      <c r="H84" s="87">
        <v>0.5</v>
      </c>
      <c r="I84" s="127">
        <f t="shared" si="8"/>
        <v>4.047</v>
      </c>
      <c r="J84" s="128">
        <f t="shared" si="9"/>
        <v>4.19823</v>
      </c>
      <c r="K84" s="41">
        <f t="shared" si="10"/>
        <v>50.84523</v>
      </c>
      <c r="L84" s="41">
        <f t="shared" si="11"/>
        <v>13952.4395643</v>
      </c>
      <c r="M84" s="111" t="s">
        <v>683</v>
      </c>
      <c r="N84" s="130"/>
    </row>
    <row r="85" s="119" customFormat="1" ht="90" spans="1:13">
      <c r="A85" s="85">
        <v>22</v>
      </c>
      <c r="B85" s="123" t="s">
        <v>762</v>
      </c>
      <c r="C85" s="103" t="s">
        <v>763</v>
      </c>
      <c r="D85" s="88" t="s">
        <v>107</v>
      </c>
      <c r="E85" s="87">
        <v>11.36</v>
      </c>
      <c r="F85" s="124">
        <v>4</v>
      </c>
      <c r="G85" s="124">
        <v>4.96</v>
      </c>
      <c r="H85" s="87">
        <v>0.5</v>
      </c>
      <c r="I85" s="127">
        <f t="shared" si="8"/>
        <v>0.8987</v>
      </c>
      <c r="J85" s="128">
        <f t="shared" si="9"/>
        <v>0.932283</v>
      </c>
      <c r="K85" s="41">
        <f t="shared" si="10"/>
        <v>11.290983</v>
      </c>
      <c r="L85" s="41">
        <f t="shared" si="11"/>
        <v>128.26556688</v>
      </c>
      <c r="M85" s="111" t="s">
        <v>683</v>
      </c>
    </row>
    <row r="86" s="119" customFormat="1" ht="45" spans="1:13">
      <c r="A86" s="85">
        <v>23</v>
      </c>
      <c r="B86" s="86" t="s">
        <v>764</v>
      </c>
      <c r="C86" s="131" t="s">
        <v>765</v>
      </c>
      <c r="D86" s="88" t="s">
        <v>197</v>
      </c>
      <c r="E86" s="120">
        <v>2</v>
      </c>
      <c r="F86" s="121">
        <v>10</v>
      </c>
      <c r="G86" s="101">
        <v>60</v>
      </c>
      <c r="H86" s="87">
        <v>2</v>
      </c>
      <c r="I86" s="127">
        <f t="shared" si="8"/>
        <v>6.84</v>
      </c>
      <c r="J86" s="128">
        <f t="shared" si="9"/>
        <v>7.0956</v>
      </c>
      <c r="K86" s="41">
        <f t="shared" si="10"/>
        <v>85.9356</v>
      </c>
      <c r="L86" s="41">
        <f t="shared" si="11"/>
        <v>171.8712</v>
      </c>
      <c r="M86" s="129"/>
    </row>
    <row r="87" s="119" customFormat="1" ht="45" spans="1:13">
      <c r="A87" s="85">
        <v>24</v>
      </c>
      <c r="B87" s="123" t="s">
        <v>70</v>
      </c>
      <c r="C87" s="103" t="s">
        <v>766</v>
      </c>
      <c r="D87" s="88" t="s">
        <v>72</v>
      </c>
      <c r="E87" s="87">
        <v>241.24</v>
      </c>
      <c r="F87" s="121">
        <f>F44</f>
        <v>3</v>
      </c>
      <c r="G87" s="101"/>
      <c r="H87" s="87">
        <f>H44</f>
        <v>7</v>
      </c>
      <c r="I87" s="127">
        <f t="shared" si="8"/>
        <v>0.95</v>
      </c>
      <c r="J87" s="128">
        <f t="shared" si="9"/>
        <v>0.9855</v>
      </c>
      <c r="K87" s="41">
        <f t="shared" si="10"/>
        <v>11.9355</v>
      </c>
      <c r="L87" s="41">
        <f t="shared" si="11"/>
        <v>2879.32002</v>
      </c>
      <c r="M87" s="129"/>
    </row>
    <row r="88" s="119" customFormat="1" ht="33.75" spans="1:13">
      <c r="A88" s="85">
        <v>25</v>
      </c>
      <c r="B88" s="123" t="s">
        <v>704</v>
      </c>
      <c r="C88" s="103" t="s">
        <v>767</v>
      </c>
      <c r="D88" s="88" t="s">
        <v>72</v>
      </c>
      <c r="E88" s="87">
        <v>201.21</v>
      </c>
      <c r="F88" s="121">
        <f>F45</f>
        <v>3</v>
      </c>
      <c r="G88" s="101"/>
      <c r="H88" s="87">
        <f>H45</f>
        <v>8</v>
      </c>
      <c r="I88" s="127">
        <f t="shared" si="8"/>
        <v>1.045</v>
      </c>
      <c r="J88" s="128">
        <f t="shared" si="9"/>
        <v>1.08405</v>
      </c>
      <c r="K88" s="41">
        <f t="shared" si="10"/>
        <v>13.12905</v>
      </c>
      <c r="L88" s="41">
        <f t="shared" si="11"/>
        <v>2641.6961505</v>
      </c>
      <c r="M88" s="129"/>
    </row>
    <row r="89" s="119" customFormat="1" ht="33.75" spans="1:13">
      <c r="A89" s="85">
        <v>26</v>
      </c>
      <c r="B89" s="123" t="s">
        <v>768</v>
      </c>
      <c r="C89" s="103" t="s">
        <v>769</v>
      </c>
      <c r="D89" s="88" t="s">
        <v>72</v>
      </c>
      <c r="E89" s="87">
        <v>40.03</v>
      </c>
      <c r="F89" s="121">
        <v>11</v>
      </c>
      <c r="G89" s="101">
        <v>167</v>
      </c>
      <c r="H89" s="87">
        <f>H88</f>
        <v>8</v>
      </c>
      <c r="I89" s="127">
        <f t="shared" si="8"/>
        <v>17.67</v>
      </c>
      <c r="J89" s="128">
        <f t="shared" si="9"/>
        <v>18.3303</v>
      </c>
      <c r="K89" s="41">
        <f t="shared" si="10"/>
        <v>222.0003</v>
      </c>
      <c r="L89" s="41">
        <f t="shared" si="11"/>
        <v>8886.672009</v>
      </c>
      <c r="M89" s="129"/>
    </row>
    <row r="90" s="119" customFormat="1" spans="1:13">
      <c r="A90" s="85" t="s">
        <v>142</v>
      </c>
      <c r="B90" s="86" t="s">
        <v>770</v>
      </c>
      <c r="C90" s="86"/>
      <c r="D90" s="85"/>
      <c r="E90" s="87"/>
      <c r="F90" s="121"/>
      <c r="G90" s="101"/>
      <c r="H90" s="87"/>
      <c r="I90" s="127">
        <f t="shared" si="8"/>
        <v>0</v>
      </c>
      <c r="J90" s="128">
        <f t="shared" si="9"/>
        <v>0</v>
      </c>
      <c r="K90" s="41">
        <f t="shared" si="10"/>
        <v>0</v>
      </c>
      <c r="L90" s="41">
        <f t="shared" si="11"/>
        <v>0</v>
      </c>
      <c r="M90" s="129"/>
    </row>
    <row r="91" s="119" customFormat="1" ht="45" spans="1:13">
      <c r="A91" s="85">
        <v>1</v>
      </c>
      <c r="B91" s="123" t="s">
        <v>70</v>
      </c>
      <c r="C91" s="103" t="s">
        <v>771</v>
      </c>
      <c r="D91" s="88" t="s">
        <v>72</v>
      </c>
      <c r="E91" s="87">
        <v>30.94</v>
      </c>
      <c r="F91" s="121">
        <f>F87</f>
        <v>3</v>
      </c>
      <c r="G91" s="101"/>
      <c r="H91" s="87">
        <f>H87</f>
        <v>7</v>
      </c>
      <c r="I91" s="127">
        <f t="shared" si="8"/>
        <v>0.95</v>
      </c>
      <c r="J91" s="128">
        <f t="shared" si="9"/>
        <v>0.9855</v>
      </c>
      <c r="K91" s="41">
        <f t="shared" si="10"/>
        <v>11.9355</v>
      </c>
      <c r="L91" s="41">
        <f t="shared" si="11"/>
        <v>369.28437</v>
      </c>
      <c r="M91" s="129"/>
    </row>
    <row r="92" s="119" customFormat="1" ht="33.75" spans="1:13">
      <c r="A92" s="85">
        <v>2</v>
      </c>
      <c r="B92" s="123" t="s">
        <v>704</v>
      </c>
      <c r="C92" s="103" t="s">
        <v>767</v>
      </c>
      <c r="D92" s="88" t="s">
        <v>72</v>
      </c>
      <c r="E92" s="87">
        <v>30.94</v>
      </c>
      <c r="F92" s="121">
        <f>F88</f>
        <v>3</v>
      </c>
      <c r="G92" s="101"/>
      <c r="H92" s="87">
        <f>H89</f>
        <v>8</v>
      </c>
      <c r="I92" s="127">
        <f t="shared" si="8"/>
        <v>1.045</v>
      </c>
      <c r="J92" s="128">
        <f t="shared" si="9"/>
        <v>1.08405</v>
      </c>
      <c r="K92" s="41">
        <f t="shared" si="10"/>
        <v>13.12905</v>
      </c>
      <c r="L92" s="41">
        <f t="shared" si="11"/>
        <v>406.212807</v>
      </c>
      <c r="M92" s="88"/>
    </row>
    <row r="93" s="119" customFormat="1" ht="67.5" spans="1:13">
      <c r="A93" s="85">
        <v>3</v>
      </c>
      <c r="B93" s="123" t="s">
        <v>772</v>
      </c>
      <c r="C93" s="103" t="s">
        <v>773</v>
      </c>
      <c r="D93" s="88" t="s">
        <v>107</v>
      </c>
      <c r="E93" s="87">
        <v>278</v>
      </c>
      <c r="F93" s="121">
        <v>3</v>
      </c>
      <c r="G93" s="101">
        <v>5.3</v>
      </c>
      <c r="H93" s="87">
        <v>0.5</v>
      </c>
      <c r="I93" s="127">
        <f t="shared" si="8"/>
        <v>0.836</v>
      </c>
      <c r="J93" s="128">
        <f t="shared" si="9"/>
        <v>0.86724</v>
      </c>
      <c r="K93" s="41">
        <f t="shared" si="10"/>
        <v>10.50324</v>
      </c>
      <c r="L93" s="41">
        <f t="shared" si="11"/>
        <v>2919.90072</v>
      </c>
      <c r="M93" s="88"/>
    </row>
    <row r="94" s="119" customFormat="1" ht="67.5" spans="1:13">
      <c r="A94" s="85">
        <v>4</v>
      </c>
      <c r="B94" s="123" t="s">
        <v>772</v>
      </c>
      <c r="C94" s="103" t="s">
        <v>774</v>
      </c>
      <c r="D94" s="88" t="s">
        <v>107</v>
      </c>
      <c r="E94" s="87">
        <v>62.37</v>
      </c>
      <c r="F94" s="121">
        <v>3</v>
      </c>
      <c r="G94" s="101">
        <v>10.2</v>
      </c>
      <c r="H94" s="87">
        <v>0.5</v>
      </c>
      <c r="I94" s="127">
        <f t="shared" si="8"/>
        <v>1.3015</v>
      </c>
      <c r="J94" s="128">
        <f t="shared" si="9"/>
        <v>1.350135</v>
      </c>
      <c r="K94" s="41">
        <f t="shared" si="10"/>
        <v>16.351635</v>
      </c>
      <c r="L94" s="41">
        <f t="shared" si="11"/>
        <v>1019.85147495</v>
      </c>
      <c r="M94" s="88"/>
    </row>
    <row r="95" s="119" customFormat="1" ht="33.75" spans="1:13">
      <c r="A95" s="85">
        <v>5</v>
      </c>
      <c r="B95" s="132" t="s">
        <v>775</v>
      </c>
      <c r="C95" s="133" t="s">
        <v>776</v>
      </c>
      <c r="D95" s="134" t="s">
        <v>197</v>
      </c>
      <c r="E95" s="120">
        <v>155</v>
      </c>
      <c r="F95" s="121">
        <v>3</v>
      </c>
      <c r="G95" s="101">
        <v>25</v>
      </c>
      <c r="H95" s="87">
        <v>0.5</v>
      </c>
      <c r="I95" s="127">
        <f t="shared" si="8"/>
        <v>2.7075</v>
      </c>
      <c r="J95" s="128">
        <f t="shared" si="9"/>
        <v>2.808675</v>
      </c>
      <c r="K95" s="41">
        <f t="shared" si="10"/>
        <v>34.016175</v>
      </c>
      <c r="L95" s="41">
        <f t="shared" si="11"/>
        <v>5272.507125</v>
      </c>
      <c r="M95" s="88"/>
    </row>
    <row r="96" s="119" customFormat="1" ht="45" spans="1:13">
      <c r="A96" s="85">
        <v>6</v>
      </c>
      <c r="B96" s="132" t="s">
        <v>777</v>
      </c>
      <c r="C96" s="103" t="s">
        <v>778</v>
      </c>
      <c r="D96" s="134" t="s">
        <v>632</v>
      </c>
      <c r="E96" s="120">
        <v>1</v>
      </c>
      <c r="F96" s="121">
        <v>100</v>
      </c>
      <c r="G96" s="101">
        <v>9500</v>
      </c>
      <c r="H96" s="87">
        <v>150</v>
      </c>
      <c r="I96" s="127">
        <f t="shared" si="8"/>
        <v>926.25</v>
      </c>
      <c r="J96" s="128">
        <f t="shared" si="9"/>
        <v>960.8625</v>
      </c>
      <c r="K96" s="41">
        <f t="shared" si="10"/>
        <v>11637.1125</v>
      </c>
      <c r="L96" s="41">
        <f t="shared" si="11"/>
        <v>11637.1125</v>
      </c>
      <c r="M96" s="136" t="s">
        <v>779</v>
      </c>
    </row>
    <row r="97" s="119" customFormat="1" spans="1:14">
      <c r="A97" s="85" t="s">
        <v>147</v>
      </c>
      <c r="B97" s="86" t="s">
        <v>780</v>
      </c>
      <c r="C97" s="86"/>
      <c r="D97" s="85"/>
      <c r="E97" s="87"/>
      <c r="F97" s="121"/>
      <c r="G97" s="101"/>
      <c r="H97" s="87"/>
      <c r="I97" s="127">
        <f t="shared" si="8"/>
        <v>0</v>
      </c>
      <c r="J97" s="128">
        <f t="shared" si="9"/>
        <v>0</v>
      </c>
      <c r="K97" s="41">
        <f t="shared" si="10"/>
        <v>0</v>
      </c>
      <c r="L97" s="41">
        <f t="shared" si="11"/>
        <v>0</v>
      </c>
      <c r="M97" s="33"/>
      <c r="N97" s="130"/>
    </row>
    <row r="98" s="119" customFormat="1" ht="45" spans="1:13">
      <c r="A98" s="85">
        <v>1</v>
      </c>
      <c r="B98" s="123" t="s">
        <v>781</v>
      </c>
      <c r="C98" s="103" t="s">
        <v>782</v>
      </c>
      <c r="D98" s="88" t="s">
        <v>632</v>
      </c>
      <c r="E98" s="120">
        <v>1</v>
      </c>
      <c r="F98" s="121">
        <v>230</v>
      </c>
      <c r="G98" s="101">
        <v>1550</v>
      </c>
      <c r="H98" s="87">
        <v>50</v>
      </c>
      <c r="I98" s="127">
        <f t="shared" si="8"/>
        <v>173.85</v>
      </c>
      <c r="J98" s="128">
        <f t="shared" si="9"/>
        <v>180.3465</v>
      </c>
      <c r="K98" s="41">
        <f t="shared" si="10"/>
        <v>2184.1965</v>
      </c>
      <c r="L98" s="41">
        <f t="shared" si="11"/>
        <v>2184.1965</v>
      </c>
      <c r="M98" s="137" t="s">
        <v>783</v>
      </c>
    </row>
    <row r="99" s="119" customFormat="1" ht="45" spans="1:13">
      <c r="A99" s="85">
        <v>2</v>
      </c>
      <c r="B99" s="123" t="s">
        <v>781</v>
      </c>
      <c r="C99" s="103" t="s">
        <v>784</v>
      </c>
      <c r="D99" s="88" t="s">
        <v>632</v>
      </c>
      <c r="E99" s="120">
        <v>1</v>
      </c>
      <c r="F99" s="121">
        <v>230</v>
      </c>
      <c r="G99" s="101">
        <v>2260</v>
      </c>
      <c r="H99" s="87">
        <v>50</v>
      </c>
      <c r="I99" s="127">
        <f t="shared" si="8"/>
        <v>241.3</v>
      </c>
      <c r="J99" s="128">
        <f t="shared" si="9"/>
        <v>250.317</v>
      </c>
      <c r="K99" s="41">
        <f t="shared" si="10"/>
        <v>3031.617</v>
      </c>
      <c r="L99" s="41">
        <f t="shared" si="11"/>
        <v>3031.617</v>
      </c>
      <c r="M99" s="137" t="s">
        <v>783</v>
      </c>
    </row>
    <row r="100" s="119" customFormat="1" ht="56.25" spans="1:13">
      <c r="A100" s="85">
        <v>3</v>
      </c>
      <c r="B100" s="123" t="s">
        <v>736</v>
      </c>
      <c r="C100" s="103" t="s">
        <v>785</v>
      </c>
      <c r="D100" s="88" t="s">
        <v>197</v>
      </c>
      <c r="E100" s="120">
        <v>1</v>
      </c>
      <c r="F100" s="124">
        <v>60</v>
      </c>
      <c r="G100" s="124">
        <v>152</v>
      </c>
      <c r="H100" s="87">
        <v>80</v>
      </c>
      <c r="I100" s="127">
        <f t="shared" si="8"/>
        <v>27.74</v>
      </c>
      <c r="J100" s="128">
        <f t="shared" si="9"/>
        <v>28.7766</v>
      </c>
      <c r="K100" s="41">
        <f t="shared" si="10"/>
        <v>348.5166</v>
      </c>
      <c r="L100" s="41">
        <f t="shared" si="11"/>
        <v>348.5166</v>
      </c>
      <c r="M100" s="135" t="s">
        <v>732</v>
      </c>
    </row>
    <row r="101" s="119" customFormat="1" ht="56.25" spans="1:13">
      <c r="A101" s="85">
        <v>4</v>
      </c>
      <c r="B101" s="123" t="s">
        <v>786</v>
      </c>
      <c r="C101" s="103" t="s">
        <v>787</v>
      </c>
      <c r="D101" s="88" t="s">
        <v>197</v>
      </c>
      <c r="E101" s="120">
        <v>2</v>
      </c>
      <c r="F101" s="124">
        <v>60</v>
      </c>
      <c r="G101" s="124">
        <v>178</v>
      </c>
      <c r="H101" s="87">
        <v>80</v>
      </c>
      <c r="I101" s="127">
        <f t="shared" si="8"/>
        <v>30.21</v>
      </c>
      <c r="J101" s="128">
        <f t="shared" si="9"/>
        <v>31.3389</v>
      </c>
      <c r="K101" s="41">
        <f t="shared" si="10"/>
        <v>379.5489</v>
      </c>
      <c r="L101" s="41">
        <f t="shared" si="11"/>
        <v>759.0978</v>
      </c>
      <c r="M101" s="135" t="s">
        <v>732</v>
      </c>
    </row>
    <row r="102" s="119" customFormat="1" ht="56.25" spans="1:13">
      <c r="A102" s="85">
        <v>5</v>
      </c>
      <c r="B102" s="123" t="s">
        <v>788</v>
      </c>
      <c r="C102" s="103" t="s">
        <v>789</v>
      </c>
      <c r="D102" s="88" t="s">
        <v>197</v>
      </c>
      <c r="E102" s="120">
        <v>3</v>
      </c>
      <c r="F102" s="124">
        <v>60</v>
      </c>
      <c r="G102" s="124">
        <v>98</v>
      </c>
      <c r="H102" s="87">
        <v>50</v>
      </c>
      <c r="I102" s="127">
        <f t="shared" si="8"/>
        <v>19.76</v>
      </c>
      <c r="J102" s="128">
        <f t="shared" si="9"/>
        <v>20.4984</v>
      </c>
      <c r="K102" s="41">
        <f t="shared" si="10"/>
        <v>248.2584</v>
      </c>
      <c r="L102" s="41">
        <f t="shared" si="11"/>
        <v>744.7752</v>
      </c>
      <c r="M102" s="135" t="s">
        <v>732</v>
      </c>
    </row>
    <row r="103" s="119" customFormat="1" ht="56.25" spans="1:13">
      <c r="A103" s="85">
        <v>6</v>
      </c>
      <c r="B103" s="123" t="s">
        <v>788</v>
      </c>
      <c r="C103" s="103" t="s">
        <v>737</v>
      </c>
      <c r="D103" s="88" t="s">
        <v>197</v>
      </c>
      <c r="E103" s="120">
        <v>1</v>
      </c>
      <c r="F103" s="124">
        <v>60</v>
      </c>
      <c r="G103" s="124">
        <v>95</v>
      </c>
      <c r="H103" s="87">
        <v>50</v>
      </c>
      <c r="I103" s="127">
        <f t="shared" si="8"/>
        <v>19.475</v>
      </c>
      <c r="J103" s="128">
        <f t="shared" si="9"/>
        <v>20.20275</v>
      </c>
      <c r="K103" s="41">
        <f t="shared" si="10"/>
        <v>244.67775</v>
      </c>
      <c r="L103" s="41">
        <f t="shared" si="11"/>
        <v>244.67775</v>
      </c>
      <c r="M103" s="135" t="s">
        <v>732</v>
      </c>
    </row>
    <row r="104" s="119" customFormat="1" ht="56.25" spans="1:13">
      <c r="A104" s="85">
        <v>7</v>
      </c>
      <c r="B104" s="123" t="s">
        <v>790</v>
      </c>
      <c r="C104" s="103" t="s">
        <v>791</v>
      </c>
      <c r="D104" s="88" t="s">
        <v>197</v>
      </c>
      <c r="E104" s="120">
        <v>2</v>
      </c>
      <c r="F104" s="124">
        <v>60</v>
      </c>
      <c r="G104" s="124">
        <v>458</v>
      </c>
      <c r="H104" s="87">
        <v>40</v>
      </c>
      <c r="I104" s="127">
        <f t="shared" si="8"/>
        <v>53.01</v>
      </c>
      <c r="J104" s="128">
        <f t="shared" si="9"/>
        <v>54.9909</v>
      </c>
      <c r="K104" s="41">
        <f t="shared" si="10"/>
        <v>666.0009</v>
      </c>
      <c r="L104" s="41">
        <f t="shared" si="11"/>
        <v>1332.0018</v>
      </c>
      <c r="M104" s="135" t="s">
        <v>732</v>
      </c>
    </row>
    <row r="105" s="119" customFormat="1" ht="56.25" spans="1:13">
      <c r="A105" s="85">
        <v>8</v>
      </c>
      <c r="B105" s="123" t="s">
        <v>730</v>
      </c>
      <c r="C105" s="103" t="s">
        <v>731</v>
      </c>
      <c r="D105" s="88" t="s">
        <v>197</v>
      </c>
      <c r="E105" s="120">
        <v>1</v>
      </c>
      <c r="F105" s="124">
        <v>30</v>
      </c>
      <c r="G105" s="124">
        <v>86</v>
      </c>
      <c r="H105" s="87">
        <v>40</v>
      </c>
      <c r="I105" s="127">
        <f t="shared" si="8"/>
        <v>14.82</v>
      </c>
      <c r="J105" s="128">
        <f t="shared" si="9"/>
        <v>15.3738</v>
      </c>
      <c r="K105" s="41">
        <f t="shared" si="10"/>
        <v>186.1938</v>
      </c>
      <c r="L105" s="41">
        <f t="shared" si="11"/>
        <v>186.1938</v>
      </c>
      <c r="M105" s="135" t="s">
        <v>732</v>
      </c>
    </row>
    <row r="106" s="119" customFormat="1" ht="56.25" spans="1:13">
      <c r="A106" s="85">
        <v>9</v>
      </c>
      <c r="B106" s="123" t="s">
        <v>730</v>
      </c>
      <c r="C106" s="103" t="s">
        <v>792</v>
      </c>
      <c r="D106" s="88" t="s">
        <v>197</v>
      </c>
      <c r="E106" s="120">
        <v>1</v>
      </c>
      <c r="F106" s="124">
        <v>40</v>
      </c>
      <c r="G106" s="124">
        <v>96</v>
      </c>
      <c r="H106" s="87">
        <v>40</v>
      </c>
      <c r="I106" s="127">
        <f t="shared" si="8"/>
        <v>16.72</v>
      </c>
      <c r="J106" s="128">
        <f t="shared" si="9"/>
        <v>17.3448</v>
      </c>
      <c r="K106" s="41">
        <f t="shared" si="10"/>
        <v>210.0648</v>
      </c>
      <c r="L106" s="41">
        <f t="shared" si="11"/>
        <v>210.0648</v>
      </c>
      <c r="M106" s="135" t="s">
        <v>732</v>
      </c>
    </row>
    <row r="107" s="119" customFormat="1" ht="45" spans="1:13">
      <c r="A107" s="85">
        <v>10</v>
      </c>
      <c r="B107" s="123" t="s">
        <v>793</v>
      </c>
      <c r="C107" s="103" t="s">
        <v>794</v>
      </c>
      <c r="D107" s="88" t="s">
        <v>197</v>
      </c>
      <c r="E107" s="120">
        <v>5</v>
      </c>
      <c r="F107" s="124">
        <v>20</v>
      </c>
      <c r="G107" s="124">
        <v>76</v>
      </c>
      <c r="H107" s="87">
        <v>1</v>
      </c>
      <c r="I107" s="127">
        <f t="shared" si="8"/>
        <v>9.215</v>
      </c>
      <c r="J107" s="128">
        <f t="shared" si="9"/>
        <v>9.55935</v>
      </c>
      <c r="K107" s="41">
        <f t="shared" si="10"/>
        <v>115.77435</v>
      </c>
      <c r="L107" s="41">
        <f t="shared" si="11"/>
        <v>578.87175</v>
      </c>
      <c r="M107" s="33"/>
    </row>
    <row r="108" s="119" customFormat="1" ht="56.25" spans="1:13">
      <c r="A108" s="85">
        <v>11</v>
      </c>
      <c r="B108" s="123" t="s">
        <v>795</v>
      </c>
      <c r="C108" s="103" t="s">
        <v>796</v>
      </c>
      <c r="D108" s="88" t="s">
        <v>197</v>
      </c>
      <c r="E108" s="120">
        <v>1</v>
      </c>
      <c r="F108" s="124">
        <v>50</v>
      </c>
      <c r="G108" s="124">
        <v>80</v>
      </c>
      <c r="H108" s="87">
        <v>15</v>
      </c>
      <c r="I108" s="127">
        <f t="shared" si="8"/>
        <v>13.775</v>
      </c>
      <c r="J108" s="128">
        <f t="shared" si="9"/>
        <v>14.28975</v>
      </c>
      <c r="K108" s="41">
        <f t="shared" si="10"/>
        <v>173.06475</v>
      </c>
      <c r="L108" s="41">
        <f t="shared" si="11"/>
        <v>173.06475</v>
      </c>
      <c r="M108" s="33"/>
    </row>
    <row r="109" s="119" customFormat="1" ht="33.75" spans="1:14">
      <c r="A109" s="85">
        <v>12</v>
      </c>
      <c r="B109" s="103" t="s">
        <v>749</v>
      </c>
      <c r="C109" s="103" t="s">
        <v>750</v>
      </c>
      <c r="D109" s="98" t="s">
        <v>668</v>
      </c>
      <c r="E109" s="120">
        <v>1</v>
      </c>
      <c r="F109" s="124">
        <v>60</v>
      </c>
      <c r="G109" s="124">
        <v>320</v>
      </c>
      <c r="H109" s="87">
        <v>20</v>
      </c>
      <c r="I109" s="127">
        <f t="shared" si="8"/>
        <v>38</v>
      </c>
      <c r="J109" s="128">
        <f t="shared" si="9"/>
        <v>39.42</v>
      </c>
      <c r="K109" s="41">
        <f t="shared" si="10"/>
        <v>477.42</v>
      </c>
      <c r="L109" s="41">
        <f t="shared" si="11"/>
        <v>477.42</v>
      </c>
      <c r="M109" s="33"/>
      <c r="N109" s="130"/>
    </row>
    <row r="110" s="119" customFormat="1" ht="90" spans="1:14">
      <c r="A110" s="85">
        <v>13</v>
      </c>
      <c r="B110" s="123" t="s">
        <v>755</v>
      </c>
      <c r="C110" s="103" t="s">
        <v>797</v>
      </c>
      <c r="D110" s="88" t="s">
        <v>107</v>
      </c>
      <c r="E110" s="87">
        <v>7.97</v>
      </c>
      <c r="F110" s="124">
        <v>8</v>
      </c>
      <c r="G110" s="124">
        <v>49.6</v>
      </c>
      <c r="H110" s="87">
        <v>0.5</v>
      </c>
      <c r="I110" s="127">
        <f t="shared" si="8"/>
        <v>5.5195</v>
      </c>
      <c r="J110" s="128">
        <f t="shared" si="9"/>
        <v>5.725755</v>
      </c>
      <c r="K110" s="41">
        <f t="shared" si="10"/>
        <v>69.345255</v>
      </c>
      <c r="L110" s="41">
        <f t="shared" si="11"/>
        <v>552.68168235</v>
      </c>
      <c r="M110" s="111" t="s">
        <v>683</v>
      </c>
      <c r="N110" s="130"/>
    </row>
    <row r="111" s="119" customFormat="1" ht="90" spans="1:14">
      <c r="A111" s="85">
        <v>14</v>
      </c>
      <c r="B111" s="123" t="s">
        <v>755</v>
      </c>
      <c r="C111" s="103" t="s">
        <v>761</v>
      </c>
      <c r="D111" s="88" t="s">
        <v>107</v>
      </c>
      <c r="E111" s="87">
        <v>17.13</v>
      </c>
      <c r="F111" s="124">
        <v>8</v>
      </c>
      <c r="G111" s="124">
        <v>34.1</v>
      </c>
      <c r="H111" s="87">
        <v>0.5</v>
      </c>
      <c r="I111" s="127">
        <f t="shared" si="8"/>
        <v>4.047</v>
      </c>
      <c r="J111" s="128">
        <f t="shared" si="9"/>
        <v>4.19823</v>
      </c>
      <c r="K111" s="41">
        <f t="shared" si="10"/>
        <v>50.84523</v>
      </c>
      <c r="L111" s="41">
        <f t="shared" si="11"/>
        <v>870.9787899</v>
      </c>
      <c r="M111" s="111" t="s">
        <v>683</v>
      </c>
      <c r="N111" s="130"/>
    </row>
    <row r="112" s="119" customFormat="1" ht="90" spans="1:14">
      <c r="A112" s="85">
        <v>15</v>
      </c>
      <c r="B112" s="123" t="s">
        <v>755</v>
      </c>
      <c r="C112" s="103" t="s">
        <v>760</v>
      </c>
      <c r="D112" s="88" t="s">
        <v>107</v>
      </c>
      <c r="E112" s="87">
        <v>5.91</v>
      </c>
      <c r="F112" s="124">
        <v>5</v>
      </c>
      <c r="G112" s="124">
        <v>25.1</v>
      </c>
      <c r="H112" s="87">
        <v>0.5</v>
      </c>
      <c r="I112" s="127">
        <f t="shared" si="8"/>
        <v>2.907</v>
      </c>
      <c r="J112" s="128">
        <f t="shared" si="9"/>
        <v>3.01563</v>
      </c>
      <c r="K112" s="41">
        <f t="shared" si="10"/>
        <v>36.52263</v>
      </c>
      <c r="L112" s="41">
        <f t="shared" si="11"/>
        <v>215.8487433</v>
      </c>
      <c r="M112" s="111" t="s">
        <v>683</v>
      </c>
      <c r="N112" s="130"/>
    </row>
    <row r="113" s="119" customFormat="1" ht="112.5" spans="1:14">
      <c r="A113" s="85">
        <v>16</v>
      </c>
      <c r="B113" s="123" t="s">
        <v>798</v>
      </c>
      <c r="C113" s="103" t="s">
        <v>799</v>
      </c>
      <c r="D113" s="88" t="s">
        <v>107</v>
      </c>
      <c r="E113" s="87">
        <v>8</v>
      </c>
      <c r="F113" s="124">
        <v>15</v>
      </c>
      <c r="G113" s="124">
        <v>49.6</v>
      </c>
      <c r="H113" s="87">
        <v>0.5</v>
      </c>
      <c r="I113" s="127">
        <f t="shared" si="8"/>
        <v>6.1845</v>
      </c>
      <c r="J113" s="128">
        <f t="shared" si="9"/>
        <v>6.415605</v>
      </c>
      <c r="K113" s="41">
        <f t="shared" si="10"/>
        <v>77.700105</v>
      </c>
      <c r="L113" s="41">
        <f t="shared" si="11"/>
        <v>621.60084</v>
      </c>
      <c r="M113" s="111" t="s">
        <v>683</v>
      </c>
      <c r="N113" s="130"/>
    </row>
    <row r="114" s="119" customFormat="1" ht="67.5" spans="1:13">
      <c r="A114" s="85">
        <v>17</v>
      </c>
      <c r="B114" s="123" t="s">
        <v>800</v>
      </c>
      <c r="C114" s="103" t="s">
        <v>801</v>
      </c>
      <c r="D114" s="88" t="s">
        <v>107</v>
      </c>
      <c r="E114" s="87">
        <v>8</v>
      </c>
      <c r="F114" s="124">
        <v>8</v>
      </c>
      <c r="G114" s="124">
        <v>20.4</v>
      </c>
      <c r="H114" s="87">
        <v>0.5</v>
      </c>
      <c r="I114" s="127">
        <f t="shared" si="8"/>
        <v>2.7455</v>
      </c>
      <c r="J114" s="128">
        <f t="shared" si="9"/>
        <v>2.848095</v>
      </c>
      <c r="K114" s="41">
        <f t="shared" si="10"/>
        <v>34.493595</v>
      </c>
      <c r="L114" s="41">
        <f t="shared" si="11"/>
        <v>275.94876</v>
      </c>
      <c r="M114" s="111" t="s">
        <v>683</v>
      </c>
    </row>
    <row r="115" s="119" customFormat="1" ht="56.25" spans="1:13">
      <c r="A115" s="85">
        <v>18</v>
      </c>
      <c r="B115" s="123" t="s">
        <v>802</v>
      </c>
      <c r="C115" s="103" t="s">
        <v>803</v>
      </c>
      <c r="D115" s="88" t="s">
        <v>107</v>
      </c>
      <c r="E115" s="87">
        <v>14.98</v>
      </c>
      <c r="F115" s="124">
        <v>12</v>
      </c>
      <c r="G115" s="124">
        <v>134.5</v>
      </c>
      <c r="H115" s="87">
        <v>1</v>
      </c>
      <c r="I115" s="127">
        <f t="shared" si="8"/>
        <v>14.0125</v>
      </c>
      <c r="J115" s="128">
        <f t="shared" si="9"/>
        <v>14.536125</v>
      </c>
      <c r="K115" s="41">
        <f t="shared" si="10"/>
        <v>176.048625</v>
      </c>
      <c r="L115" s="41">
        <f t="shared" si="11"/>
        <v>2637.2084025</v>
      </c>
      <c r="M115" s="111" t="s">
        <v>683</v>
      </c>
    </row>
    <row r="116" s="119" customFormat="1" ht="45" spans="1:14">
      <c r="A116" s="85">
        <v>19</v>
      </c>
      <c r="B116" s="123" t="s">
        <v>70</v>
      </c>
      <c r="C116" s="103" t="s">
        <v>766</v>
      </c>
      <c r="D116" s="88" t="s">
        <v>72</v>
      </c>
      <c r="E116" s="87">
        <v>9.3</v>
      </c>
      <c r="F116" s="121">
        <f>F91</f>
        <v>3</v>
      </c>
      <c r="G116" s="101"/>
      <c r="H116" s="87">
        <f>H91</f>
        <v>7</v>
      </c>
      <c r="I116" s="127">
        <f t="shared" si="8"/>
        <v>0.95</v>
      </c>
      <c r="J116" s="128">
        <f t="shared" si="9"/>
        <v>0.9855</v>
      </c>
      <c r="K116" s="41">
        <f t="shared" si="10"/>
        <v>11.9355</v>
      </c>
      <c r="L116" s="41">
        <f t="shared" si="11"/>
        <v>111.00015</v>
      </c>
      <c r="M116" s="33"/>
      <c r="N116" s="130"/>
    </row>
    <row r="117" s="119" customFormat="1" ht="45" spans="1:14">
      <c r="A117" s="85">
        <v>20</v>
      </c>
      <c r="B117" s="123" t="s">
        <v>704</v>
      </c>
      <c r="C117" s="103" t="s">
        <v>804</v>
      </c>
      <c r="D117" s="88" t="s">
        <v>72</v>
      </c>
      <c r="E117" s="87">
        <v>9.3</v>
      </c>
      <c r="F117" s="121">
        <f>F92</f>
        <v>3</v>
      </c>
      <c r="G117" s="101"/>
      <c r="H117" s="87">
        <f>H92</f>
        <v>8</v>
      </c>
      <c r="I117" s="127">
        <f t="shared" si="8"/>
        <v>1.045</v>
      </c>
      <c r="J117" s="128">
        <f t="shared" si="9"/>
        <v>1.08405</v>
      </c>
      <c r="K117" s="41">
        <f t="shared" si="10"/>
        <v>13.12905</v>
      </c>
      <c r="L117" s="41">
        <f t="shared" si="11"/>
        <v>122.100165</v>
      </c>
      <c r="M117" s="33"/>
      <c r="N117" s="130"/>
    </row>
    <row r="118" s="119" customFormat="1" spans="1:13">
      <c r="A118" s="40" t="s">
        <v>805</v>
      </c>
      <c r="B118" s="40"/>
      <c r="C118" s="40"/>
      <c r="D118" s="40"/>
      <c r="E118" s="40"/>
      <c r="F118" s="40"/>
      <c r="G118" s="40"/>
      <c r="H118" s="87"/>
      <c r="I118" s="125"/>
      <c r="J118" s="126"/>
      <c r="K118" s="109"/>
      <c r="L118" s="90">
        <f>SUM(L6:L117)</f>
        <v>415896.157133171</v>
      </c>
      <c r="M118" s="138"/>
    </row>
    <row r="119" ht="96" customHeight="1" spans="1:14">
      <c r="A119" s="50"/>
      <c r="B119" s="51"/>
      <c r="C119" s="51"/>
      <c r="D119" s="51"/>
      <c r="E119" s="52"/>
      <c r="F119" s="53"/>
      <c r="G119" s="53"/>
      <c r="H119" s="53"/>
      <c r="I119" s="53"/>
      <c r="J119" s="53"/>
      <c r="K119" s="53"/>
      <c r="L119" s="53"/>
      <c r="M119" s="139"/>
      <c r="N119" s="51"/>
    </row>
  </sheetData>
  <sheetProtection formatCells="0" insertHyperlinks="0" autoFilter="0"/>
  <protectedRanges>
    <protectedRange sqref="F73:G74 F74:G74" name="区域3_9"/>
    <protectedRange sqref="F83:G83" name="区域3_11"/>
    <protectedRange sqref="F112:G112" name="区域3_11_1"/>
    <protectedRange sqref="F101:G101" name="区域3_13"/>
    <protectedRange sqref="F104:G106" name="区域3_15"/>
    <protectedRange sqref="F115:H115" name="区域3_8"/>
    <protectedRange sqref="F73:G74 F74:G74" name="区域3_9_1"/>
    <protectedRange sqref="F83:G83" name="区域3_11_2"/>
    <protectedRange sqref="F112:G112" name="区域3_11_1_2"/>
    <protectedRange sqref="F101:G101" name="区域3_13_1"/>
    <protectedRange sqref="F104:G106" name="区域3_15_5"/>
    <protectedRange sqref="F115:H115" name="区域3_8_1"/>
    <protectedRange sqref="F67:G69" name="区域3_7_2_2"/>
    <protectedRange sqref="F73:G74 F108:G108" name="区域3_9_3"/>
    <protectedRange sqref="H83" name="区域3_10_3_2"/>
    <protectedRange sqref="F83:G83" name="区域3_11_3_1"/>
    <protectedRange sqref="H112" name="区域3_10_1_2_2"/>
    <protectedRange sqref="F112:G112" name="区域3_11_1_2_2"/>
    <protectedRange sqref="F100:G101" name="区域3_12_2_2"/>
    <protectedRange sqref="F102:G103" name="区域3_14_2_1"/>
    <protectedRange sqref="F104:G106" name="区域3_15_2_3"/>
    <protectedRange sqref="F115:H115" name="区域3_8_2"/>
  </protectedRanges>
  <autoFilter ref="A4:M119">
    <extLst/>
  </autoFilter>
  <mergeCells count="20">
    <mergeCell ref="A1:M1"/>
    <mergeCell ref="F2:J2"/>
    <mergeCell ref="B5:C5"/>
    <mergeCell ref="B46:C46"/>
    <mergeCell ref="B63:C63"/>
    <mergeCell ref="B90:C90"/>
    <mergeCell ref="B97:C97"/>
    <mergeCell ref="A118:G118"/>
    <mergeCell ref="A119:M119"/>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scale="6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52"/>
  <sheetViews>
    <sheetView tabSelected="1" topLeftCell="A6" workbookViewId="0">
      <selection activeCell="Q10" sqref="Q10"/>
    </sheetView>
  </sheetViews>
  <sheetFormatPr defaultColWidth="10.2857142857143" defaultRowHeight="14.25"/>
  <cols>
    <col min="1" max="1" width="4.42857142857143" style="70" customWidth="1"/>
    <col min="2" max="2" width="17.8571428571429" style="70" customWidth="1"/>
    <col min="3" max="3" width="33.8571428571429" style="70" customWidth="1"/>
    <col min="4" max="4" width="5.33333333333333" style="70" customWidth="1"/>
    <col min="5" max="5" width="10.1428571428571" style="70" customWidth="1"/>
    <col min="6" max="6" width="10.5714285714286" style="70" customWidth="1"/>
    <col min="7" max="7" width="8.71428571428571" style="70" customWidth="1"/>
    <col min="8" max="8" width="11.5714285714286" style="70" customWidth="1"/>
    <col min="9" max="9" width="16" style="70" customWidth="1"/>
    <col min="10" max="10" width="11.8571428571429" style="70" customWidth="1"/>
    <col min="11" max="11" width="15.2857142857143" style="70" customWidth="1"/>
    <col min="12" max="12" width="13.4285714285714" style="70" customWidth="1"/>
    <col min="13" max="13" width="12.4285714285714" style="70" customWidth="1"/>
    <col min="14" max="16384" width="10.2857142857143" style="70"/>
  </cols>
  <sheetData>
    <row r="1" s="70" customFormat="1" ht="33.95" customHeight="1" spans="1:13">
      <c r="A1" s="72" t="s">
        <v>806</v>
      </c>
      <c r="B1" s="72"/>
      <c r="C1" s="72"/>
      <c r="D1" s="72"/>
      <c r="E1" s="72"/>
      <c r="F1" s="72"/>
      <c r="G1" s="72"/>
      <c r="H1" s="72"/>
      <c r="I1" s="72"/>
      <c r="J1" s="72"/>
      <c r="K1" s="72"/>
      <c r="L1" s="72"/>
      <c r="M1" s="72"/>
    </row>
    <row r="2" s="70" customFormat="1" ht="12.95" customHeight="1" spans="1:13">
      <c r="A2" s="73" t="s">
        <v>56</v>
      </c>
      <c r="B2" s="74" t="s">
        <v>623</v>
      </c>
      <c r="C2" s="74" t="s">
        <v>624</v>
      </c>
      <c r="D2" s="74" t="s">
        <v>41</v>
      </c>
      <c r="E2" s="75" t="s">
        <v>58</v>
      </c>
      <c r="F2" s="76" t="s">
        <v>59</v>
      </c>
      <c r="G2" s="77"/>
      <c r="H2" s="77"/>
      <c r="I2" s="77"/>
      <c r="J2" s="106"/>
      <c r="K2" s="35" t="s">
        <v>625</v>
      </c>
      <c r="L2" s="35" t="s">
        <v>61</v>
      </c>
      <c r="M2" s="35" t="s">
        <v>626</v>
      </c>
    </row>
    <row r="3" s="70" customFormat="1" ht="35.1" customHeight="1" spans="1:13">
      <c r="A3" s="78"/>
      <c r="B3" s="79"/>
      <c r="C3" s="79"/>
      <c r="D3" s="79"/>
      <c r="E3" s="80"/>
      <c r="F3" s="35" t="s">
        <v>63</v>
      </c>
      <c r="G3" s="35" t="s">
        <v>64</v>
      </c>
      <c r="H3" s="35" t="s">
        <v>65</v>
      </c>
      <c r="I3" s="33" t="s">
        <v>627</v>
      </c>
      <c r="J3" s="33" t="s">
        <v>628</v>
      </c>
      <c r="K3" s="36"/>
      <c r="L3" s="36"/>
      <c r="M3" s="36"/>
    </row>
    <row r="4" s="70" customFormat="1" ht="17" customHeight="1" spans="1:13">
      <c r="A4" s="81"/>
      <c r="B4" s="82"/>
      <c r="C4" s="82"/>
      <c r="D4" s="82"/>
      <c r="E4" s="83"/>
      <c r="F4" s="84"/>
      <c r="G4" s="84"/>
      <c r="H4" s="84"/>
      <c r="I4" s="107">
        <v>0.095</v>
      </c>
      <c r="J4" s="59">
        <v>0.09</v>
      </c>
      <c r="K4" s="84"/>
      <c r="L4" s="84"/>
      <c r="M4" s="84"/>
    </row>
    <row r="5" s="70" customFormat="1" spans="1:13">
      <c r="A5" s="85" t="s">
        <v>68</v>
      </c>
      <c r="B5" s="86" t="s">
        <v>807</v>
      </c>
      <c r="C5" s="86"/>
      <c r="D5" s="85"/>
      <c r="E5" s="85"/>
      <c r="F5" s="87"/>
      <c r="G5" s="88"/>
      <c r="H5" s="87"/>
      <c r="I5" s="40"/>
      <c r="J5" s="108"/>
      <c r="K5" s="109"/>
      <c r="L5" s="109"/>
      <c r="M5" s="109"/>
    </row>
    <row r="6" s="70" customFormat="1" ht="101.25" spans="1:14">
      <c r="A6" s="85">
        <v>1</v>
      </c>
      <c r="B6" s="85" t="s">
        <v>808</v>
      </c>
      <c r="C6" s="89" t="s">
        <v>809</v>
      </c>
      <c r="D6" s="88" t="s">
        <v>107</v>
      </c>
      <c r="E6" s="87">
        <v>155.57</v>
      </c>
      <c r="F6" s="90">
        <v>35</v>
      </c>
      <c r="G6" s="90">
        <v>100</v>
      </c>
      <c r="H6" s="90">
        <v>20</v>
      </c>
      <c r="I6" s="60">
        <f>(F6+G6+H6)*$I$4</f>
        <v>14.725</v>
      </c>
      <c r="J6" s="110">
        <f>(F6+G6+H6+I6)*$J$4</f>
        <v>15.27525</v>
      </c>
      <c r="K6" s="33">
        <f t="shared" ref="K6:K23" si="0">F6+G6+H6+I6+J6</f>
        <v>185.00025</v>
      </c>
      <c r="L6" s="33">
        <f t="shared" ref="L6:L11" si="1">K6*E6</f>
        <v>28780.4888925</v>
      </c>
      <c r="M6" s="111" t="s">
        <v>683</v>
      </c>
      <c r="N6" s="112"/>
    </row>
    <row r="7" s="70" customFormat="1" ht="101.25" spans="1:13">
      <c r="A7" s="85">
        <v>2</v>
      </c>
      <c r="B7" s="85" t="s">
        <v>808</v>
      </c>
      <c r="C7" s="89" t="s">
        <v>810</v>
      </c>
      <c r="D7" s="88" t="s">
        <v>107</v>
      </c>
      <c r="E7" s="87">
        <v>137.29</v>
      </c>
      <c r="F7" s="90">
        <v>20</v>
      </c>
      <c r="G7" s="90">
        <v>60</v>
      </c>
      <c r="H7" s="90">
        <v>15</v>
      </c>
      <c r="I7" s="60">
        <f>(F7+G7+H7)*$I$4</f>
        <v>9.025</v>
      </c>
      <c r="J7" s="110">
        <f>(F7+G7+H7+I7)*$J$4</f>
        <v>9.36225</v>
      </c>
      <c r="K7" s="33">
        <f t="shared" si="0"/>
        <v>113.38725</v>
      </c>
      <c r="L7" s="33">
        <f t="shared" si="1"/>
        <v>15566.9355525</v>
      </c>
      <c r="M7" s="111" t="s">
        <v>683</v>
      </c>
    </row>
    <row r="8" s="70" customFormat="1" ht="101.25" spans="1:13">
      <c r="A8" s="85">
        <v>3</v>
      </c>
      <c r="B8" s="85" t="s">
        <v>808</v>
      </c>
      <c r="C8" s="89" t="s">
        <v>811</v>
      </c>
      <c r="D8" s="88" t="s">
        <v>107</v>
      </c>
      <c r="E8" s="87">
        <v>190.43</v>
      </c>
      <c r="F8" s="90">
        <v>10</v>
      </c>
      <c r="G8" s="90">
        <v>46.5</v>
      </c>
      <c r="H8" s="90">
        <v>10</v>
      </c>
      <c r="I8" s="60">
        <f>(F8+G8+H8)*$I$4</f>
        <v>6.3175</v>
      </c>
      <c r="J8" s="110">
        <f>(F8+G8+H8+I8)*$J$4</f>
        <v>6.553575</v>
      </c>
      <c r="K8" s="33">
        <f t="shared" si="0"/>
        <v>79.371075</v>
      </c>
      <c r="L8" s="33">
        <f t="shared" si="1"/>
        <v>15114.63381225</v>
      </c>
      <c r="M8" s="111" t="s">
        <v>683</v>
      </c>
    </row>
    <row r="9" s="70" customFormat="1" ht="67.5" spans="1:13">
      <c r="A9" s="85">
        <v>4</v>
      </c>
      <c r="B9" s="85" t="s">
        <v>808</v>
      </c>
      <c r="C9" s="89" t="s">
        <v>812</v>
      </c>
      <c r="D9" s="88" t="s">
        <v>107</v>
      </c>
      <c r="E9" s="87">
        <f>634.59+13.89</f>
        <v>648.48</v>
      </c>
      <c r="F9" s="90">
        <v>10</v>
      </c>
      <c r="G9" s="90">
        <f>50*0+35</f>
        <v>35</v>
      </c>
      <c r="H9" s="90">
        <v>7</v>
      </c>
      <c r="I9" s="60">
        <f>(F9+G9+H9)*$I$4</f>
        <v>4.94</v>
      </c>
      <c r="J9" s="110">
        <f>(F9+G9+H9+I9)*$J$4</f>
        <v>5.1246</v>
      </c>
      <c r="K9" s="33">
        <f t="shared" si="0"/>
        <v>62.0646</v>
      </c>
      <c r="L9" s="33">
        <f t="shared" si="1"/>
        <v>40247.651808</v>
      </c>
      <c r="M9" s="111" t="s">
        <v>683</v>
      </c>
    </row>
    <row r="10" s="71" customFormat="1" ht="63" customHeight="1" spans="1:13">
      <c r="A10" s="91">
        <v>5</v>
      </c>
      <c r="B10" s="92" t="s">
        <v>813</v>
      </c>
      <c r="C10" s="93" t="s">
        <v>814</v>
      </c>
      <c r="D10" s="94" t="s">
        <v>668</v>
      </c>
      <c r="E10" s="95">
        <v>8</v>
      </c>
      <c r="F10" s="96">
        <v>120</v>
      </c>
      <c r="G10" s="97">
        <v>330</v>
      </c>
      <c r="H10" s="95">
        <v>80</v>
      </c>
      <c r="I10" s="113">
        <v>30.21</v>
      </c>
      <c r="J10" s="114">
        <v>50.4189</v>
      </c>
      <c r="K10" s="115">
        <v>610.6289</v>
      </c>
      <c r="L10" s="33">
        <f t="shared" si="1"/>
        <v>4885.0312</v>
      </c>
      <c r="M10" s="116"/>
    </row>
    <row r="11" s="71" customFormat="1" ht="63" customHeight="1" spans="1:13">
      <c r="A11" s="91">
        <v>6</v>
      </c>
      <c r="B11" s="92" t="s">
        <v>813</v>
      </c>
      <c r="C11" s="93" t="s">
        <v>815</v>
      </c>
      <c r="D11" s="94" t="s">
        <v>668</v>
      </c>
      <c r="E11" s="95">
        <v>11</v>
      </c>
      <c r="F11" s="96">
        <v>150</v>
      </c>
      <c r="G11" s="97">
        <v>400</v>
      </c>
      <c r="H11" s="95">
        <v>90</v>
      </c>
      <c r="I11" s="113">
        <v>36.48</v>
      </c>
      <c r="J11" s="114">
        <v>60.8832</v>
      </c>
      <c r="K11" s="115">
        <v>737.3632</v>
      </c>
      <c r="L11" s="33">
        <f t="shared" si="1"/>
        <v>8110.9952</v>
      </c>
      <c r="M11" s="116"/>
    </row>
    <row r="12" s="70" customFormat="1" ht="46" customHeight="1" spans="1:13">
      <c r="A12" s="85">
        <v>7</v>
      </c>
      <c r="B12" s="98" t="s">
        <v>816</v>
      </c>
      <c r="C12" s="89" t="s">
        <v>817</v>
      </c>
      <c r="D12" s="98" t="s">
        <v>214</v>
      </c>
      <c r="E12" s="87">
        <v>10</v>
      </c>
      <c r="F12" s="85">
        <v>30</v>
      </c>
      <c r="G12" s="85">
        <v>187</v>
      </c>
      <c r="H12" s="85">
        <v>20</v>
      </c>
      <c r="I12" s="60">
        <f>(F12+G12+H12)*$I$4</f>
        <v>22.515</v>
      </c>
      <c r="J12" s="110">
        <f>(F12+G12+H12+I12)*$J$4</f>
        <v>23.35635</v>
      </c>
      <c r="K12" s="33">
        <f t="shared" si="0"/>
        <v>282.87135</v>
      </c>
      <c r="L12" s="33">
        <f t="shared" ref="L12:L23" si="2">K12*E12</f>
        <v>2828.7135</v>
      </c>
      <c r="M12" s="117"/>
    </row>
    <row r="13" s="70" customFormat="1" ht="34.5" customHeight="1" spans="1:13">
      <c r="A13" s="85">
        <v>8</v>
      </c>
      <c r="B13" s="98" t="s">
        <v>818</v>
      </c>
      <c r="C13" s="89" t="s">
        <v>819</v>
      </c>
      <c r="D13" s="98" t="s">
        <v>214</v>
      </c>
      <c r="E13" s="87">
        <v>9</v>
      </c>
      <c r="F13" s="85">
        <v>30</v>
      </c>
      <c r="G13" s="85">
        <v>600</v>
      </c>
      <c r="H13" s="85">
        <v>20</v>
      </c>
      <c r="I13" s="60">
        <f>(F13+G13+H13)*$I$4</f>
        <v>61.75</v>
      </c>
      <c r="J13" s="110">
        <f>(F13+G13+H13+I13)*$J$4</f>
        <v>64.0575</v>
      </c>
      <c r="K13" s="33">
        <f t="shared" si="0"/>
        <v>775.8075</v>
      </c>
      <c r="L13" s="33">
        <f t="shared" si="2"/>
        <v>6982.2675</v>
      </c>
      <c r="M13" s="117"/>
    </row>
    <row r="14" s="70" customFormat="1" ht="30" customHeight="1" spans="1:13">
      <c r="A14" s="85">
        <v>9</v>
      </c>
      <c r="B14" s="85" t="s">
        <v>820</v>
      </c>
      <c r="C14" s="99" t="s">
        <v>821</v>
      </c>
      <c r="D14" s="85" t="s">
        <v>668</v>
      </c>
      <c r="E14" s="87">
        <v>17</v>
      </c>
      <c r="F14" s="85">
        <v>80</v>
      </c>
      <c r="G14" s="85">
        <v>200</v>
      </c>
      <c r="H14" s="85">
        <v>4</v>
      </c>
      <c r="I14" s="60">
        <f>(F14+G14+H14)*$I$4</f>
        <v>26.98</v>
      </c>
      <c r="J14" s="110">
        <f>(F14+G14+H14+I14)*$J$4</f>
        <v>27.9882</v>
      </c>
      <c r="K14" s="33">
        <f t="shared" si="0"/>
        <v>338.9682</v>
      </c>
      <c r="L14" s="33">
        <f t="shared" si="2"/>
        <v>5762.4594</v>
      </c>
      <c r="M14" s="117"/>
    </row>
    <row r="15" s="70" customFormat="1" ht="33" customHeight="1" spans="1:13">
      <c r="A15" s="85">
        <v>10</v>
      </c>
      <c r="B15" s="98" t="s">
        <v>822</v>
      </c>
      <c r="C15" s="89" t="s">
        <v>821</v>
      </c>
      <c r="D15" s="98" t="s">
        <v>668</v>
      </c>
      <c r="E15" s="87">
        <v>29</v>
      </c>
      <c r="F15" s="100">
        <v>190</v>
      </c>
      <c r="G15" s="101">
        <v>220</v>
      </c>
      <c r="H15" s="87">
        <v>4</v>
      </c>
      <c r="I15" s="60">
        <f>(F15+G15+H15)*$I$4</f>
        <v>39.33</v>
      </c>
      <c r="J15" s="110">
        <f>(F15+G15+H15+I15)*$J$4</f>
        <v>40.7997</v>
      </c>
      <c r="K15" s="33">
        <f t="shared" si="0"/>
        <v>494.1297</v>
      </c>
      <c r="L15" s="33">
        <f t="shared" si="2"/>
        <v>14329.7613</v>
      </c>
      <c r="M15" s="117"/>
    </row>
    <row r="16" s="70" customFormat="1" ht="33.75" spans="1:13">
      <c r="A16" s="85">
        <v>11</v>
      </c>
      <c r="B16" s="88" t="s">
        <v>70</v>
      </c>
      <c r="C16" s="89" t="s">
        <v>823</v>
      </c>
      <c r="D16" s="88" t="s">
        <v>72</v>
      </c>
      <c r="E16" s="87">
        <v>925.9</v>
      </c>
      <c r="F16" s="100">
        <f>[1]硬质铺装!F6</f>
        <v>3</v>
      </c>
      <c r="G16" s="101">
        <v>0</v>
      </c>
      <c r="H16" s="87">
        <f>[1]硬质铺装!H6</f>
        <v>7</v>
      </c>
      <c r="I16" s="60">
        <f>(F16+G16+H16)*$I$4</f>
        <v>0.95</v>
      </c>
      <c r="J16" s="110">
        <f>(F16+G16+H16+I16)*$J$4</f>
        <v>0.9855</v>
      </c>
      <c r="K16" s="33">
        <f t="shared" si="0"/>
        <v>11.9355</v>
      </c>
      <c r="L16" s="33">
        <f t="shared" si="2"/>
        <v>11051.07945</v>
      </c>
      <c r="M16" s="90"/>
    </row>
    <row r="17" s="70" customFormat="1" ht="22.5" spans="1:13">
      <c r="A17" s="85">
        <v>12</v>
      </c>
      <c r="B17" s="88" t="s">
        <v>704</v>
      </c>
      <c r="C17" s="89" t="s">
        <v>767</v>
      </c>
      <c r="D17" s="88" t="s">
        <v>72</v>
      </c>
      <c r="E17" s="87">
        <f>E16-E18</f>
        <v>868.25</v>
      </c>
      <c r="F17" s="100">
        <v>11</v>
      </c>
      <c r="G17" s="101">
        <v>0</v>
      </c>
      <c r="H17" s="87"/>
      <c r="I17" s="60">
        <f>(F17+G17+H17)*$I$4</f>
        <v>1.045</v>
      </c>
      <c r="J17" s="110">
        <f>(F17+G17+H17+I17)*$J$4</f>
        <v>1.08405</v>
      </c>
      <c r="K17" s="33">
        <f t="shared" si="0"/>
        <v>13.12905</v>
      </c>
      <c r="L17" s="33">
        <f t="shared" si="2"/>
        <v>11399.2976625</v>
      </c>
      <c r="M17" s="90"/>
    </row>
    <row r="18" s="70" customFormat="1" ht="38" customHeight="1" spans="1:13">
      <c r="A18" s="85">
        <v>13</v>
      </c>
      <c r="B18" s="85" t="s">
        <v>768</v>
      </c>
      <c r="C18" s="89" t="s">
        <v>769</v>
      </c>
      <c r="D18" s="85" t="s">
        <v>72</v>
      </c>
      <c r="E18" s="87">
        <v>57.65</v>
      </c>
      <c r="F18" s="87">
        <v>11</v>
      </c>
      <c r="G18" s="33">
        <v>112</v>
      </c>
      <c r="H18" s="87"/>
      <c r="I18" s="60">
        <f>(F18+G18+H18)*$I$4</f>
        <v>11.685</v>
      </c>
      <c r="J18" s="110">
        <f>(F18+G18+H18+I18)*$J$4</f>
        <v>12.12165</v>
      </c>
      <c r="K18" s="33">
        <f t="shared" si="0"/>
        <v>146.80665</v>
      </c>
      <c r="L18" s="33">
        <f t="shared" si="2"/>
        <v>8463.4033725</v>
      </c>
      <c r="M18" s="90"/>
    </row>
    <row r="19" s="70" customFormat="1" ht="41.25" customHeight="1" spans="1:13">
      <c r="A19" s="85">
        <v>14</v>
      </c>
      <c r="B19" s="85" t="s">
        <v>824</v>
      </c>
      <c r="C19" s="89" t="s">
        <v>825</v>
      </c>
      <c r="D19" s="85" t="s">
        <v>72</v>
      </c>
      <c r="E19" s="87">
        <f>3.05+6.84</f>
        <v>9.89</v>
      </c>
      <c r="F19" s="87">
        <v>80</v>
      </c>
      <c r="G19" s="102">
        <v>300</v>
      </c>
      <c r="H19" s="102">
        <f>(10+25)*5</f>
        <v>175</v>
      </c>
      <c r="I19" s="60">
        <f>(F19+G19+H19)*$I$4</f>
        <v>52.725</v>
      </c>
      <c r="J19" s="110">
        <f>(F19+G19+H19+I19)*$J$4</f>
        <v>54.69525</v>
      </c>
      <c r="K19" s="33">
        <f t="shared" si="0"/>
        <v>662.42025</v>
      </c>
      <c r="L19" s="33">
        <f t="shared" si="2"/>
        <v>6551.3362725</v>
      </c>
      <c r="M19" s="90"/>
    </row>
    <row r="20" s="70" customFormat="1" ht="78.75" spans="1:13">
      <c r="A20" s="85">
        <v>15</v>
      </c>
      <c r="B20" s="85" t="s">
        <v>826</v>
      </c>
      <c r="C20" s="89" t="s">
        <v>827</v>
      </c>
      <c r="D20" s="85" t="s">
        <v>107</v>
      </c>
      <c r="E20" s="87">
        <v>15.43</v>
      </c>
      <c r="F20" s="87">
        <v>80</v>
      </c>
      <c r="G20" s="33">
        <v>515.55</v>
      </c>
      <c r="H20" s="87">
        <v>20</v>
      </c>
      <c r="I20" s="60">
        <f>(F20+G20+H20)*$I$4</f>
        <v>58.47725</v>
      </c>
      <c r="J20" s="110">
        <f>(F20+G20+H20+I20)*$J$4</f>
        <v>60.6624525</v>
      </c>
      <c r="K20" s="33">
        <f t="shared" si="0"/>
        <v>734.6897025</v>
      </c>
      <c r="L20" s="33">
        <f t="shared" si="2"/>
        <v>11336.262109575</v>
      </c>
      <c r="M20" s="90"/>
    </row>
    <row r="21" s="70" customFormat="1" spans="1:13">
      <c r="A21" s="85" t="s">
        <v>110</v>
      </c>
      <c r="B21" s="86" t="s">
        <v>828</v>
      </c>
      <c r="C21" s="86"/>
      <c r="D21" s="85"/>
      <c r="E21" s="87"/>
      <c r="F21" s="87"/>
      <c r="G21" s="33"/>
      <c r="H21" s="87"/>
      <c r="I21" s="60">
        <f>(F21+G21+H21)*$I$4</f>
        <v>0</v>
      </c>
      <c r="J21" s="110">
        <f>(F21+G21+H21+I21)*$J$4</f>
        <v>0</v>
      </c>
      <c r="K21" s="33">
        <f t="shared" si="0"/>
        <v>0</v>
      </c>
      <c r="L21" s="33">
        <f t="shared" si="2"/>
        <v>0</v>
      </c>
      <c r="M21" s="90"/>
    </row>
    <row r="22" s="70" customFormat="1" ht="101.25" spans="1:13">
      <c r="A22" s="85">
        <v>1</v>
      </c>
      <c r="B22" s="85" t="s">
        <v>808</v>
      </c>
      <c r="C22" s="89" t="s">
        <v>829</v>
      </c>
      <c r="D22" s="88" t="s">
        <v>107</v>
      </c>
      <c r="E22" s="87">
        <v>629.38</v>
      </c>
      <c r="F22" s="90">
        <v>10</v>
      </c>
      <c r="G22" s="90">
        <f>50*0+35</f>
        <v>35</v>
      </c>
      <c r="H22" s="90">
        <v>7</v>
      </c>
      <c r="I22" s="60">
        <f>(F22+G22+H22)*$I$4</f>
        <v>4.94</v>
      </c>
      <c r="J22" s="110">
        <f>(F22+G22+H22+I22)*$J$4</f>
        <v>5.1246</v>
      </c>
      <c r="K22" s="33">
        <f t="shared" si="0"/>
        <v>62.0646</v>
      </c>
      <c r="L22" s="33">
        <f t="shared" si="2"/>
        <v>39062.217948</v>
      </c>
      <c r="M22" s="111" t="s">
        <v>683</v>
      </c>
    </row>
    <row r="23" s="70" customFormat="1" ht="45" spans="1:13">
      <c r="A23" s="91">
        <v>2</v>
      </c>
      <c r="B23" s="92" t="s">
        <v>813</v>
      </c>
      <c r="C23" s="93" t="s">
        <v>814</v>
      </c>
      <c r="D23" s="94" t="s">
        <v>668</v>
      </c>
      <c r="E23" s="95">
        <v>71</v>
      </c>
      <c r="F23" s="96">
        <v>120</v>
      </c>
      <c r="G23" s="97">
        <v>330</v>
      </c>
      <c r="H23" s="95">
        <v>80</v>
      </c>
      <c r="I23" s="113">
        <v>30.21</v>
      </c>
      <c r="J23" s="114">
        <v>50.4189</v>
      </c>
      <c r="K23" s="118">
        <v>610.6289</v>
      </c>
      <c r="L23" s="33">
        <f t="shared" si="2"/>
        <v>43354.6519</v>
      </c>
      <c r="M23" s="118"/>
    </row>
    <row r="24" s="70" customFormat="1" ht="36.75" customHeight="1" spans="1:13">
      <c r="A24" s="85">
        <v>3</v>
      </c>
      <c r="B24" s="98" t="s">
        <v>830</v>
      </c>
      <c r="C24" s="89" t="s">
        <v>831</v>
      </c>
      <c r="D24" s="98" t="s">
        <v>214</v>
      </c>
      <c r="E24" s="87">
        <v>65</v>
      </c>
      <c r="F24" s="85">
        <v>30</v>
      </c>
      <c r="G24" s="85">
        <v>187</v>
      </c>
      <c r="H24" s="87">
        <v>20</v>
      </c>
      <c r="I24" s="60">
        <f t="shared" ref="I24:I42" si="3">(F24+G24+H24)*$I$4</f>
        <v>22.515</v>
      </c>
      <c r="J24" s="110">
        <f t="shared" ref="J24:J42" si="4">(F24+G24+H24+I24)*$J$4</f>
        <v>23.35635</v>
      </c>
      <c r="K24" s="33">
        <f t="shared" ref="K24:K42" si="5">F24+G24+H24+I24+J24</f>
        <v>282.87135</v>
      </c>
      <c r="L24" s="33">
        <f t="shared" ref="L24:L42" si="6">K24*E24</f>
        <v>18386.63775</v>
      </c>
      <c r="M24" s="90"/>
    </row>
    <row r="25" s="70" customFormat="1" ht="36.75" customHeight="1" spans="1:13">
      <c r="A25" s="85">
        <v>4</v>
      </c>
      <c r="B25" s="98" t="s">
        <v>832</v>
      </c>
      <c r="C25" s="89" t="s">
        <v>833</v>
      </c>
      <c r="D25" s="98" t="s">
        <v>214</v>
      </c>
      <c r="E25" s="87">
        <v>6</v>
      </c>
      <c r="F25" s="85">
        <v>30</v>
      </c>
      <c r="G25" s="85">
        <v>600</v>
      </c>
      <c r="H25" s="87">
        <v>20</v>
      </c>
      <c r="I25" s="60">
        <f t="shared" si="3"/>
        <v>61.75</v>
      </c>
      <c r="J25" s="110">
        <f t="shared" si="4"/>
        <v>64.0575</v>
      </c>
      <c r="K25" s="33">
        <f t="shared" si="5"/>
        <v>775.8075</v>
      </c>
      <c r="L25" s="33">
        <f t="shared" si="6"/>
        <v>4654.845</v>
      </c>
      <c r="M25" s="90"/>
    </row>
    <row r="26" s="70" customFormat="1" ht="38.25" customHeight="1" spans="1:13">
      <c r="A26" s="85">
        <v>5</v>
      </c>
      <c r="B26" s="88" t="s">
        <v>70</v>
      </c>
      <c r="C26" s="89" t="s">
        <v>834</v>
      </c>
      <c r="D26" s="88" t="s">
        <v>72</v>
      </c>
      <c r="E26" s="87">
        <v>1094.84</v>
      </c>
      <c r="F26" s="100">
        <f>F16</f>
        <v>3</v>
      </c>
      <c r="G26" s="101">
        <v>0</v>
      </c>
      <c r="H26" s="87">
        <f>H16</f>
        <v>7</v>
      </c>
      <c r="I26" s="60">
        <f t="shared" si="3"/>
        <v>0.95</v>
      </c>
      <c r="J26" s="110">
        <f t="shared" si="4"/>
        <v>0.9855</v>
      </c>
      <c r="K26" s="33">
        <f t="shared" si="5"/>
        <v>11.9355</v>
      </c>
      <c r="L26" s="33">
        <f t="shared" si="6"/>
        <v>13067.46282</v>
      </c>
      <c r="M26" s="90"/>
    </row>
    <row r="27" s="70" customFormat="1" ht="26.25" customHeight="1" spans="1:13">
      <c r="A27" s="85">
        <v>6</v>
      </c>
      <c r="B27" s="88" t="s">
        <v>704</v>
      </c>
      <c r="C27" s="89" t="s">
        <v>767</v>
      </c>
      <c r="D27" s="88" t="s">
        <v>72</v>
      </c>
      <c r="E27" s="87">
        <f>E26-E28</f>
        <v>1025.61</v>
      </c>
      <c r="F27" s="100">
        <v>11</v>
      </c>
      <c r="G27" s="101">
        <v>0</v>
      </c>
      <c r="H27" s="87"/>
      <c r="I27" s="60">
        <f t="shared" si="3"/>
        <v>1.045</v>
      </c>
      <c r="J27" s="110">
        <f t="shared" si="4"/>
        <v>1.08405</v>
      </c>
      <c r="K27" s="33">
        <f t="shared" si="5"/>
        <v>13.12905</v>
      </c>
      <c r="L27" s="33">
        <f t="shared" si="6"/>
        <v>13465.2849705</v>
      </c>
      <c r="M27" s="90"/>
    </row>
    <row r="28" s="70" customFormat="1" ht="30.75" customHeight="1" spans="1:13">
      <c r="A28" s="85">
        <v>7</v>
      </c>
      <c r="B28" s="85" t="s">
        <v>768</v>
      </c>
      <c r="C28" s="89" t="s">
        <v>769</v>
      </c>
      <c r="D28" s="85" t="s">
        <v>72</v>
      </c>
      <c r="E28" s="87">
        <v>69.23</v>
      </c>
      <c r="F28" s="87">
        <f>F18</f>
        <v>11</v>
      </c>
      <c r="G28" s="33">
        <f>G18</f>
        <v>112</v>
      </c>
      <c r="H28" s="87"/>
      <c r="I28" s="60">
        <f t="shared" si="3"/>
        <v>11.685</v>
      </c>
      <c r="J28" s="110">
        <f t="shared" si="4"/>
        <v>12.12165</v>
      </c>
      <c r="K28" s="33">
        <f t="shared" si="5"/>
        <v>146.80665</v>
      </c>
      <c r="L28" s="33">
        <f t="shared" si="6"/>
        <v>10163.4243795</v>
      </c>
      <c r="M28" s="90"/>
    </row>
    <row r="29" s="70" customFormat="1" ht="46" customHeight="1" spans="1:13">
      <c r="A29" s="85">
        <v>8</v>
      </c>
      <c r="B29" s="85" t="s">
        <v>835</v>
      </c>
      <c r="C29" s="89" t="s">
        <v>836</v>
      </c>
      <c r="D29" s="85" t="s">
        <v>72</v>
      </c>
      <c r="E29" s="87">
        <v>2.9</v>
      </c>
      <c r="F29" s="87">
        <v>80</v>
      </c>
      <c r="G29" s="102">
        <v>300</v>
      </c>
      <c r="H29" s="102">
        <f>(10+25)*5</f>
        <v>175</v>
      </c>
      <c r="I29" s="60">
        <f t="shared" si="3"/>
        <v>52.725</v>
      </c>
      <c r="J29" s="110">
        <f t="shared" si="4"/>
        <v>54.69525</v>
      </c>
      <c r="K29" s="33">
        <f t="shared" si="5"/>
        <v>662.42025</v>
      </c>
      <c r="L29" s="33">
        <f t="shared" si="6"/>
        <v>1921.018725</v>
      </c>
      <c r="M29" s="109"/>
    </row>
    <row r="30" s="70" customFormat="1" ht="30.75" customHeight="1" spans="1:13">
      <c r="A30" s="85">
        <v>9</v>
      </c>
      <c r="B30" s="88" t="s">
        <v>70</v>
      </c>
      <c r="C30" s="89" t="s">
        <v>837</v>
      </c>
      <c r="D30" s="88" t="s">
        <v>72</v>
      </c>
      <c r="E30" s="87">
        <v>186.3</v>
      </c>
      <c r="F30" s="100">
        <f>F26</f>
        <v>3</v>
      </c>
      <c r="G30" s="101">
        <v>0</v>
      </c>
      <c r="H30" s="87">
        <f>H26</f>
        <v>7</v>
      </c>
      <c r="I30" s="60">
        <f t="shared" si="3"/>
        <v>0.95</v>
      </c>
      <c r="J30" s="110">
        <f t="shared" si="4"/>
        <v>0.9855</v>
      </c>
      <c r="K30" s="33">
        <f t="shared" si="5"/>
        <v>11.9355</v>
      </c>
      <c r="L30" s="33">
        <f t="shared" si="6"/>
        <v>2223.58365</v>
      </c>
      <c r="M30" s="109"/>
    </row>
    <row r="31" s="70" customFormat="1" ht="28.5" customHeight="1" spans="1:13">
      <c r="A31" s="85">
        <v>10</v>
      </c>
      <c r="B31" s="88" t="s">
        <v>704</v>
      </c>
      <c r="C31" s="89" t="s">
        <v>838</v>
      </c>
      <c r="D31" s="88" t="s">
        <v>72</v>
      </c>
      <c r="E31" s="87">
        <v>83.3</v>
      </c>
      <c r="F31" s="100">
        <v>11</v>
      </c>
      <c r="G31" s="101">
        <v>0</v>
      </c>
      <c r="H31" s="87"/>
      <c r="I31" s="60">
        <f t="shared" si="3"/>
        <v>1.045</v>
      </c>
      <c r="J31" s="110">
        <f t="shared" si="4"/>
        <v>1.08405</v>
      </c>
      <c r="K31" s="33">
        <f t="shared" si="5"/>
        <v>13.12905</v>
      </c>
      <c r="L31" s="33">
        <f t="shared" si="6"/>
        <v>1093.649865</v>
      </c>
      <c r="M31" s="109"/>
    </row>
    <row r="32" s="70" customFormat="1" ht="41.25" customHeight="1" spans="1:13">
      <c r="A32" s="85">
        <v>11</v>
      </c>
      <c r="B32" s="40" t="s">
        <v>839</v>
      </c>
      <c r="C32" s="89" t="s">
        <v>840</v>
      </c>
      <c r="D32" s="40" t="s">
        <v>668</v>
      </c>
      <c r="E32" s="41">
        <v>1</v>
      </c>
      <c r="F32" s="40">
        <f>600+600+200</f>
        <v>1400</v>
      </c>
      <c r="G32" s="40">
        <v>27500</v>
      </c>
      <c r="H32" s="87">
        <f>5*300+30+1800</f>
        <v>3330</v>
      </c>
      <c r="I32" s="60">
        <f t="shared" si="3"/>
        <v>3061.85</v>
      </c>
      <c r="J32" s="110">
        <f t="shared" si="4"/>
        <v>3176.2665</v>
      </c>
      <c r="K32" s="33">
        <f t="shared" si="5"/>
        <v>38468.1165</v>
      </c>
      <c r="L32" s="33">
        <f t="shared" si="6"/>
        <v>38468.1165</v>
      </c>
      <c r="M32" s="109"/>
    </row>
    <row r="33" s="70" customFormat="1" ht="62" customHeight="1" spans="1:13">
      <c r="A33" s="85">
        <v>12</v>
      </c>
      <c r="B33" s="40" t="s">
        <v>841</v>
      </c>
      <c r="C33" s="89" t="s">
        <v>842</v>
      </c>
      <c r="D33" s="40" t="s">
        <v>843</v>
      </c>
      <c r="E33" s="41">
        <v>55</v>
      </c>
      <c r="F33" s="40">
        <v>200</v>
      </c>
      <c r="G33" s="40">
        <v>420</v>
      </c>
      <c r="H33" s="87">
        <v>800</v>
      </c>
      <c r="I33" s="60">
        <f t="shared" si="3"/>
        <v>134.9</v>
      </c>
      <c r="J33" s="110">
        <f t="shared" si="4"/>
        <v>139.941</v>
      </c>
      <c r="K33" s="33">
        <f t="shared" si="5"/>
        <v>1694.841</v>
      </c>
      <c r="L33" s="33">
        <f t="shared" si="6"/>
        <v>93216.255</v>
      </c>
      <c r="M33" s="109"/>
    </row>
    <row r="34" s="70" customFormat="1" ht="39" customHeight="1" spans="1:13">
      <c r="A34" s="85">
        <v>13</v>
      </c>
      <c r="B34" s="40" t="s">
        <v>844</v>
      </c>
      <c r="C34" s="89" t="s">
        <v>845</v>
      </c>
      <c r="D34" s="40" t="s">
        <v>197</v>
      </c>
      <c r="E34" s="41">
        <v>1</v>
      </c>
      <c r="F34" s="40">
        <v>390</v>
      </c>
      <c r="G34" s="40">
        <v>1750</v>
      </c>
      <c r="H34" s="87">
        <v>40</v>
      </c>
      <c r="I34" s="60">
        <f t="shared" si="3"/>
        <v>207.1</v>
      </c>
      <c r="J34" s="110">
        <f t="shared" si="4"/>
        <v>214.839</v>
      </c>
      <c r="K34" s="33">
        <f t="shared" si="5"/>
        <v>2601.939</v>
      </c>
      <c r="L34" s="33">
        <f t="shared" si="6"/>
        <v>2601.939</v>
      </c>
      <c r="M34" s="109"/>
    </row>
    <row r="35" s="70" customFormat="1" ht="41.25" customHeight="1" spans="1:13">
      <c r="A35" s="85">
        <v>14</v>
      </c>
      <c r="B35" s="88" t="s">
        <v>846</v>
      </c>
      <c r="C35" s="103" t="s">
        <v>847</v>
      </c>
      <c r="D35" s="88" t="s">
        <v>72</v>
      </c>
      <c r="E35" s="41">
        <v>5.65</v>
      </c>
      <c r="F35" s="100">
        <f>F30</f>
        <v>3</v>
      </c>
      <c r="G35" s="101">
        <v>0</v>
      </c>
      <c r="H35" s="87">
        <f>H30</f>
        <v>7</v>
      </c>
      <c r="I35" s="60">
        <f t="shared" si="3"/>
        <v>0.95</v>
      </c>
      <c r="J35" s="110">
        <f t="shared" si="4"/>
        <v>0.9855</v>
      </c>
      <c r="K35" s="33">
        <f t="shared" si="5"/>
        <v>11.9355</v>
      </c>
      <c r="L35" s="33">
        <f t="shared" si="6"/>
        <v>67.435575</v>
      </c>
      <c r="M35" s="109"/>
    </row>
    <row r="36" s="70" customFormat="1" ht="41.25" customHeight="1" spans="1:13">
      <c r="A36" s="85">
        <v>15</v>
      </c>
      <c r="B36" s="88" t="s">
        <v>848</v>
      </c>
      <c r="C36" s="103" t="s">
        <v>849</v>
      </c>
      <c r="D36" s="88" t="s">
        <v>72</v>
      </c>
      <c r="E36" s="41">
        <v>1</v>
      </c>
      <c r="F36" s="100">
        <v>11</v>
      </c>
      <c r="G36" s="101">
        <v>0</v>
      </c>
      <c r="H36" s="87"/>
      <c r="I36" s="60">
        <f t="shared" si="3"/>
        <v>1.045</v>
      </c>
      <c r="J36" s="110">
        <f t="shared" si="4"/>
        <v>1.08405</v>
      </c>
      <c r="K36" s="33">
        <f t="shared" si="5"/>
        <v>13.12905</v>
      </c>
      <c r="L36" s="33">
        <f t="shared" si="6"/>
        <v>13.12905</v>
      </c>
      <c r="M36" s="109"/>
    </row>
    <row r="37" s="70" customFormat="1" ht="32" customHeight="1" spans="1:13">
      <c r="A37" s="85">
        <v>16</v>
      </c>
      <c r="B37" s="85" t="s">
        <v>850</v>
      </c>
      <c r="C37" s="103" t="s">
        <v>851</v>
      </c>
      <c r="D37" s="40" t="s">
        <v>75</v>
      </c>
      <c r="E37" s="41">
        <v>4</v>
      </c>
      <c r="F37" s="40">
        <v>10</v>
      </c>
      <c r="G37" s="40"/>
      <c r="H37" s="87">
        <v>30</v>
      </c>
      <c r="I37" s="60">
        <f t="shared" si="3"/>
        <v>3.8</v>
      </c>
      <c r="J37" s="110">
        <f t="shared" si="4"/>
        <v>3.942</v>
      </c>
      <c r="K37" s="33">
        <f t="shared" si="5"/>
        <v>47.742</v>
      </c>
      <c r="L37" s="33">
        <f t="shared" si="6"/>
        <v>190.968</v>
      </c>
      <c r="M37" s="109"/>
    </row>
    <row r="38" s="70" customFormat="1" ht="41.25" customHeight="1" spans="1:13">
      <c r="A38" s="85">
        <v>17</v>
      </c>
      <c r="B38" s="85" t="s">
        <v>852</v>
      </c>
      <c r="C38" s="103" t="s">
        <v>853</v>
      </c>
      <c r="D38" s="40" t="s">
        <v>75</v>
      </c>
      <c r="E38" s="41">
        <v>4</v>
      </c>
      <c r="F38" s="40">
        <v>50</v>
      </c>
      <c r="G38" s="40">
        <v>96</v>
      </c>
      <c r="H38" s="87">
        <v>2</v>
      </c>
      <c r="I38" s="60">
        <f t="shared" si="3"/>
        <v>14.06</v>
      </c>
      <c r="J38" s="110">
        <f t="shared" si="4"/>
        <v>14.5854</v>
      </c>
      <c r="K38" s="33">
        <f t="shared" si="5"/>
        <v>176.6454</v>
      </c>
      <c r="L38" s="33">
        <f t="shared" si="6"/>
        <v>706.5816</v>
      </c>
      <c r="M38" s="109"/>
    </row>
    <row r="39" s="70" customFormat="1" ht="41.25" customHeight="1" spans="1:13">
      <c r="A39" s="85">
        <v>18</v>
      </c>
      <c r="B39" s="85" t="s">
        <v>854</v>
      </c>
      <c r="C39" s="103" t="s">
        <v>855</v>
      </c>
      <c r="D39" s="40" t="s">
        <v>75</v>
      </c>
      <c r="E39" s="41">
        <v>2</v>
      </c>
      <c r="F39" s="40">
        <v>10</v>
      </c>
      <c r="G39" s="40"/>
      <c r="H39" s="87">
        <v>50</v>
      </c>
      <c r="I39" s="60">
        <f t="shared" si="3"/>
        <v>5.7</v>
      </c>
      <c r="J39" s="110">
        <f t="shared" si="4"/>
        <v>5.913</v>
      </c>
      <c r="K39" s="33">
        <f t="shared" si="5"/>
        <v>71.613</v>
      </c>
      <c r="L39" s="33">
        <f t="shared" si="6"/>
        <v>143.226</v>
      </c>
      <c r="M39" s="109"/>
    </row>
    <row r="40" s="70" customFormat="1" ht="41.25" customHeight="1" spans="1:13">
      <c r="A40" s="85">
        <v>19</v>
      </c>
      <c r="B40" s="85" t="s">
        <v>856</v>
      </c>
      <c r="C40" s="103" t="s">
        <v>857</v>
      </c>
      <c r="D40" s="40" t="s">
        <v>75</v>
      </c>
      <c r="E40" s="41">
        <v>2</v>
      </c>
      <c r="F40" s="40">
        <v>30</v>
      </c>
      <c r="G40" s="40">
        <v>120</v>
      </c>
      <c r="H40" s="87">
        <v>36</v>
      </c>
      <c r="I40" s="60">
        <f t="shared" si="3"/>
        <v>17.67</v>
      </c>
      <c r="J40" s="110">
        <f t="shared" si="4"/>
        <v>18.3303</v>
      </c>
      <c r="K40" s="33">
        <f t="shared" si="5"/>
        <v>222.0003</v>
      </c>
      <c r="L40" s="33">
        <f t="shared" si="6"/>
        <v>444.0006</v>
      </c>
      <c r="M40" s="109"/>
    </row>
    <row r="41" s="70" customFormat="1" ht="41.25" customHeight="1" spans="1:13">
      <c r="A41" s="85">
        <v>20</v>
      </c>
      <c r="B41" s="88" t="s">
        <v>846</v>
      </c>
      <c r="C41" s="103" t="s">
        <v>858</v>
      </c>
      <c r="D41" s="88" t="s">
        <v>72</v>
      </c>
      <c r="E41" s="41">
        <f>6*1.2</f>
        <v>7.2</v>
      </c>
      <c r="F41" s="100">
        <f>F35</f>
        <v>3</v>
      </c>
      <c r="G41" s="101">
        <v>0</v>
      </c>
      <c r="H41" s="87">
        <f>H35</f>
        <v>7</v>
      </c>
      <c r="I41" s="60">
        <f t="shared" si="3"/>
        <v>0.95</v>
      </c>
      <c r="J41" s="110">
        <f t="shared" si="4"/>
        <v>0.9855</v>
      </c>
      <c r="K41" s="33">
        <f t="shared" si="5"/>
        <v>11.9355</v>
      </c>
      <c r="L41" s="33">
        <f t="shared" si="6"/>
        <v>85.9356</v>
      </c>
      <c r="M41" s="109"/>
    </row>
    <row r="42" s="70" customFormat="1" ht="41.25" customHeight="1" spans="1:13">
      <c r="A42" s="85">
        <v>21</v>
      </c>
      <c r="B42" s="88" t="s">
        <v>848</v>
      </c>
      <c r="C42" s="103" t="s">
        <v>859</v>
      </c>
      <c r="D42" s="88" t="s">
        <v>72</v>
      </c>
      <c r="E42" s="41">
        <f>3*1.2</f>
        <v>3.6</v>
      </c>
      <c r="F42" s="100">
        <v>11</v>
      </c>
      <c r="G42" s="101">
        <v>0</v>
      </c>
      <c r="H42" s="87"/>
      <c r="I42" s="60">
        <f t="shared" si="3"/>
        <v>1.045</v>
      </c>
      <c r="J42" s="110">
        <f t="shared" si="4"/>
        <v>1.08405</v>
      </c>
      <c r="K42" s="33">
        <f t="shared" si="5"/>
        <v>13.12905</v>
      </c>
      <c r="L42" s="33">
        <f t="shared" si="6"/>
        <v>47.26458</v>
      </c>
      <c r="M42" s="109"/>
    </row>
    <row r="43" s="70" customFormat="1" ht="28" customHeight="1" spans="1:13">
      <c r="A43" s="40" t="s">
        <v>135</v>
      </c>
      <c r="B43" s="104" t="s">
        <v>53</v>
      </c>
      <c r="C43" s="104"/>
      <c r="D43" s="104"/>
      <c r="E43" s="104"/>
      <c r="F43" s="104"/>
      <c r="G43" s="104"/>
      <c r="H43" s="87"/>
      <c r="I43" s="40"/>
      <c r="J43" s="108"/>
      <c r="K43" s="109"/>
      <c r="L43" s="90">
        <f>SUM(L6:L42)</f>
        <v>474787.945545325</v>
      </c>
      <c r="M43" s="109"/>
    </row>
    <row r="50" s="70" customFormat="1" spans="5:5">
      <c r="E50" s="105"/>
    </row>
    <row r="51" s="70" customFormat="1" spans="5:5">
      <c r="E51" s="105"/>
    </row>
    <row r="52" s="70" customFormat="1" spans="5:5">
      <c r="E52" s="105"/>
    </row>
  </sheetData>
  <sheetProtection formatCells="0" insertHyperlinks="0" autoFilter="0"/>
  <autoFilter ref="A3:M43">
    <extLst/>
  </autoFilter>
  <mergeCells count="15">
    <mergeCell ref="A1:M1"/>
    <mergeCell ref="F2:J2"/>
    <mergeCell ref="B5:C5"/>
    <mergeCell ref="B21:C21"/>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pane xSplit="11" ySplit="4" topLeftCell="L5" activePane="bottomRight" state="frozen"/>
      <selection/>
      <selection pane="topRight"/>
      <selection pane="bottomLeft"/>
      <selection pane="bottomRight" activeCell="L20" sqref="L20"/>
    </sheetView>
  </sheetViews>
  <sheetFormatPr defaultColWidth="9.14285714285714" defaultRowHeight="12.75"/>
  <cols>
    <col min="1" max="1" width="4.55238095238095" style="28" customWidth="1"/>
    <col min="2" max="2" width="12.552380952381" style="28" customWidth="1"/>
    <col min="3" max="3" width="36.1238095238095" style="28" customWidth="1"/>
    <col min="4" max="4" width="5" style="28" customWidth="1"/>
    <col min="5" max="5" width="7.44761904761905" style="28" customWidth="1"/>
    <col min="6" max="6" width="9.14285714285714" style="28" customWidth="1"/>
    <col min="7" max="7" width="9.57142857142857" style="28" customWidth="1"/>
    <col min="8" max="8" width="6.55238095238095" style="28" customWidth="1"/>
    <col min="9" max="9" width="23.5714285714286" style="28" customWidth="1"/>
    <col min="10" max="10" width="12.4285714285714" style="28" customWidth="1"/>
    <col min="11" max="11" width="12.8571428571429" style="28" customWidth="1"/>
    <col min="12" max="12" width="13" style="30" customWidth="1"/>
    <col min="13" max="13" width="15" style="28" customWidth="1"/>
    <col min="14" max="14" width="13.8571428571429" style="28" customWidth="1"/>
    <col min="15" max="15" width="14.2857142857143" style="28" customWidth="1"/>
    <col min="16" max="16384" width="9.14285714285714" style="28"/>
  </cols>
  <sheetData>
    <row r="1" ht="44.1" customHeight="1" spans="1:14">
      <c r="A1" s="31" t="s">
        <v>860</v>
      </c>
      <c r="B1" s="31"/>
      <c r="C1" s="31"/>
      <c r="D1" s="31"/>
      <c r="E1" s="31"/>
      <c r="F1" s="31"/>
      <c r="G1" s="31"/>
      <c r="H1" s="31"/>
      <c r="I1" s="31"/>
      <c r="J1" s="31"/>
      <c r="K1" s="54"/>
      <c r="L1" s="55"/>
      <c r="M1" s="31"/>
      <c r="N1" s="31"/>
    </row>
    <row r="2" ht="26.1" customHeight="1" spans="1:14">
      <c r="A2" s="32" t="s">
        <v>56</v>
      </c>
      <c r="B2" s="32" t="s">
        <v>40</v>
      </c>
      <c r="C2" s="32" t="s">
        <v>57</v>
      </c>
      <c r="D2" s="32" t="s">
        <v>41</v>
      </c>
      <c r="E2" s="32" t="s">
        <v>58</v>
      </c>
      <c r="F2" s="33" t="s">
        <v>59</v>
      </c>
      <c r="G2" s="33"/>
      <c r="H2" s="33"/>
      <c r="I2" s="33"/>
      <c r="J2" s="33"/>
      <c r="K2" s="32" t="s">
        <v>60</v>
      </c>
      <c r="L2" s="56" t="s">
        <v>61</v>
      </c>
      <c r="M2" s="32" t="s">
        <v>45</v>
      </c>
      <c r="N2" s="32" t="s">
        <v>62</v>
      </c>
    </row>
    <row r="3" ht="51.95" customHeight="1" spans="1:14">
      <c r="A3" s="34"/>
      <c r="B3" s="34"/>
      <c r="C3" s="34"/>
      <c r="D3" s="34"/>
      <c r="E3" s="34"/>
      <c r="F3" s="35" t="s">
        <v>63</v>
      </c>
      <c r="G3" s="35" t="s">
        <v>64</v>
      </c>
      <c r="H3" s="35" t="s">
        <v>65</v>
      </c>
      <c r="I3" s="33" t="s">
        <v>66</v>
      </c>
      <c r="J3" s="33" t="s">
        <v>67</v>
      </c>
      <c r="K3" s="34"/>
      <c r="L3" s="57"/>
      <c r="M3" s="34"/>
      <c r="N3" s="34"/>
    </row>
    <row r="4" ht="13" customHeight="1" spans="1:14">
      <c r="A4" s="34"/>
      <c r="B4" s="34"/>
      <c r="C4" s="34"/>
      <c r="D4" s="34"/>
      <c r="E4" s="34"/>
      <c r="F4" s="36"/>
      <c r="G4" s="36"/>
      <c r="H4" s="36"/>
      <c r="I4" s="58">
        <v>0.095</v>
      </c>
      <c r="J4" s="59">
        <v>0.09</v>
      </c>
      <c r="K4" s="34"/>
      <c r="L4" s="57"/>
      <c r="M4" s="34"/>
      <c r="N4" s="34"/>
    </row>
    <row r="5" ht="120" spans="1:14">
      <c r="A5" s="37">
        <v>1</v>
      </c>
      <c r="B5" s="38" t="s">
        <v>861</v>
      </c>
      <c r="C5" s="39" t="s">
        <v>862</v>
      </c>
      <c r="D5" s="38" t="s">
        <v>123</v>
      </c>
      <c r="E5" s="37">
        <v>7</v>
      </c>
      <c r="F5" s="40">
        <f t="shared" ref="F5:F19" si="0">G5*0.07</f>
        <v>210</v>
      </c>
      <c r="G5" s="41">
        <v>3000</v>
      </c>
      <c r="H5" s="40">
        <f t="shared" ref="H5:H18" si="1">G5*0.03</f>
        <v>90</v>
      </c>
      <c r="I5" s="60">
        <f>(F5+G5+H5)*$I$4</f>
        <v>313.5</v>
      </c>
      <c r="J5" s="61">
        <f>(F5+G5+H5+I5)*$J$4</f>
        <v>325.215</v>
      </c>
      <c r="K5" s="62">
        <f>F5+G5+H5+I5+J5</f>
        <v>3938.715</v>
      </c>
      <c r="L5" s="63">
        <f>K5*E5</f>
        <v>27571.005</v>
      </c>
      <c r="M5" s="37"/>
      <c r="N5" s="37"/>
    </row>
    <row r="6" ht="108" spans="1:14">
      <c r="A6" s="37">
        <v>2</v>
      </c>
      <c r="B6" s="38" t="s">
        <v>863</v>
      </c>
      <c r="C6" s="39" t="s">
        <v>864</v>
      </c>
      <c r="D6" s="38" t="s">
        <v>123</v>
      </c>
      <c r="E6" s="37">
        <v>1</v>
      </c>
      <c r="F6" s="40">
        <f t="shared" si="0"/>
        <v>199.5</v>
      </c>
      <c r="G6" s="41">
        <v>2850</v>
      </c>
      <c r="H6" s="40">
        <f t="shared" si="1"/>
        <v>85.5</v>
      </c>
      <c r="I6" s="60">
        <f t="shared" ref="I6:I19" si="2">(F6+G6+H6)*$I$4</f>
        <v>297.825</v>
      </c>
      <c r="J6" s="61">
        <f t="shared" ref="J6:J19" si="3">(F6+G6+H6+I6)*$J$4</f>
        <v>308.95425</v>
      </c>
      <c r="K6" s="62">
        <f t="shared" ref="K6:K19" si="4">F6+G6+H6+I6+J6</f>
        <v>3741.77925</v>
      </c>
      <c r="L6" s="63">
        <f t="shared" ref="L6:L19" si="5">K6*E6</f>
        <v>3741.77925</v>
      </c>
      <c r="M6" s="37"/>
      <c r="N6" s="37"/>
    </row>
    <row r="7" ht="84" spans="1:14">
      <c r="A7" s="37">
        <v>3</v>
      </c>
      <c r="B7" s="38" t="s">
        <v>865</v>
      </c>
      <c r="C7" s="39" t="s">
        <v>866</v>
      </c>
      <c r="D7" s="38" t="s">
        <v>123</v>
      </c>
      <c r="E7" s="37">
        <v>6</v>
      </c>
      <c r="F7" s="40">
        <f t="shared" si="0"/>
        <v>31.5</v>
      </c>
      <c r="G7" s="41">
        <v>450</v>
      </c>
      <c r="H7" s="40">
        <f t="shared" si="1"/>
        <v>13.5</v>
      </c>
      <c r="I7" s="60">
        <f t="shared" si="2"/>
        <v>47.025</v>
      </c>
      <c r="J7" s="61">
        <f t="shared" si="3"/>
        <v>48.78225</v>
      </c>
      <c r="K7" s="62">
        <f t="shared" si="4"/>
        <v>590.80725</v>
      </c>
      <c r="L7" s="63">
        <f t="shared" si="5"/>
        <v>3544.8435</v>
      </c>
      <c r="M7" s="37"/>
      <c r="N7" s="37"/>
    </row>
    <row r="8" ht="84" spans="1:14">
      <c r="A8" s="37">
        <v>4</v>
      </c>
      <c r="B8" s="38" t="s">
        <v>867</v>
      </c>
      <c r="C8" s="39" t="s">
        <v>868</v>
      </c>
      <c r="D8" s="38" t="s">
        <v>123</v>
      </c>
      <c r="E8" s="37">
        <v>1</v>
      </c>
      <c r="F8" s="40">
        <f t="shared" si="0"/>
        <v>199.5</v>
      </c>
      <c r="G8" s="41">
        <v>2850</v>
      </c>
      <c r="H8" s="40">
        <f t="shared" si="1"/>
        <v>85.5</v>
      </c>
      <c r="I8" s="60">
        <f t="shared" si="2"/>
        <v>297.825</v>
      </c>
      <c r="J8" s="61">
        <f t="shared" si="3"/>
        <v>308.95425</v>
      </c>
      <c r="K8" s="62">
        <f t="shared" si="4"/>
        <v>3741.77925</v>
      </c>
      <c r="L8" s="63">
        <f t="shared" si="5"/>
        <v>3741.77925</v>
      </c>
      <c r="M8" s="37"/>
      <c r="N8" s="37"/>
    </row>
    <row r="9" ht="96" spans="1:14">
      <c r="A9" s="37">
        <v>5</v>
      </c>
      <c r="B9" s="38" t="s">
        <v>869</v>
      </c>
      <c r="C9" s="39" t="s">
        <v>870</v>
      </c>
      <c r="D9" s="38" t="s">
        <v>197</v>
      </c>
      <c r="E9" s="37">
        <v>13</v>
      </c>
      <c r="F9" s="40">
        <f t="shared" si="0"/>
        <v>95.9</v>
      </c>
      <c r="G9" s="41">
        <v>1370</v>
      </c>
      <c r="H9" s="40">
        <f t="shared" si="1"/>
        <v>41.1</v>
      </c>
      <c r="I9" s="60">
        <f t="shared" si="2"/>
        <v>143.165</v>
      </c>
      <c r="J9" s="61">
        <f t="shared" si="3"/>
        <v>148.51485</v>
      </c>
      <c r="K9" s="62">
        <f t="shared" si="4"/>
        <v>1798.67985</v>
      </c>
      <c r="L9" s="63">
        <f t="shared" si="5"/>
        <v>23382.83805</v>
      </c>
      <c r="M9" s="37"/>
      <c r="N9" s="37"/>
    </row>
    <row r="10" ht="90" spans="1:14">
      <c r="A10" s="37">
        <v>6</v>
      </c>
      <c r="B10" s="42" t="s">
        <v>871</v>
      </c>
      <c r="C10" s="43" t="s">
        <v>872</v>
      </c>
      <c r="D10" s="38" t="s">
        <v>197</v>
      </c>
      <c r="E10" s="37">
        <v>1</v>
      </c>
      <c r="F10" s="40">
        <f t="shared" si="0"/>
        <v>59.5</v>
      </c>
      <c r="G10" s="41">
        <v>850</v>
      </c>
      <c r="H10" s="40">
        <f t="shared" si="1"/>
        <v>25.5</v>
      </c>
      <c r="I10" s="60">
        <f t="shared" si="2"/>
        <v>88.825</v>
      </c>
      <c r="J10" s="61">
        <f t="shared" si="3"/>
        <v>92.14425</v>
      </c>
      <c r="K10" s="62">
        <f t="shared" si="4"/>
        <v>1115.96925</v>
      </c>
      <c r="L10" s="63">
        <f t="shared" si="5"/>
        <v>1115.96925</v>
      </c>
      <c r="M10" s="37"/>
      <c r="N10" s="37"/>
    </row>
    <row r="11" ht="90" spans="1:14">
      <c r="A11" s="37">
        <v>7</v>
      </c>
      <c r="B11" s="42" t="s">
        <v>873</v>
      </c>
      <c r="C11" s="43" t="s">
        <v>874</v>
      </c>
      <c r="D11" s="38" t="s">
        <v>123</v>
      </c>
      <c r="E11" s="37">
        <v>1</v>
      </c>
      <c r="F11" s="40">
        <f t="shared" si="0"/>
        <v>80.5</v>
      </c>
      <c r="G11" s="41">
        <v>1150</v>
      </c>
      <c r="H11" s="40">
        <f t="shared" si="1"/>
        <v>34.5</v>
      </c>
      <c r="I11" s="60">
        <f t="shared" si="2"/>
        <v>120.175</v>
      </c>
      <c r="J11" s="61">
        <f t="shared" si="3"/>
        <v>124.66575</v>
      </c>
      <c r="K11" s="62">
        <f t="shared" si="4"/>
        <v>1509.84075</v>
      </c>
      <c r="L11" s="63">
        <f t="shared" si="5"/>
        <v>1509.84075</v>
      </c>
      <c r="M11" s="37"/>
      <c r="N11" s="37"/>
    </row>
    <row r="12" s="28" customFormat="1" ht="101.25" spans="1:15">
      <c r="A12" s="37">
        <v>8</v>
      </c>
      <c r="B12" s="42" t="s">
        <v>875</v>
      </c>
      <c r="C12" s="44" t="s">
        <v>876</v>
      </c>
      <c r="D12" s="45" t="s">
        <v>123</v>
      </c>
      <c r="E12" s="37">
        <v>1</v>
      </c>
      <c r="F12" s="40">
        <f t="shared" si="0"/>
        <v>84</v>
      </c>
      <c r="G12" s="41">
        <v>1200</v>
      </c>
      <c r="H12" s="40">
        <f t="shared" si="1"/>
        <v>36</v>
      </c>
      <c r="I12" s="60">
        <f t="shared" si="2"/>
        <v>125.4</v>
      </c>
      <c r="J12" s="61">
        <f t="shared" si="3"/>
        <v>130.086</v>
      </c>
      <c r="K12" s="62">
        <f t="shared" si="4"/>
        <v>1575.486</v>
      </c>
      <c r="L12" s="63">
        <f t="shared" si="5"/>
        <v>1575.486</v>
      </c>
      <c r="M12" s="37"/>
      <c r="N12" s="37"/>
      <c r="O12" s="64"/>
    </row>
    <row r="13" ht="80.1" customHeight="1" spans="1:14">
      <c r="A13" s="37">
        <v>9</v>
      </c>
      <c r="B13" s="42" t="s">
        <v>877</v>
      </c>
      <c r="C13" s="43" t="s">
        <v>878</v>
      </c>
      <c r="D13" s="42" t="s">
        <v>123</v>
      </c>
      <c r="E13" s="42">
        <v>1</v>
      </c>
      <c r="F13" s="40">
        <f t="shared" si="0"/>
        <v>1876</v>
      </c>
      <c r="G13" s="41">
        <v>26800</v>
      </c>
      <c r="H13" s="40">
        <f t="shared" si="1"/>
        <v>804</v>
      </c>
      <c r="I13" s="60">
        <f t="shared" si="2"/>
        <v>2800.6</v>
      </c>
      <c r="J13" s="61">
        <f t="shared" si="3"/>
        <v>2905.254</v>
      </c>
      <c r="K13" s="62">
        <f t="shared" si="4"/>
        <v>35185.854</v>
      </c>
      <c r="L13" s="63">
        <f t="shared" si="5"/>
        <v>35185.854</v>
      </c>
      <c r="M13" s="37"/>
      <c r="N13" s="65"/>
    </row>
    <row r="14" ht="80.1" customHeight="1" spans="1:14">
      <c r="A14" s="37">
        <v>10</v>
      </c>
      <c r="B14" s="42" t="s">
        <v>879</v>
      </c>
      <c r="C14" s="43" t="s">
        <v>880</v>
      </c>
      <c r="D14" s="42" t="s">
        <v>197</v>
      </c>
      <c r="E14" s="42">
        <v>1</v>
      </c>
      <c r="F14" s="40">
        <f t="shared" si="0"/>
        <v>112</v>
      </c>
      <c r="G14" s="41">
        <v>1600</v>
      </c>
      <c r="H14" s="40">
        <f t="shared" si="1"/>
        <v>48</v>
      </c>
      <c r="I14" s="60">
        <f t="shared" si="2"/>
        <v>167.2</v>
      </c>
      <c r="J14" s="61">
        <f t="shared" si="3"/>
        <v>173.448</v>
      </c>
      <c r="K14" s="62">
        <f t="shared" si="4"/>
        <v>2100.648</v>
      </c>
      <c r="L14" s="63">
        <f t="shared" si="5"/>
        <v>2100.648</v>
      </c>
      <c r="M14" s="66"/>
      <c r="N14" s="67"/>
    </row>
    <row r="15" ht="80.1" customHeight="1" spans="1:14">
      <c r="A15" s="37">
        <v>11</v>
      </c>
      <c r="B15" s="42" t="s">
        <v>881</v>
      </c>
      <c r="C15" s="43" t="s">
        <v>882</v>
      </c>
      <c r="D15" s="42" t="s">
        <v>197</v>
      </c>
      <c r="E15" s="42">
        <v>4</v>
      </c>
      <c r="F15" s="40">
        <f t="shared" si="0"/>
        <v>38.5</v>
      </c>
      <c r="G15" s="41">
        <v>550</v>
      </c>
      <c r="H15" s="40">
        <f t="shared" si="1"/>
        <v>16.5</v>
      </c>
      <c r="I15" s="60">
        <f t="shared" si="2"/>
        <v>57.475</v>
      </c>
      <c r="J15" s="61">
        <f t="shared" si="3"/>
        <v>59.62275</v>
      </c>
      <c r="K15" s="62">
        <f t="shared" si="4"/>
        <v>722.09775</v>
      </c>
      <c r="L15" s="63">
        <f t="shared" si="5"/>
        <v>2888.391</v>
      </c>
      <c r="M15" s="28" t="str">
        <f>_xlfn.DISPIMG("ID_8E660536FBF3405AB369684DF2360221",1)</f>
        <v>=DISPIMG("ID_8E660536FBF3405AB369684DF2360221",1)</v>
      </c>
      <c r="N15" s="67"/>
    </row>
    <row r="16" ht="80.1" customHeight="1" spans="1:14">
      <c r="A16" s="37">
        <v>12</v>
      </c>
      <c r="B16" s="42" t="s">
        <v>883</v>
      </c>
      <c r="C16" s="43" t="s">
        <v>884</v>
      </c>
      <c r="D16" s="42" t="s">
        <v>197</v>
      </c>
      <c r="E16" s="42">
        <v>2</v>
      </c>
      <c r="F16" s="40">
        <f t="shared" si="0"/>
        <v>115.5</v>
      </c>
      <c r="G16" s="41">
        <v>1650</v>
      </c>
      <c r="H16" s="40">
        <f t="shared" si="1"/>
        <v>49.5</v>
      </c>
      <c r="I16" s="60">
        <f t="shared" si="2"/>
        <v>172.425</v>
      </c>
      <c r="J16" s="61">
        <f t="shared" si="3"/>
        <v>178.86825</v>
      </c>
      <c r="K16" s="62">
        <f t="shared" si="4"/>
        <v>2166.29325</v>
      </c>
      <c r="L16" s="63">
        <f t="shared" si="5"/>
        <v>4332.5865</v>
      </c>
      <c r="M16" s="66" t="str">
        <f>_xlfn.DISPIMG("ID_56D0EA9EE3FA43F2BA82B39BD7569EB2",1)</f>
        <v>=DISPIMG("ID_56D0EA9EE3FA43F2BA82B39BD7569EB2",1)</v>
      </c>
      <c r="N16" s="67"/>
    </row>
    <row r="17" ht="80.1" customHeight="1" spans="1:14">
      <c r="A17" s="37">
        <v>13</v>
      </c>
      <c r="B17" s="46" t="s">
        <v>885</v>
      </c>
      <c r="C17" s="47" t="s">
        <v>886</v>
      </c>
      <c r="D17" s="46" t="s">
        <v>123</v>
      </c>
      <c r="E17" s="42">
        <v>1</v>
      </c>
      <c r="F17" s="40">
        <f t="shared" si="0"/>
        <v>105</v>
      </c>
      <c r="G17" s="41">
        <v>1500</v>
      </c>
      <c r="H17" s="40">
        <f t="shared" si="1"/>
        <v>45</v>
      </c>
      <c r="I17" s="60">
        <f t="shared" si="2"/>
        <v>156.75</v>
      </c>
      <c r="J17" s="61">
        <f t="shared" si="3"/>
        <v>162.6075</v>
      </c>
      <c r="K17" s="62">
        <f t="shared" si="4"/>
        <v>1969.3575</v>
      </c>
      <c r="L17" s="63">
        <f t="shared" si="5"/>
        <v>1969.3575</v>
      </c>
      <c r="M17" s="37"/>
      <c r="N17" s="68"/>
    </row>
    <row r="18" ht="80.1" customHeight="1" spans="1:14">
      <c r="A18" s="37">
        <v>14</v>
      </c>
      <c r="B18" s="42" t="s">
        <v>887</v>
      </c>
      <c r="C18" s="43" t="s">
        <v>888</v>
      </c>
      <c r="D18" s="46" t="s">
        <v>123</v>
      </c>
      <c r="E18" s="42">
        <v>2</v>
      </c>
      <c r="F18" s="40">
        <f t="shared" si="0"/>
        <v>112</v>
      </c>
      <c r="G18" s="41">
        <v>1600</v>
      </c>
      <c r="H18" s="40">
        <f t="shared" si="1"/>
        <v>48</v>
      </c>
      <c r="I18" s="60">
        <f t="shared" si="2"/>
        <v>167.2</v>
      </c>
      <c r="J18" s="61">
        <f t="shared" si="3"/>
        <v>173.448</v>
      </c>
      <c r="K18" s="62">
        <f t="shared" si="4"/>
        <v>2100.648</v>
      </c>
      <c r="L18" s="63">
        <f t="shared" si="5"/>
        <v>4201.296</v>
      </c>
      <c r="M18" s="37"/>
      <c r="N18" s="37"/>
    </row>
    <row r="19" ht="80.1" customHeight="1" spans="1:14">
      <c r="A19" s="37">
        <v>15</v>
      </c>
      <c r="B19" s="42" t="s">
        <v>889</v>
      </c>
      <c r="C19" s="43" t="s">
        <v>890</v>
      </c>
      <c r="D19" s="38" t="s">
        <v>197</v>
      </c>
      <c r="E19" s="37">
        <v>4</v>
      </c>
      <c r="F19" s="40">
        <f t="shared" si="0"/>
        <v>68.6</v>
      </c>
      <c r="G19" s="41">
        <v>980</v>
      </c>
      <c r="H19" s="40">
        <v>29.37</v>
      </c>
      <c r="I19" s="60">
        <f t="shared" si="2"/>
        <v>102.40715</v>
      </c>
      <c r="J19" s="61">
        <f t="shared" si="3"/>
        <v>106.2339435</v>
      </c>
      <c r="K19" s="62">
        <f t="shared" si="4"/>
        <v>1286.6110935</v>
      </c>
      <c r="L19" s="63">
        <f t="shared" si="5"/>
        <v>5146.444374</v>
      </c>
      <c r="M19" s="37"/>
      <c r="N19" s="37"/>
    </row>
    <row r="20" s="29" customFormat="1" ht="39" customHeight="1" spans="1:14">
      <c r="A20" s="48">
        <v>16</v>
      </c>
      <c r="B20" s="49" t="s">
        <v>53</v>
      </c>
      <c r="C20" s="48"/>
      <c r="D20" s="49"/>
      <c r="E20" s="48"/>
      <c r="F20" s="48"/>
      <c r="G20" s="48"/>
      <c r="H20" s="48"/>
      <c r="I20" s="48"/>
      <c r="J20" s="48"/>
      <c r="K20" s="37"/>
      <c r="L20" s="69">
        <f>SUM(L5:L19)</f>
        <v>122008.118424</v>
      </c>
      <c r="M20" s="48"/>
      <c r="N20" s="48"/>
    </row>
    <row r="21" ht="96" customHeight="1" spans="1:14">
      <c r="A21" s="50" t="s">
        <v>891</v>
      </c>
      <c r="B21" s="51"/>
      <c r="C21" s="51"/>
      <c r="D21" s="51"/>
      <c r="E21" s="52"/>
      <c r="F21" s="53"/>
      <c r="G21" s="53"/>
      <c r="H21" s="53"/>
      <c r="I21" s="53"/>
      <c r="J21" s="53"/>
      <c r="K21" s="53"/>
      <c r="L21" s="53"/>
      <c r="M21" s="51"/>
      <c r="N21" s="51"/>
    </row>
  </sheetData>
  <sheetProtection formatCells="0" insertHyperlinks="0" autoFilter="0"/>
  <mergeCells count="15">
    <mergeCell ref="A1:N1"/>
    <mergeCell ref="F2:J2"/>
    <mergeCell ref="A21:N21"/>
    <mergeCell ref="A2:A4"/>
    <mergeCell ref="B2:B4"/>
    <mergeCell ref="C2:C4"/>
    <mergeCell ref="D2:D4"/>
    <mergeCell ref="E2:E4"/>
    <mergeCell ref="F3:F4"/>
    <mergeCell ref="G3:G4"/>
    <mergeCell ref="H3:H4"/>
    <mergeCell ref="K2:K4"/>
    <mergeCell ref="L2:L4"/>
    <mergeCell ref="M2:M4"/>
    <mergeCell ref="N2:N4"/>
  </mergeCell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85" zoomScaleNormal="85" workbookViewId="0">
      <selection activeCell="C13" sqref="C13"/>
    </sheetView>
  </sheetViews>
  <sheetFormatPr defaultColWidth="8.85714285714286" defaultRowHeight="12.75"/>
  <cols>
    <col min="1" max="1" width="8.85714285714286" style="2"/>
    <col min="2" max="2" width="23" style="2" customWidth="1"/>
    <col min="3" max="3" width="29.752380952381" style="2" customWidth="1"/>
    <col min="4" max="4" width="8.85714285714286" style="2"/>
    <col min="5" max="5" width="24.3714285714286" style="3" customWidth="1"/>
    <col min="6" max="6" width="52.5428571428571" style="2" customWidth="1"/>
    <col min="7" max="7" width="10.1428571428571" style="1" customWidth="1"/>
    <col min="8" max="8" width="14.7142857142857" style="1" customWidth="1"/>
    <col min="9" max="16375" width="8.85714285714286" style="1"/>
    <col min="16376" max="16384" width="8.85714285714286" style="4"/>
  </cols>
  <sheetData>
    <row r="1" s="1" customFormat="1" ht="27.95" customHeight="1" spans="1:6">
      <c r="A1" s="5" t="s">
        <v>892</v>
      </c>
      <c r="B1" s="5"/>
      <c r="C1" s="5"/>
      <c r="D1" s="5"/>
      <c r="E1" s="6"/>
      <c r="F1" s="7"/>
    </row>
    <row r="2" s="1" customFormat="1" ht="52" customHeight="1" spans="1:7">
      <c r="A2" s="8" t="s">
        <v>56</v>
      </c>
      <c r="B2" s="9" t="s">
        <v>413</v>
      </c>
      <c r="C2" s="8" t="s">
        <v>57</v>
      </c>
      <c r="D2" s="9" t="s">
        <v>41</v>
      </c>
      <c r="E2" s="10" t="s">
        <v>893</v>
      </c>
      <c r="F2" s="8" t="s">
        <v>45</v>
      </c>
      <c r="G2" s="11"/>
    </row>
    <row r="3" s="1" customFormat="1" ht="18" customHeight="1" spans="1:12">
      <c r="A3" s="12" t="s">
        <v>894</v>
      </c>
      <c r="B3" s="12"/>
      <c r="C3" s="13"/>
      <c r="D3" s="14"/>
      <c r="E3" s="15"/>
      <c r="F3" s="16"/>
      <c r="G3" s="17"/>
      <c r="H3" s="17"/>
      <c r="I3" s="17"/>
      <c r="J3" s="24"/>
      <c r="K3" s="17"/>
      <c r="L3" s="25"/>
    </row>
    <row r="4" s="1" customFormat="1" ht="95.1" customHeight="1" spans="1:12">
      <c r="A4" s="9">
        <v>1</v>
      </c>
      <c r="B4" s="8" t="s">
        <v>895</v>
      </c>
      <c r="C4" s="18" t="s">
        <v>896</v>
      </c>
      <c r="D4" s="19" t="s">
        <v>214</v>
      </c>
      <c r="E4" s="20">
        <v>510</v>
      </c>
      <c r="F4" s="21" t="s">
        <v>897</v>
      </c>
      <c r="G4" s="17"/>
      <c r="H4" s="17"/>
      <c r="I4" s="17"/>
      <c r="J4" s="26"/>
      <c r="K4" s="27"/>
      <c r="L4" s="25"/>
    </row>
    <row r="5" s="1" customFormat="1" ht="95.1" customHeight="1" spans="1:12">
      <c r="A5" s="9">
        <v>2</v>
      </c>
      <c r="B5" s="8" t="s">
        <v>895</v>
      </c>
      <c r="C5" s="18" t="s">
        <v>898</v>
      </c>
      <c r="D5" s="19" t="s">
        <v>214</v>
      </c>
      <c r="E5" s="20">
        <v>750</v>
      </c>
      <c r="F5" s="21" t="s">
        <v>897</v>
      </c>
      <c r="G5" s="17"/>
      <c r="H5" s="17"/>
      <c r="I5" s="17"/>
      <c r="J5" s="26"/>
      <c r="K5" s="27"/>
      <c r="L5" s="25"/>
    </row>
    <row r="6" s="1" customFormat="1" ht="95.1" customHeight="1" spans="1:12">
      <c r="A6" s="9">
        <v>3</v>
      </c>
      <c r="B6" s="9" t="s">
        <v>899</v>
      </c>
      <c r="C6" s="18" t="s">
        <v>900</v>
      </c>
      <c r="D6" s="19" t="s">
        <v>214</v>
      </c>
      <c r="E6" s="22">
        <v>110</v>
      </c>
      <c r="F6" s="21" t="s">
        <v>897</v>
      </c>
      <c r="G6" s="17"/>
      <c r="H6" s="17"/>
      <c r="I6" s="17"/>
      <c r="J6" s="26"/>
      <c r="K6" s="26"/>
      <c r="L6" s="25"/>
    </row>
    <row r="7" s="1" customFormat="1" ht="119" customHeight="1" spans="1:6">
      <c r="A7" s="9">
        <v>4</v>
      </c>
      <c r="B7" s="9" t="s">
        <v>899</v>
      </c>
      <c r="C7" s="18" t="s">
        <v>901</v>
      </c>
      <c r="D7" s="19" t="s">
        <v>214</v>
      </c>
      <c r="E7" s="22">
        <v>150</v>
      </c>
      <c r="F7" s="21" t="s">
        <v>897</v>
      </c>
    </row>
    <row r="8" s="1" customFormat="1" ht="18" customHeight="1" spans="1:6">
      <c r="A8" s="2"/>
      <c r="B8" s="2"/>
      <c r="C8" s="2"/>
      <c r="D8" s="2"/>
      <c r="E8" s="3"/>
      <c r="F8" s="2"/>
    </row>
    <row r="9" s="1" customFormat="1" ht="18" customHeight="1" spans="1:6">
      <c r="A9" s="2"/>
      <c r="B9" s="2"/>
      <c r="C9" s="2"/>
      <c r="D9" s="2"/>
      <c r="E9" s="3"/>
      <c r="F9" s="2"/>
    </row>
    <row r="10" s="1" customFormat="1" ht="18" customHeight="1" spans="1:6">
      <c r="A10" s="2"/>
      <c r="B10" s="2"/>
      <c r="C10" s="2"/>
      <c r="D10" s="2"/>
      <c r="E10" s="3"/>
      <c r="F10" s="2"/>
    </row>
    <row r="11" s="1" customFormat="1" ht="18" customHeight="1" spans="1:6">
      <c r="A11" s="2"/>
      <c r="B11" s="2"/>
      <c r="C11" s="2"/>
      <c r="D11" s="2"/>
      <c r="E11" s="3"/>
      <c r="F11" s="2"/>
    </row>
    <row r="12" s="1" customFormat="1" ht="18" customHeight="1" spans="1:6">
      <c r="A12" s="2"/>
      <c r="B12" s="2"/>
      <c r="C12" s="2"/>
      <c r="D12" s="2"/>
      <c r="E12" s="3"/>
      <c r="F12" s="2"/>
    </row>
    <row r="13" s="1" customFormat="1" ht="18" customHeight="1" spans="1:6">
      <c r="A13" s="2"/>
      <c r="B13" s="2"/>
      <c r="C13" s="2"/>
      <c r="D13" s="2"/>
      <c r="E13" s="3"/>
      <c r="F13" s="2"/>
    </row>
    <row r="14" s="1" customFormat="1" ht="18" customHeight="1" spans="1:6">
      <c r="A14" s="2"/>
      <c r="B14" s="2"/>
      <c r="C14" s="2"/>
      <c r="D14" s="2"/>
      <c r="E14" s="3"/>
      <c r="F14" s="2"/>
    </row>
    <row r="15" s="1" customFormat="1" ht="18" customHeight="1" spans="1:6">
      <c r="A15" s="2"/>
      <c r="B15" s="2"/>
      <c r="C15" s="2"/>
      <c r="D15" s="2"/>
      <c r="E15" s="3"/>
      <c r="F15" s="2"/>
    </row>
    <row r="16" s="1" customFormat="1" ht="18" customHeight="1" spans="1:6">
      <c r="A16" s="2"/>
      <c r="B16" s="2"/>
      <c r="C16" s="2"/>
      <c r="D16" s="2"/>
      <c r="E16" s="3"/>
      <c r="F16" s="2"/>
    </row>
    <row r="17" s="1" customFormat="1" ht="18" customHeight="1" spans="1:6">
      <c r="A17" s="2"/>
      <c r="B17" s="2"/>
      <c r="C17" s="2"/>
      <c r="D17" s="2"/>
      <c r="E17" s="3"/>
      <c r="F17" s="2"/>
    </row>
    <row r="18" s="1" customFormat="1" ht="18" customHeight="1" spans="1:6">
      <c r="A18" s="2"/>
      <c r="B18" s="2"/>
      <c r="C18" s="2"/>
      <c r="D18" s="2"/>
      <c r="E18" s="3"/>
      <c r="F18" s="2"/>
    </row>
    <row r="19" s="1" customFormat="1" ht="18" customHeight="1" spans="1:6">
      <c r="A19" s="2"/>
      <c r="B19" s="2"/>
      <c r="C19" s="23"/>
      <c r="D19" s="2"/>
      <c r="E19" s="3"/>
      <c r="F19" s="2"/>
    </row>
    <row r="20" ht="18" customHeight="1"/>
  </sheetData>
  <sheetProtection formatCells="0" insertHyperlinks="0" autoFilter="0"/>
  <mergeCells count="2">
    <mergeCell ref="A1:F1"/>
    <mergeCell ref="A3:B3"/>
  </mergeCells>
  <pageMargins left="0.75" right="0.75" top="1" bottom="1" header="0.5" footer="0.5"/>
  <pageSetup paperSize="9" scale="44"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7" master=""/>
  <rangeList sheetStid="9" master=""/>
  <rangeList sheetStid="1" master=""/>
  <rangeList sheetStid="10" master=""/>
  <rangeList sheetStid="11" master=""/>
  <rangeList sheetStid="24" master="">
    <arrUserId title="区域3_9" rangeCreator="" othersAccessPermission="edit"/>
    <arrUserId title="区域3_11" rangeCreator="" othersAccessPermission="edit"/>
    <arrUserId title="区域3_11_1" rangeCreator="" othersAccessPermission="edit"/>
    <arrUserId title="区域3_13" rangeCreator="" othersAccessPermission="edit"/>
    <arrUserId title="区域3_15" rangeCreator="" othersAccessPermission="edit"/>
    <arrUserId title="区域3_8" rangeCreator="" othersAccessPermission="edit"/>
    <arrUserId title="区域3_9_1" rangeCreator="" othersAccessPermission="edit"/>
    <arrUserId title="区域3_11_2" rangeCreator="" othersAccessPermission="edit"/>
    <arrUserId title="区域3_11_1_2" rangeCreator="" othersAccessPermission="edit"/>
    <arrUserId title="区域3_13_1" rangeCreator="" othersAccessPermission="edit"/>
    <arrUserId title="区域3_15_5" rangeCreator="" othersAccessPermission="edit"/>
    <arrUserId title="区域3_8_1" rangeCreator="" othersAccessPermission="edit"/>
    <arrUserId title="区域3_7_2_2" rangeCreator="" othersAccessPermission="edit"/>
    <arrUserId title="区域3_9_3" rangeCreator="" othersAccessPermission="edit"/>
    <arrUserId title="区域3_10_3_2" rangeCreator="" othersAccessPermission="edit"/>
    <arrUserId title="区域3_11_3_1" rangeCreator="" othersAccessPermission="edit"/>
    <arrUserId title="区域3_10_1_2_2" rangeCreator="" othersAccessPermission="edit"/>
    <arrUserId title="区域3_11_1_2_2" rangeCreator="" othersAccessPermission="edit"/>
    <arrUserId title="区域3_12_2_2" rangeCreator="" othersAccessPermission="edit"/>
    <arrUserId title="区域3_14_2_1" rangeCreator="" othersAccessPermission="edit"/>
    <arrUserId title="区域3_15_2_3" rangeCreator="" othersAccessPermission="edit"/>
    <arrUserId title="区域3_8_2" rangeCreator="" othersAccessPermission="edit"/>
  </rangeList>
  <rangeList sheetStid="25" master=""/>
  <rangeList sheetStid="15" master=""/>
  <rangeList sheetStid="17" master=""/>
</allowEditUser>
</file>

<file path=customXml/item2.xml>��< ? x m l   v e r s i o n = " 1 . 0 "   s t a n d a l o n e = " y e s " ? > < w o P r o p s   x m l n s = " h t t p s : / / w e b . w p s . c n / e t / 2 0 1 8 / m a i n "   x m l n s : s = " h t t p : / / s c h e m a s . o p e n x m l f o r m a t s . o r g / s p r e a d s h e e t m l / 2 0 0 6 / m a i n " > < w o S h e e t s 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7 " / > < p i x e l a t o r L i s t   s h e e t S t i d = " 9 " / > < p i x e l a t o r L i s t   s h e e t S t i d = " 1 " / > < p i x e l a t o r L i s t   s h e e t S t i d = " 1 0 " / > < p i x e l a t o r L i s t   s h e e t S t i d = " 1 1 " / > < p i x e l a t o r L i s t   s h e e t S t i d = " 1 8 " / > < p i x e l a t o r L i s t   s h e e t S t i d = " 1 9 " / > < p i x e l a t o r L i s t   s h e e t S t i d = " 1 5 " / > < p i x e l a t o r L i s t   s h e e t S t i d = " 1 7 " / > < p i x e l a t o r L i s t   s h e e t S t i d = " 2 0 " / > < / 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WWO_wpscloud_20240606201745-8705c88072</Application>
  <HeadingPairs>
    <vt:vector size="2" baseType="variant">
      <vt:variant>
        <vt:lpstr>工作表</vt:lpstr>
      </vt:variant>
      <vt:variant>
        <vt:i4>10</vt:i4>
      </vt:variant>
    </vt:vector>
  </HeadingPairs>
  <TitlesOfParts>
    <vt:vector size="10" baseType="lpstr">
      <vt:lpstr>清单报价说明</vt:lpstr>
      <vt:lpstr>汇总表</vt:lpstr>
      <vt:lpstr>硬质铺装</vt:lpstr>
      <vt:lpstr>绿植乔木</vt:lpstr>
      <vt:lpstr>绿植灌木</vt:lpstr>
      <vt:lpstr>景观水电</vt:lpstr>
      <vt:lpstr>外网雨污水 </vt:lpstr>
      <vt:lpstr>软装</vt:lpstr>
      <vt:lpstr>备选类</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微信用户</cp:lastModifiedBy>
  <dcterms:created xsi:type="dcterms:W3CDTF">2020-11-24T01:45:00Z</dcterms:created>
  <dcterms:modified xsi:type="dcterms:W3CDTF">2024-07-02T02:56:03Z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24447C543C1C49828CE88DD2924EE36A_13</vt:lpwstr>
  </property>
  <property fmtid="{D5CDD505-2E9C-101B-9397-08002B2CF9AE}" pid="4" name="KSOReadingLayout">
    <vt:bool>true</vt:bool>
  </property>
</Properties>
</file>