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805" tabRatio="727"/>
  </bookViews>
  <sheets>
    <sheet name="封面" sheetId="1" r:id="rId1"/>
    <sheet name="报价说明" sheetId="2" r:id="rId2"/>
    <sheet name="汇总表" sheetId="3" r:id="rId3"/>
    <sheet name="工程量清单清单" sheetId="4" r:id="rId4"/>
    <sheet name="综合单价分析" sheetId="5" r:id="rId5"/>
    <sheet name="主要材料品牌单价" sheetId="6" r:id="rId6"/>
    <sheet name="五金配置表" sheetId="8" r:id="rId7"/>
    <sheet name="玻璃调整表" sheetId="9" r:id="rId8"/>
    <sheet name="工程量计算数" sheetId="7" r:id="rId9"/>
  </sheets>
  <externalReferences>
    <externalReference r:id="rId10"/>
    <externalReference r:id="rId11"/>
  </externalReferences>
  <definedNames>
    <definedName name="_xlnm._FilterDatabase" localSheetId="8" hidden="1">工程量计算数!$A$1:$N$99</definedName>
    <definedName name="_xlnm.Print_Area" localSheetId="0">封面!$A$1:$F$15</definedName>
    <definedName name="_xlnm._FilterDatabase" localSheetId="3" hidden="1">工程量清单清单!$A$1:$Q$48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<sst xmlns="http://schemas.openxmlformats.org/spreadsheetml/2006/main" count="2359" uniqueCount="387">
  <si>
    <t>投 标 报 价</t>
  </si>
  <si>
    <t>招   标   人：</t>
  </si>
  <si>
    <t xml:space="preserve"> 河南浩德新澜置业有限公司     </t>
  </si>
  <si>
    <t>工  程 名 称：</t>
  </si>
  <si>
    <t xml:space="preserve"> 洛阳市洛龙区伊河湾项目（3#、5#、8#楼）铝合金门窗制作安装工程 </t>
  </si>
  <si>
    <t>投标报价（小写）：</t>
  </si>
  <si>
    <t>元</t>
  </si>
  <si>
    <t>(大 写 金 额）：</t>
  </si>
  <si>
    <t>叁佰柒拾叁万贰仟捌佰陆拾捌元整</t>
  </si>
  <si>
    <t>投  标  单  位：</t>
  </si>
  <si>
    <t xml:space="preserve">                           （单位盖章）   </t>
  </si>
  <si>
    <t>法定代表人或其授权人：</t>
  </si>
  <si>
    <t xml:space="preserve">                           （签字或盖章） </t>
  </si>
  <si>
    <t>编  制  时  间：</t>
  </si>
  <si>
    <t xml:space="preserve">                  年       月        日     </t>
  </si>
  <si>
    <t>工程量清单编制说明</t>
  </si>
  <si>
    <t>一</t>
  </si>
  <si>
    <t>报价范围</t>
  </si>
  <si>
    <t>承包范围： 洛阳市洛龙区伊河湾项目铝合金门窗制作安装工程，包含断桥铝合金门窗、防火窗、耐火窗、推拉门、地弹门、平开门等；</t>
  </si>
  <si>
    <t>清单及报价依据：伊河湾项目建筑施工图(图纸版本为2023.03)、门窗深化图(图纸版本为2024.2.27)、工程质量及技术标准</t>
  </si>
  <si>
    <t>水电接口：甲方现场提供水电接驳点，接驳点后的材料及安装由中标单位自行负责。</t>
  </si>
  <si>
    <t>二</t>
  </si>
  <si>
    <t>投标报价说明:</t>
  </si>
  <si>
    <t>本项目工程采用工程量清单综合单价报价，合同价形式为含税暂定总价，按门窗洞口面积*综合单价据实结算。按照窗净面积=外框高度*外框宽度，门窗外框高度、宽度按洞口确认单尺寸核算；</t>
  </si>
  <si>
    <t>本次招标采用增值税一般计税，开具发票税率要求为9%；进入综合单价中的材料（型材、玻璃、五金、胶条、毛条、胶等）均为不含增值税价格。合同履行期间若国家增值税税率发生调整时，按不含增值税综合单价不变的原则，以实际开具的增值税发票为界，税率按国家最新政策执行。</t>
  </si>
  <si>
    <t>本次招标的不含增值税综合单价包括；(1)材料费用包括型材、玻璃、密封胶、发泡胶、胶条、毛条、五金配件及制作安装中必须的自攻丝、射钉、铆钉、射钉、玻璃垫块、防水砂浆、美纹纸等材料；(2)加工制作安装费用包含按照招标文件要求完成门窗安装所需的人工、材料、机械、运输费、成品保护、检测费、淋水试验、塞缝、措施费(含安全施工、文明施工费、疫情防护、冬雨季施工、夜间施工、二次搬运、赶工等)、各种管理费、利润、规费、市场涨价风险等的全部费用；(3)加工制作和安装费不因实际所用材料品牌的变换而发生变化。</t>
  </si>
  <si>
    <t>投标人应对本工程招标范围、内容、技术说明、采用规范要求、合同条件、质量标准、工期进度要求、施工现场情况、工程所在地的周围环境、交通等与工程施工有关的所有情况进行详细了解和研究,自行组织现场踏勘了解施工现场实际情况并调查市场价格及工程所在地相关建筑市场管理政策、法律和规定，根据自行编制的施工组织设计或施工方案，结合本企业的自身技术资质情况、经济物质资源情况、经营能力、组织管理能力，及相关计价规则、技术装备水平、管理水平，工程实际情况、风险程度等自主报价，投标报价被认为能够全面履行应尽的义务和应承担的责任。</t>
  </si>
  <si>
    <t>工地周围环境、交通道路、现场地质资料、周围地下管网、现场条件、招标文件、承包范围、施工组织设计，并考虑检验检测、施工技术措施、安全文明施工措施、疫情防护、样板房抢工、保修期内因施工质量问题引起的维修等因素，以及除可调差材料外的风险因素，均应在投标报价中统一考虑，不再另外计取任何其他费用。</t>
  </si>
  <si>
    <t>投标人的投标报价必须在合理范围内，不允许不均衡报价，不允许对相同的清单项报不同的价格。如投标人的某些综合单价与市场价格相差较大，招标人有权要求投标人对其作出澄清说明，并且招标人有权在中标后对其单价进行平衡调整；如出现相同清单项报价不同，招标人有权按照最低价格执行。</t>
  </si>
  <si>
    <t>投标人应认真阅读招标文件的全部内容，如有错误和疑义，请以书面形式提出，如没有提出，则表明对招标文件的全部内容已理解并且接受，对此产生的全部责任由投标人承担。投标人必须按招标文件要求进行报价，不得对招标文件内容进行实质性改变，如出现投标文件同招标文件不一致的地方以招标文件为准，表格中的数字均有公式链接关系，请投标人自行检查，保证其正确性，否则因数据链接导致的错误责任由投标人承担。</t>
  </si>
  <si>
    <t>招标人未指定产地或品牌的材料、设备由投标单位自主选择，所选择的材料设备均为经国家产品质量监督检验中心检测合格的产品，且满足招标技术要求。投标单位应填报相应的材料设备单价、品牌、规格、型号、产地等</t>
  </si>
  <si>
    <t>门窗与主体结构的塞缝由中标单位负责，窗框底边及两侧边上翻150mm高范围采用干硬性防水砂浆塞缝，上边及两侧剩余部分打发泡胶塞缝。</t>
  </si>
  <si>
    <t>三</t>
  </si>
  <si>
    <t>调差及其他</t>
  </si>
  <si>
    <t>本工程对市场价格波动引起的调整，对铝锭、玻璃主材价格（包含运杂、运输损耗、装卸等费用）进行调整；其余所有人工、材料、机械等均不随市场价格或政策变化而调整，单栋楼门窗具体调整方式：
1、铝型材价差调整办法：
1.1、铝锭主材价格由乙方结合市场自主报价；
1.2、基期铝锭价格A（除税价）：本次合同铝锭按照2024年3月27日长江有色金属A00铝MA1当日价格19260元/吨作为基准价，后期按照甲方向乙方发送每批次铝合金门窗进场书面通知发送当日的长江有色金属MA1当日价格对铝型材价格进行调差。铝型材价差在-3%～3%之间的（含3%）的不调材差，铝型材价差小于-3%或大于3%以外的部分按铝锭价差调整铝型材价格。其他材料不调整；
1.3、铝材调差费用=[B-A*(1±3%)]*可调差铝材总量*（1+合同增值税税率），上涨时为+3%，下跌时为-3%；
1.4、调差部分只计税金，其他均不作调整。 
2、玻璃铝型材价差调整办法（仅对浮法玻璃原片进行调差，二次深加工钢化、镀膜、中空、加胶、防火处理等不调差）：
2.1、基期玻璃价格P0（除税价）：以2024年3月27日对应当期（发标当日对应的上旬、中旬或下旬）价格为基期价格；玻璃价格以国家统计局(http://www.stats.gov.cn)“流通领域重要生产资料市场价格变动情况”公布的“浮法平板玻璃4.8/5mm”价格为准；
2.2、施工期玻璃价格P1（除税价）：以首批玻璃进场日对应当期（以甲方通知玻璃进场日对应的上旬、中旬或下旬）算术平均价格为施工期价格；当施工期价格与基期价格之比浮动率在±5%以内(含±5%)不予调整，超过±5%时，只对超出部分进行调整(除税价格)；
2.3、玻璃调差费用=[P1-P0*(1±5%)]*可调差玻璃总量*（1+合同增值税税率）/(80.00或66.67或40.00)，上涨时为+5%，下跌时为-5%；
2.4、玻璃总量的计算，吨单价与平方米单价折合关系为：5mm厚每吨=80.00㎡，6mm厚每吨=66.67㎡，8mm厚每吨=50.00㎡，10mm厚每吨=40㎡.00；双层或三层玻璃按同型号叠加计算，调差部分只计税金，其他均不作调整。其他材料不调整。</t>
  </si>
  <si>
    <t>总包服务费、配合费已由甲方统一支付给总包单位，甲方已支付的配合费包括施工方因施工需要使用总包脚手架、垂直运输工具、材料存放场地、供水电接驳点、资料统一归档的费用。</t>
  </si>
  <si>
    <t>本页以下无内容！</t>
  </si>
  <si>
    <t>伊河湾项目门窗工程造价汇总表</t>
  </si>
  <si>
    <t>序号</t>
  </si>
  <si>
    <t>项目名称</t>
  </si>
  <si>
    <t>特征描述</t>
  </si>
  <si>
    <t>门窗面积
（m2）</t>
  </si>
  <si>
    <t>含税9%金额(元)</t>
  </si>
  <si>
    <t>含税9%综合单价
(元/m2)</t>
  </si>
  <si>
    <t>备注</t>
  </si>
  <si>
    <t>①</t>
  </si>
  <si>
    <t>②</t>
  </si>
  <si>
    <t>③=②/①</t>
  </si>
  <si>
    <t xml:space="preserve">  外窗</t>
  </si>
  <si>
    <t>内平开窗</t>
  </si>
  <si>
    <t>1.型材：50系列普铝内开窗；
2.玻璃：单层钢化磨砂玻璃6mm；</t>
  </si>
  <si>
    <t>外开窗</t>
  </si>
  <si>
    <t>1.型材：50系列普铝外平开窗；
2.玻璃：单层钢化玻璃6mm；</t>
  </si>
  <si>
    <t>1.型材：60系列断桥铝合金外平开窗；
2.玻璃：5LOW-E单银+9A+5+9A+5低辐射中空钢化玻璃；</t>
  </si>
  <si>
    <t>1.型材：60系列断桥铝合金外平开窗；
2.玻璃：5LOW-E单银+9A+5+9A+5低辐射中空钢化玻璃，单片玻璃≥2m2需用6mm；</t>
  </si>
  <si>
    <t>1.型材：60系列断桥铝合金外平开窗；
2.玻璃：5LOW-E单银+9A+5+9A+5低辐射中空钢化玻璃，单片玻璃≥3m2需用8mm；</t>
  </si>
  <si>
    <t xml:space="preserve">推拉窗 </t>
  </si>
  <si>
    <t>1.型材：80系列普铝推拉窗；
2.玻璃：单层钢化玻璃6mm；</t>
  </si>
  <si>
    <t>上悬窗</t>
  </si>
  <si>
    <t>1.型材：60系列断桥铝合金外悬窗；
2.玻璃：5LOW-E单银+9A+5+9A+5低辐射中空钢化玻璃；</t>
  </si>
  <si>
    <t>固定窗</t>
  </si>
  <si>
    <t>1.型材：50系列普铝固定窗；
2.玻璃：单层钢化玻璃6mm；</t>
  </si>
  <si>
    <t>门</t>
  </si>
  <si>
    <t>外平开门</t>
  </si>
  <si>
    <t>1.型材：60系列塑钢外平开门；
2.玻璃：5+9A+5钢化双白玻；</t>
  </si>
  <si>
    <t>1.型材：60系列断桥铝合金外平开门；
2.玻璃：5LOW-E单银+9A+5+9A+6铯钾低辐射中空玻璃；</t>
  </si>
  <si>
    <t>内开门</t>
  </si>
  <si>
    <t>1.型材：60系列隔热铝合金内开门；
2.玻璃：5+9A+5中空玻璃，</t>
  </si>
  <si>
    <t>推拉门</t>
  </si>
  <si>
    <t>1.型材：60系列塑钢推拉门；
2.玻璃：5+9A+5钢化双白玻；</t>
  </si>
  <si>
    <t>1.型材：60系列塑钢推拉门；
2.玻璃：6+9A+6钢化双白玻；</t>
  </si>
  <si>
    <t>耐火窗</t>
  </si>
  <si>
    <t>耐火外平开窗</t>
  </si>
  <si>
    <t>1.型材：60系列断桥铝合金耐火外平开；
2.玻璃：5LOW-E单银+9A+5+9A+6铯钾低辐射中空耐火钢化玻璃；</t>
  </si>
  <si>
    <t>1.型材：60系列断桥铝合金耐火外平开；
2.玻璃：5LOW-E单银+9A+5+9A+6铯钾低辐射中空耐火钢化玻璃，单片玻璃≥2m2需用6mm；</t>
  </si>
  <si>
    <t>四</t>
  </si>
  <si>
    <t>玻璃幕墙</t>
  </si>
  <si>
    <t>1.型材：150系列普铝幕墙窗平开门；
2.玻璃：6mm+0.76PVB+6mm双白钢化夹胶玻璃，</t>
  </si>
  <si>
    <t>五</t>
  </si>
  <si>
    <t>合计</t>
  </si>
  <si>
    <t>门窗工程量清单表</t>
  </si>
  <si>
    <t>门窗类型</t>
  </si>
  <si>
    <t>门窗编号</t>
  </si>
  <si>
    <t>门窗面积（m2）</t>
  </si>
  <si>
    <t>不含增值税综合单价（元/m2）</t>
  </si>
  <si>
    <t>税率</t>
  </si>
  <si>
    <t>含税9%综合单价（元/m2）</t>
  </si>
  <si>
    <t>含税9%合价金额
（元）</t>
  </si>
  <si>
    <t>3#楼</t>
  </si>
  <si>
    <t>5#楼</t>
  </si>
  <si>
    <t>8#楼</t>
  </si>
  <si>
    <t>11#12#13#楼</t>
  </si>
  <si>
    <t>50系列普铝外平开窗</t>
  </si>
  <si>
    <t>900*1400</t>
  </si>
  <si>
    <t>1200*1200</t>
  </si>
  <si>
    <t>1200*1400</t>
  </si>
  <si>
    <t>1500*1400</t>
  </si>
  <si>
    <t>1500*1200</t>
  </si>
  <si>
    <t>1800*1700</t>
  </si>
  <si>
    <t>50系列普铝固定</t>
  </si>
  <si>
    <t>50系列普铝内开窗</t>
  </si>
  <si>
    <t>500*1000</t>
  </si>
  <si>
    <t>600*1200</t>
  </si>
  <si>
    <t>60系列断桥铝合金外平开窗</t>
  </si>
  <si>
    <t>1500*2100</t>
  </si>
  <si>
    <t>1.60系列断桥铝合金外平开窗
2.玻璃：5LOW-E单银+9A+5+9A+5低辐射中空钢化玻璃；</t>
  </si>
  <si>
    <t>1500*1450</t>
  </si>
  <si>
    <t>1500*1500</t>
  </si>
  <si>
    <t>600*1400</t>
  </si>
  <si>
    <t>900*1450</t>
  </si>
  <si>
    <t>1600*2150</t>
  </si>
  <si>
    <t>2100*2150</t>
  </si>
  <si>
    <t>4900*2100</t>
  </si>
  <si>
    <t>1.型材：60系列断桥铝合金外平开窗；
2.玻璃：5LOW-E单银+9A+5+9A+5低辐射中空玻璃，单片玻璃≥3m2需用8mm；</t>
  </si>
  <si>
    <t>60系列断桥铝合金外悬窗</t>
  </si>
  <si>
    <t>500*1400</t>
  </si>
  <si>
    <t>500*1450</t>
  </si>
  <si>
    <t>550*1400</t>
  </si>
  <si>
    <t>600*1450</t>
  </si>
  <si>
    <t>60系列断桥铝合金耐火外平开</t>
  </si>
  <si>
    <t>2100*2100</t>
  </si>
  <si>
    <t>1.型材：60系列断桥铝合金耐火外平开；
2.玻璃：5LOW-E单银+9A+5+9A+6铯钾低辐射中空耐火钢化玻璃，单片玻璃≥2m2需用6mm</t>
  </si>
  <si>
    <t>2100*1700</t>
  </si>
  <si>
    <t>80系列普铝推拉窗</t>
  </si>
  <si>
    <t>1100*1500</t>
  </si>
  <si>
    <t>60系列塑钢外平开门</t>
  </si>
  <si>
    <t>700*2350</t>
  </si>
  <si>
    <t>60系列断桥外平开门</t>
  </si>
  <si>
    <t>1200*2300</t>
  </si>
  <si>
    <t>1200*2350</t>
  </si>
  <si>
    <t>60系列隔热铝合金内开门</t>
  </si>
  <si>
    <t>1200*2400</t>
  </si>
  <si>
    <t>60系列塑钢推拉门</t>
  </si>
  <si>
    <t>1500*2350</t>
  </si>
  <si>
    <t>1600*2300</t>
  </si>
  <si>
    <t>1600*2350</t>
  </si>
  <si>
    <t>4800*2350</t>
  </si>
  <si>
    <t>2100*2300</t>
  </si>
  <si>
    <t>3600*2350</t>
  </si>
  <si>
    <t>150系列普铝幕墙窗+平开门</t>
  </si>
  <si>
    <t>顶层玻璃幕</t>
  </si>
  <si>
    <t>1.型材：150系列普铝幕墙窗+平开门；
2.玻璃：6mm+0.76PVB+6mm双白钢化夹胶玻璃，</t>
  </si>
  <si>
    <t>门窗单价分析表（样表，每个窗型进行分析报价）</t>
  </si>
  <si>
    <t>名称</t>
  </si>
  <si>
    <t>系列分类</t>
  </si>
  <si>
    <t>深化图</t>
  </si>
  <si>
    <t>开启方式</t>
  </si>
  <si>
    <t>洞口宽
（mm)</t>
  </si>
  <si>
    <t>洞口高度
（mm)</t>
  </si>
  <si>
    <t>单樘面积</t>
  </si>
  <si>
    <t>洞口面积
（㎡）</t>
  </si>
  <si>
    <t>外框面积（㎡）</t>
  </si>
  <si>
    <t>构件名称</t>
  </si>
  <si>
    <t>单位</t>
  </si>
  <si>
    <t>每平米消耗量</t>
  </si>
  <si>
    <t>损耗</t>
  </si>
  <si>
    <t>单价（元/单位）</t>
  </si>
  <si>
    <t>合价（元/m2）</t>
  </si>
  <si>
    <t>品种、规格、产地</t>
  </si>
  <si>
    <t>型材</t>
  </si>
  <si>
    <t>粉末喷涂铝型材普通铝型材</t>
  </si>
  <si>
    <t>kg/m2</t>
  </si>
  <si>
    <t>素铝型材</t>
  </si>
  <si>
    <t>五金</t>
  </si>
  <si>
    <t>五金配件</t>
  </si>
  <si>
    <t>套</t>
  </si>
  <si>
    <t>玻璃</t>
  </si>
  <si>
    <t>单层钢化玻璃6mm</t>
  </si>
  <si>
    <t>m2</t>
  </si>
  <si>
    <t>密封材料</t>
  </si>
  <si>
    <t>按外框面积</t>
  </si>
  <si>
    <t>中性硅酮耐候胶</t>
  </si>
  <si>
    <t>支</t>
  </si>
  <si>
    <t>密封胶</t>
  </si>
  <si>
    <t>聚氨酯发泡剂</t>
  </si>
  <si>
    <t>组角结构胶</t>
  </si>
  <si>
    <t>防水砂浆塞缝</t>
  </si>
  <si>
    <t>m</t>
  </si>
  <si>
    <t>辅材及其他</t>
  </si>
  <si>
    <t>三元乙丙胶条</t>
  </si>
  <si>
    <t>kg</t>
  </si>
  <si>
    <t>毛条</t>
  </si>
  <si>
    <t>其他辅材</t>
  </si>
  <si>
    <t>加工制作费</t>
  </si>
  <si>
    <t>现场安装费</t>
  </si>
  <si>
    <t>包装运输费</t>
  </si>
  <si>
    <t>水电费</t>
  </si>
  <si>
    <t>现场淋水试验</t>
  </si>
  <si>
    <t>门窗检测</t>
  </si>
  <si>
    <t>成品保护费</t>
  </si>
  <si>
    <t>直接费小计</t>
  </si>
  <si>
    <t>（1+2+…+11)</t>
  </si>
  <si>
    <t>按外框面积综合单价（元/㎡）</t>
  </si>
  <si>
    <t>管理费、利润</t>
  </si>
  <si>
    <r>
      <rPr>
        <sz val="9"/>
        <color theme="1"/>
        <rFont val="宋体"/>
        <charset val="134"/>
        <scheme val="minor"/>
      </rPr>
      <t>(12)×</t>
    </r>
    <r>
      <rPr>
        <u/>
        <sz val="9"/>
        <color theme="1"/>
        <rFont val="宋体"/>
        <charset val="134"/>
        <scheme val="minor"/>
      </rPr>
      <t xml:space="preserve">  8  </t>
    </r>
    <r>
      <rPr>
        <sz val="9"/>
        <color theme="1"/>
        <rFont val="宋体"/>
        <charset val="134"/>
        <scheme val="minor"/>
      </rPr>
      <t>%</t>
    </r>
  </si>
  <si>
    <t>不含税综合单价</t>
  </si>
  <si>
    <t>(12+13)</t>
  </si>
  <si>
    <t>单层钢化磨砂玻璃6mm</t>
  </si>
  <si>
    <t>门窗单价分析表</t>
  </si>
  <si>
    <t>断桥60系列外平开窗</t>
  </si>
  <si>
    <t>粉末喷涂铝型材断桥铝型材</t>
  </si>
  <si>
    <t>5LOW-E单+9A+5+9A+5三玻两腔钢化</t>
  </si>
  <si>
    <t>6LOW-E单+9A+6+9A+6三玻两腔钢化</t>
  </si>
  <si>
    <t>8LOW-E单+9A+8+9A+8三玻两腔钢化</t>
  </si>
  <si>
    <t>60系列外悬窗+90隔热推拉</t>
  </si>
  <si>
    <t>5LOW-E单银+9A+5钢化玻璃</t>
  </si>
  <si>
    <t>5LOW-E单银+9A+5+9A+6铯钾低辐射中空耐火钢化玻璃</t>
  </si>
  <si>
    <t>6LOW-E单银+9A+6+9A+6铯钾低辐射中空耐火钢化玻璃</t>
  </si>
  <si>
    <t>85系列断桥铝推拉窗</t>
  </si>
  <si>
    <t>5+12A+5钢化双白玻</t>
  </si>
  <si>
    <t>5LOW-E单银+9A+5+9A+6铯钾低辐射中空玻璃</t>
  </si>
  <si>
    <t>60系列塑钢</t>
  </si>
  <si>
    <t>5+9A+5钢化双白玻</t>
  </si>
  <si>
    <t>5+9A+5中空玻璃</t>
  </si>
  <si>
    <t>6+9A+6钢化双白玻</t>
  </si>
  <si>
    <t>钢衬等</t>
  </si>
  <si>
    <t>100系列断桥铝地弹门</t>
  </si>
  <si>
    <t>150系列普铝幕墙窗</t>
  </si>
  <si>
    <t>6mm+0.76PVB+6mm双白钢化夹胶玻璃</t>
  </si>
  <si>
    <t>150系列普铝幕墙窗+46系列地弹门</t>
  </si>
  <si>
    <t>门窗工程材料品牌及单价表（样表）</t>
  </si>
  <si>
    <t>工程名称：</t>
  </si>
  <si>
    <t>规格及型号</t>
  </si>
  <si>
    <r>
      <rPr>
        <sz val="9"/>
        <rFont val="宋体"/>
        <charset val="134"/>
      </rPr>
      <t>不含增值税单价</t>
    </r>
    <r>
      <rPr>
        <sz val="9"/>
        <rFont val="Times New Roman"/>
        <charset val="134"/>
      </rPr>
      <t xml:space="preserve"> </t>
    </r>
  </si>
  <si>
    <t>铝合金型材</t>
  </si>
  <si>
    <t>50系列普通铝合金</t>
  </si>
  <si>
    <t>t</t>
  </si>
  <si>
    <t>60系列</t>
  </si>
  <si>
    <t>广东凤铝</t>
  </si>
  <si>
    <t>60系列断桥铝合金</t>
  </si>
  <si>
    <t>芜湖海螺</t>
  </si>
  <si>
    <t>80系列普通铝合金</t>
  </si>
  <si>
    <t>80系列</t>
  </si>
  <si>
    <t>85系列断桥铝合金</t>
  </si>
  <si>
    <t>85系列</t>
  </si>
  <si>
    <t>100系列断桥铝合金</t>
  </si>
  <si>
    <t>100系列</t>
  </si>
  <si>
    <t>120系列普通铝合金</t>
  </si>
  <si>
    <t>120系列</t>
  </si>
  <si>
    <t>150系列普通铝合金</t>
  </si>
  <si>
    <t>150系列</t>
  </si>
  <si>
    <t>门窗五金（含执手）</t>
  </si>
  <si>
    <t>60隔热铝合金外开窗</t>
  </si>
  <si>
    <t>广东坚朗</t>
  </si>
  <si>
    <t>60隔热铝合金外悬窗</t>
  </si>
  <si>
    <t>50铝合金内开窗</t>
  </si>
  <si>
    <t>50铝合金外开窗</t>
  </si>
  <si>
    <t>50系列普铝固定窗</t>
  </si>
  <si>
    <t>80铝合金推拉窗</t>
  </si>
  <si>
    <t>85隔热铝合金推拉窗</t>
  </si>
  <si>
    <t>60塑钢推拉门（双扇）</t>
  </si>
  <si>
    <t>60塑钢推拉门（四扇）</t>
  </si>
  <si>
    <t>60隔热铝合金内平开门（单扇）</t>
  </si>
  <si>
    <t>60系列塑钢外平开门（单扇）</t>
  </si>
  <si>
    <t>100隔热铝合金地弹门</t>
  </si>
  <si>
    <t>60铝合金耐火外开窗</t>
  </si>
  <si>
    <t>60铝合金耐火外平开门（单扇）</t>
  </si>
  <si>
    <t>6mm单层钢化玻璃</t>
  </si>
  <si>
    <t>㎡</t>
  </si>
  <si>
    <t>洛阳一玻璃</t>
  </si>
  <si>
    <t>6mm单层磨砂钢化玻璃</t>
  </si>
  <si>
    <t>杭州“之江”</t>
  </si>
  <si>
    <t>“海达”/“新安东”/“合和”</t>
  </si>
  <si>
    <t>镀锌钢材</t>
  </si>
  <si>
    <t>氟碳喷涂钢材</t>
  </si>
  <si>
    <t>镀锌方钢管</t>
  </si>
  <si>
    <t>热镀锌钢板</t>
  </si>
  <si>
    <t>注：1、投标人须分项说明其投标价格中所包括的关于技术规范规定之主要物料限制范围内所选用上述物料的产地来源及其到工地材料价格；若属于进口或合资产品，亦需一并作出说明；以便评标,及作为本工程内有关计日工作类工程变更的计价基础。上表所报材料价格应与分部分项工程量清单中同样材料的价格一致，列项不全时自行补充。投标单位选用品牌需满足招标文件要求，同时满足消防品牌库及环保品牌库要求。</t>
  </si>
  <si>
    <t xml:space="preserve"> 门窗五金主要配置（样表） </t>
  </si>
  <si>
    <t>配件名称</t>
  </si>
  <si>
    <t>使用数量</t>
  </si>
  <si>
    <t>不含税单价</t>
  </si>
  <si>
    <t>金额</t>
  </si>
  <si>
    <t>铝合金平开窗</t>
  </si>
  <si>
    <t>执 手</t>
  </si>
  <si>
    <t>单扇数量，多扇基数相乘</t>
  </si>
  <si>
    <t>传动杆</t>
  </si>
  <si>
    <t>锁 座</t>
  </si>
  <si>
    <t>防坠落器</t>
  </si>
  <si>
    <t>滑 撑</t>
  </si>
  <si>
    <t>铝合金外悬窗</t>
  </si>
  <si>
    <t>执手</t>
  </si>
  <si>
    <t>滑撑</t>
  </si>
  <si>
    <t>铝杆</t>
  </si>
  <si>
    <t>锁座</t>
  </si>
  <si>
    <t>风撑</t>
  </si>
  <si>
    <t>铝合金内开窗</t>
  </si>
  <si>
    <t>锁块</t>
  </si>
  <si>
    <t>合页</t>
  </si>
  <si>
    <t>垫块</t>
  </si>
  <si>
    <t>支撑块</t>
  </si>
  <si>
    <t>铝合金固定窗</t>
  </si>
  <si>
    <t xml:space="preserve"> </t>
  </si>
  <si>
    <t>铝合金推拉窗</t>
  </si>
  <si>
    <t>月牙锁</t>
  </si>
  <si>
    <t>锁钩</t>
  </si>
  <si>
    <t>单滑轮</t>
  </si>
  <si>
    <t>铝合金推拉门</t>
  </si>
  <si>
    <t>单樘数量</t>
  </si>
  <si>
    <t>铝合金平开门</t>
  </si>
  <si>
    <t>门锁</t>
  </si>
  <si>
    <t>锁芯</t>
  </si>
  <si>
    <t>框面板</t>
  </si>
  <si>
    <t>铝合金地弹门</t>
  </si>
  <si>
    <t>拉手</t>
  </si>
  <si>
    <t>地弹簧</t>
  </si>
  <si>
    <t>玻璃调整清单</t>
  </si>
  <si>
    <t>名称及型号</t>
  </si>
  <si>
    <t>非钢化单价（元）</t>
  </si>
  <si>
    <t>钢化单价（元）</t>
  </si>
  <si>
    <t>单面low-e（元）</t>
  </si>
  <si>
    <t>5LOW-E单银+9A+5中空钢化玻璃</t>
  </si>
  <si>
    <t>5LOW-E单银+12A+5中空钢化玻璃</t>
  </si>
  <si>
    <t>6LOW-E单银+9A+6中空玻璃</t>
  </si>
  <si>
    <t>门窗工程量计算书</t>
  </si>
  <si>
    <t>楼层</t>
  </si>
  <si>
    <t>洞口宽度mm</t>
  </si>
  <si>
    <t>洞口高度mm</t>
  </si>
  <si>
    <t>门窗宽度mm</t>
  </si>
  <si>
    <t>门窗高度mm</t>
  </si>
  <si>
    <t>数量（樘）</t>
  </si>
  <si>
    <t>60系列外悬窗</t>
  </si>
  <si>
    <t>C-1</t>
  </si>
  <si>
    <t>1-7层</t>
  </si>
  <si>
    <t>1.型材：60系列断桥铝合金外悬窗；
2.玻璃：5LOW-E单银+9A+5+9A+5低辐射中空玻璃；</t>
  </si>
  <si>
    <t>8-23层</t>
  </si>
  <si>
    <t>C-3</t>
  </si>
  <si>
    <t>C-6</t>
  </si>
  <si>
    <t>C-15</t>
  </si>
  <si>
    <t>60系列外平开</t>
  </si>
  <si>
    <t>C-2</t>
  </si>
  <si>
    <t>1.型材：60系列断桥铝合金外平开窗；
2.玻璃：5LOW-E单银+9A+5+9A+5低辐射中空玻璃；</t>
  </si>
  <si>
    <t>C-4</t>
  </si>
  <si>
    <t>60系列耐火外平开</t>
  </si>
  <si>
    <t>C-5</t>
  </si>
  <si>
    <t>2-23层</t>
  </si>
  <si>
    <t>C-9</t>
  </si>
  <si>
    <t>1.型材：60系列断桥铝合金耐火外平开；
2.玻璃：5LOW-E单银+9A+5+9A+6铯钾低辐射中空玻璃，单片玻璃≥2m2需用6mm；</t>
  </si>
  <si>
    <t>1-23层</t>
  </si>
  <si>
    <t>C-10</t>
  </si>
  <si>
    <t>2-7层</t>
  </si>
  <si>
    <t>C-13</t>
  </si>
  <si>
    <t>C-7</t>
  </si>
  <si>
    <t>2-23层梯间</t>
  </si>
  <si>
    <t>50系列普铝外平开</t>
  </si>
  <si>
    <t>C-7a</t>
  </si>
  <si>
    <t>屋顶</t>
  </si>
  <si>
    <t>1.型材：50系列普铝外平开窗；
2.玻璃：单层玻璃6mm；</t>
  </si>
  <si>
    <t>C-8</t>
  </si>
  <si>
    <t>1-23层候梯厅</t>
  </si>
  <si>
    <t>C-14</t>
  </si>
  <si>
    <t>C-11</t>
  </si>
  <si>
    <t>M-4</t>
  </si>
  <si>
    <t>TLM-1</t>
  </si>
  <si>
    <t>1.型材：90系列断桥铝推拉门；
2.玻璃：5LOW-E单银+9A+5低辐射中空玻璃；</t>
  </si>
  <si>
    <t>TLM-2</t>
  </si>
  <si>
    <t>1.型材：90系列断桥铝推拉门；
2.玻璃：6LOW-E单银+9A+6低辐射中空玻璃；</t>
  </si>
  <si>
    <t>TLM-3</t>
  </si>
  <si>
    <t>1.型材：150系列普铝幕墙窗；
2.玻璃：6mm+0.76PVB+6mm双白钢化夹胶玻璃；</t>
  </si>
  <si>
    <t>8-13层</t>
  </si>
  <si>
    <t>1.型材：60系列断桥铝合金外平开窗；
2.玻璃：5LOW-E单银+9A+5+9A+5低辐射中空玻璃，单片玻璃≥2m2需用6mm；</t>
  </si>
  <si>
    <t>2-13层梯间</t>
  </si>
  <si>
    <t>1.型材：80系列普铝推拉窗；
2.玻璃：单层玻璃6mm；</t>
  </si>
  <si>
    <t>C-4a</t>
  </si>
  <si>
    <t>1.型材：50系列普铝固定窗；
2.玻璃：单层玻璃6mm；</t>
  </si>
  <si>
    <t>1-13层</t>
  </si>
  <si>
    <t>1.型材：60系列断桥铝合金外平开门；
2.玻璃：5LOW-E单银+9A+5+9A+5低辐射中空玻璃，</t>
  </si>
  <si>
    <t>TLM-4</t>
  </si>
  <si>
    <t>TLM-6</t>
  </si>
  <si>
    <t>TLM-7</t>
  </si>
  <si>
    <t>TLM-5</t>
  </si>
  <si>
    <t>M-3</t>
  </si>
  <si>
    <t>M-6</t>
  </si>
  <si>
    <t>1.型材：60系列隔热铝合金内开门；
2.玻璃：5+9A+5中空玻璃；</t>
  </si>
  <si>
    <t>负一层</t>
  </si>
  <si>
    <t>M-7</t>
  </si>
  <si>
    <t>顶层</t>
  </si>
  <si>
    <t>1.型材：150系列普铝幕墙窗+46系列地弹门；
2.玻璃：6mm+0.76PVB+6mm双白钢化夹胶玻璃；</t>
  </si>
  <si>
    <t>8-11层</t>
  </si>
  <si>
    <t>2-11层</t>
  </si>
  <si>
    <t>1-11层</t>
  </si>
  <si>
    <t>120系列普铝幕墙窗+46系列地弹门</t>
  </si>
  <si>
    <t>1.型材：120系列普铝幕墙窗+46系列地弹门；
2.玻璃：6mm+0.76PVB+6mm双白钢化夹胶玻璃，</t>
  </si>
  <si>
    <t>120系列普铝幕墙窗</t>
  </si>
  <si>
    <t>1.型材：120系列普铝幕墙窗；
2.玻璃：6mm+0.76PVB+6mm双白钢化夹胶玻璃，</t>
  </si>
  <si>
    <t>1层</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</si>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</sst>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Red]\(0.00\)"/>
    <numFmt numFmtId="179" formatCode="0.0_ "/>
    <numFmt numFmtId="180" formatCode="[DBNum2][$-804]General"/>
  </numFmts>
  <fonts count="49">
    <font>
      <sz val="11"/>
      <color theme="1"/>
      <name val="宋体"/>
      <charset val="134"/>
      <scheme val="minor"/>
    </font>
    <font>
      <b/>
      <sz val="11"/>
      <color theme="1"/>
      <name val="宋体"/>
      <charset val="134"/>
      <scheme val="minor"/>
    </font>
    <font>
      <b/>
      <sz val="9"/>
      <color theme="1"/>
      <name val="宋体"/>
      <charset val="134"/>
    </font>
    <font>
      <sz val="9"/>
      <color theme="1"/>
      <name val="宋体"/>
      <charset val="134"/>
      <scheme val="minor"/>
    </font>
    <font>
      <sz val="9"/>
      <color rgb="FFFF0000"/>
      <name val="宋体"/>
      <charset val="134"/>
      <scheme val="minor"/>
    </font>
    <font>
      <b/>
      <sz val="16"/>
      <name val="宋体"/>
      <charset val="134"/>
      <scheme val="minor"/>
    </font>
    <font>
      <b/>
      <sz val="10"/>
      <name val="宋体"/>
      <charset val="134"/>
      <scheme val="minor"/>
    </font>
    <font>
      <sz val="10"/>
      <name val="宋体"/>
      <charset val="134"/>
      <scheme val="minor"/>
    </font>
    <font>
      <sz val="9"/>
      <color rgb="FFFF0000"/>
      <name val="宋体"/>
      <charset val="134"/>
    </font>
    <font>
      <b/>
      <sz val="14"/>
      <name val="宋体"/>
      <charset val="134"/>
    </font>
    <font>
      <sz val="9"/>
      <color indexed="8"/>
      <name val="黑体"/>
      <charset val="134"/>
    </font>
    <font>
      <sz val="9"/>
      <name val="宋体"/>
      <charset val="134"/>
    </font>
    <font>
      <b/>
      <sz val="9"/>
      <name val="宋体"/>
      <charset val="134"/>
    </font>
    <font>
      <b/>
      <sz val="9"/>
      <color theme="1"/>
      <name val="宋体"/>
      <charset val="134"/>
      <scheme val="minor"/>
    </font>
    <font>
      <sz val="10"/>
      <name val="宋体"/>
      <charset val="134"/>
    </font>
    <font>
      <sz val="8"/>
      <color theme="1"/>
      <name val="宋体"/>
      <charset val="134"/>
      <scheme val="minor"/>
    </font>
    <font>
      <sz val="10"/>
      <color theme="1"/>
      <name val="宋体"/>
      <charset val="134"/>
      <scheme val="minor"/>
    </font>
    <font>
      <sz val="10"/>
      <name val="Calibri"/>
      <charset val="134"/>
    </font>
    <font>
      <sz val="9"/>
      <name val="宋体"/>
      <charset val="134"/>
      <scheme val="minor"/>
    </font>
    <font>
      <b/>
      <sz val="16"/>
      <name val="宋体"/>
      <charset val="134"/>
    </font>
    <font>
      <b/>
      <sz val="24"/>
      <color indexed="8"/>
      <name val="宋体"/>
      <charset val="134"/>
    </font>
    <font>
      <b/>
      <sz val="14"/>
      <color theme="1"/>
      <name val="宋体"/>
      <charset val="134"/>
      <scheme val="minor"/>
    </font>
    <font>
      <b/>
      <u/>
      <sz val="14"/>
      <color theme="1"/>
      <name val="宋体"/>
      <charset val="134"/>
      <scheme val="minor"/>
    </font>
    <font>
      <sz val="15"/>
      <color indexed="8"/>
      <name val="宋体"/>
      <charset val="134"/>
    </font>
    <font>
      <b/>
      <sz val="14"/>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color rgb="FF000000"/>
      <name val="宋体"/>
      <charset val="134"/>
    </font>
    <font>
      <sz val="11"/>
      <color indexed="8"/>
      <name val="宋体"/>
      <charset val="134"/>
    </font>
    <font>
      <sz val="9"/>
      <name val="Times New Roman"/>
      <charset val="134"/>
    </font>
    <font>
      <u/>
      <sz val="9"/>
      <color theme="1"/>
      <name val="宋体"/>
      <charset val="134"/>
      <scheme val="minor"/>
    </font>
  </fonts>
  <fills count="37">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8" tint="0.799981688894314"/>
        <bgColor indexed="64"/>
      </patternFill>
    </fill>
    <fill>
      <patternFill patternType="solid">
        <fgColor rgb="FFFFFF00"/>
        <bgColor indexed="64"/>
      </patternFill>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7" borderId="12"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3" applyNumberFormat="0" applyFill="0" applyAlignment="0" applyProtection="0">
      <alignment vertical="center"/>
    </xf>
    <xf numFmtId="0" fontId="31" fillId="0" borderId="13" applyNumberFormat="0" applyFill="0" applyAlignment="0" applyProtection="0">
      <alignment vertical="center"/>
    </xf>
    <xf numFmtId="0" fontId="32" fillId="0" borderId="14" applyNumberFormat="0" applyFill="0" applyAlignment="0" applyProtection="0">
      <alignment vertical="center"/>
    </xf>
    <xf numFmtId="0" fontId="32" fillId="0" borderId="0" applyNumberFormat="0" applyFill="0" applyBorder="0" applyAlignment="0" applyProtection="0">
      <alignment vertical="center"/>
    </xf>
    <xf numFmtId="0" fontId="33" fillId="8" borderId="15" applyNumberFormat="0" applyAlignment="0" applyProtection="0">
      <alignment vertical="center"/>
    </xf>
    <xf numFmtId="0" fontId="34" fillId="9" borderId="16" applyNumberFormat="0" applyAlignment="0" applyProtection="0">
      <alignment vertical="center"/>
    </xf>
    <xf numFmtId="0" fontId="35" fillId="9" borderId="15" applyNumberFormat="0" applyAlignment="0" applyProtection="0">
      <alignment vertical="center"/>
    </xf>
    <xf numFmtId="0" fontId="36" fillId="10" borderId="17" applyNumberFormat="0" applyAlignment="0" applyProtection="0">
      <alignment vertical="center"/>
    </xf>
    <xf numFmtId="0" fontId="37" fillId="0" borderId="18" applyNumberFormat="0" applyFill="0" applyAlignment="0" applyProtection="0">
      <alignment vertical="center"/>
    </xf>
    <xf numFmtId="0" fontId="38" fillId="0" borderId="19" applyNumberFormat="0" applyFill="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4"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3" fillId="34" borderId="0" applyNumberFormat="0" applyBorder="0" applyAlignment="0" applyProtection="0">
      <alignment vertical="center"/>
    </xf>
    <xf numFmtId="0" fontId="43" fillId="35" borderId="0" applyNumberFormat="0" applyBorder="0" applyAlignment="0" applyProtection="0">
      <alignment vertical="center"/>
    </xf>
    <xf numFmtId="0" fontId="42" fillId="36" borderId="0" applyNumberFormat="0" applyBorder="0" applyAlignment="0" applyProtection="0">
      <alignment vertical="center"/>
    </xf>
    <xf numFmtId="0" fontId="44" fillId="0" borderId="0">
      <alignment vertical="center"/>
    </xf>
    <xf numFmtId="176" fontId="45" fillId="0" borderId="1">
      <alignment horizontal="right" vertical="center" wrapText="1"/>
    </xf>
    <xf numFmtId="0" fontId="0" fillId="0" borderId="0">
      <alignment vertical="center"/>
    </xf>
    <xf numFmtId="0" fontId="45" fillId="0" borderId="0" applyProtection="0">
      <alignment vertical="center"/>
    </xf>
    <xf numFmtId="0" fontId="46" fillId="0" borderId="0">
      <alignment vertical="center"/>
    </xf>
    <xf numFmtId="176" fontId="45" fillId="0" borderId="1">
      <alignment horizontal="right" vertical="center" wrapText="1"/>
    </xf>
    <xf numFmtId="0" fontId="44" fillId="0" borderId="0"/>
    <xf numFmtId="0" fontId="44" fillId="0" borderId="0"/>
    <xf numFmtId="0" fontId="44" fillId="0" borderId="0">
      <alignment vertical="center"/>
    </xf>
    <xf numFmtId="0" fontId="46" fillId="0" borderId="0">
      <alignment vertical="center"/>
    </xf>
    <xf numFmtId="0" fontId="44" fillId="0" borderId="0"/>
    <xf numFmtId="0" fontId="44" fillId="0" borderId="0">
      <alignment vertical="center"/>
    </xf>
  </cellStyleXfs>
  <cellXfs count="170">
    <xf numFmtId="0" fontId="0" fillId="0" borderId="0" xfId="0">
      <alignment vertical="center"/>
    </xf>
    <xf numFmtId="0" fontId="0" fillId="0" borderId="0" xfId="0" applyAlignment="1">
      <alignment horizontal="center" vertical="center"/>
    </xf>
    <xf numFmtId="0" fontId="0" fillId="0" borderId="0" xfId="0" applyBorder="1">
      <alignment vertical="center"/>
    </xf>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0" fillId="0" borderId="1" xfId="0" applyBorder="1" applyAlignment="1">
      <alignment horizontal="center" vertical="center"/>
    </xf>
    <xf numFmtId="0" fontId="3" fillId="0" borderId="1" xfId="0" applyFont="1" applyBorder="1" applyAlignment="1">
      <alignment vertical="center"/>
    </xf>
    <xf numFmtId="0" fontId="3" fillId="0" borderId="1" xfId="0" applyFont="1" applyBorder="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0" fillId="0" borderId="1" xfId="0" applyBorder="1">
      <alignment vertical="center"/>
    </xf>
    <xf numFmtId="0" fontId="4" fillId="0" borderId="1" xfId="0" applyFont="1" applyBorder="1">
      <alignment vertical="center"/>
    </xf>
    <xf numFmtId="0" fontId="2" fillId="2" borderId="3" xfId="0" applyFont="1" applyFill="1" applyBorder="1" applyAlignment="1">
      <alignment horizontal="center" vertical="center"/>
    </xf>
    <xf numFmtId="0" fontId="0" fillId="0" borderId="3" xfId="0" applyBorder="1">
      <alignment vertical="center"/>
    </xf>
    <xf numFmtId="0" fontId="3" fillId="0" borderId="0" xfId="0" applyFont="1" applyBorder="1" applyAlignment="1">
      <alignmen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0" fillId="0" borderId="5" xfId="0" applyBorder="1" applyAlignment="1">
      <alignment horizontal="center" vertical="center"/>
    </xf>
    <xf numFmtId="0" fontId="3" fillId="0" borderId="5" xfId="0" applyFont="1" applyBorder="1" applyAlignment="1">
      <alignment vertical="center"/>
    </xf>
    <xf numFmtId="0" fontId="3" fillId="0" borderId="5" xfId="0" applyFont="1" applyBorder="1">
      <alignment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0" fillId="0" borderId="7" xfId="0" applyBorder="1">
      <alignment vertical="center"/>
    </xf>
    <xf numFmtId="0" fontId="5" fillId="0" borderId="0" xfId="0" applyNumberFormat="1" applyFont="1" applyFill="1" applyBorder="1" applyAlignment="1">
      <alignment horizontal="center" vertical="center" wrapText="1"/>
    </xf>
    <xf numFmtId="0" fontId="5" fillId="0" borderId="0" xfId="0" applyNumberFormat="1" applyFont="1" applyFill="1" applyBorder="1" applyAlignment="1">
      <alignment horizontal="left" vertical="center" wrapText="1"/>
    </xf>
    <xf numFmtId="0" fontId="6" fillId="0" borderId="0" xfId="0" applyNumberFormat="1" applyFont="1" applyFill="1" applyAlignment="1">
      <alignment horizontal="left" vertical="center" wrapText="1"/>
    </xf>
    <xf numFmtId="0" fontId="6" fillId="0" borderId="0" xfId="0" applyNumberFormat="1" applyFont="1" applyFill="1" applyAlignment="1">
      <alignment horizontal="center" vertical="center" wrapText="1"/>
    </xf>
    <xf numFmtId="0" fontId="7"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left" vertical="center" wrapText="1"/>
    </xf>
    <xf numFmtId="0" fontId="5" fillId="0" borderId="0" xfId="59" applyFont="1" applyBorder="1" applyAlignment="1">
      <alignment horizontal="center" vertical="center"/>
    </xf>
    <xf numFmtId="0" fontId="7" fillId="0" borderId="1" xfId="57" applyFont="1" applyFill="1" applyBorder="1" applyAlignment="1">
      <alignment horizontal="center" vertical="center"/>
    </xf>
    <xf numFmtId="0" fontId="7" fillId="0" borderId="1" xfId="57" applyFont="1" applyFill="1" applyBorder="1" applyAlignment="1">
      <alignment horizontal="center" vertical="center" wrapText="1"/>
    </xf>
    <xf numFmtId="0" fontId="7" fillId="0" borderId="1" xfId="0" applyFont="1" applyFill="1" applyBorder="1" applyAlignment="1">
      <alignment horizontal="center" vertical="center"/>
    </xf>
    <xf numFmtId="176" fontId="7" fillId="0" borderId="1" xfId="0" applyNumberFormat="1" applyFont="1" applyFill="1" applyBorder="1" applyAlignment="1">
      <alignment horizontal="center" vertical="center"/>
    </xf>
    <xf numFmtId="0" fontId="7" fillId="0" borderId="2" xfId="57" applyFont="1" applyFill="1" applyBorder="1" applyAlignment="1">
      <alignment horizontal="center" vertical="center"/>
    </xf>
    <xf numFmtId="0" fontId="7" fillId="0" borderId="6" xfId="57" applyFont="1" applyFill="1" applyBorder="1" applyAlignment="1">
      <alignment horizontal="center" vertical="center"/>
    </xf>
    <xf numFmtId="0" fontId="7" fillId="0" borderId="5" xfId="57" applyFont="1" applyFill="1" applyBorder="1" applyAlignment="1">
      <alignment horizontal="center" vertical="center"/>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3" fillId="3" borderId="0" xfId="0" applyFont="1" applyFill="1">
      <alignment vertical="center"/>
    </xf>
    <xf numFmtId="0" fontId="3" fillId="0" borderId="0" xfId="0" applyFont="1">
      <alignment vertical="center"/>
    </xf>
    <xf numFmtId="0" fontId="9" fillId="0" borderId="0" xfId="0" applyFont="1" applyFill="1" applyBorder="1" applyAlignment="1">
      <alignment horizontal="center" vertical="center"/>
    </xf>
    <xf numFmtId="0" fontId="10" fillId="0" borderId="8" xfId="58" applyNumberFormat="1" applyFont="1" applyFill="1" applyBorder="1" applyAlignment="1" applyProtection="1">
      <alignment horizontal="left" vertical="center" wrapText="1"/>
    </xf>
    <xf numFmtId="0" fontId="10" fillId="0" borderId="8" xfId="58" applyNumberFormat="1" applyFont="1" applyFill="1" applyBorder="1" applyAlignment="1" applyProtection="1">
      <alignment horizontal="center" vertical="center" wrapText="1"/>
    </xf>
    <xf numFmtId="0" fontId="11" fillId="0" borderId="1" xfId="0" applyFont="1" applyFill="1" applyBorder="1" applyAlignment="1">
      <alignment horizontal="center" vertical="center" wrapText="1"/>
    </xf>
    <xf numFmtId="178" fontId="11" fillId="0"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178" fontId="12" fillId="2"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178" fontId="11" fillId="2" borderId="1" xfId="0" applyNumberFormat="1" applyFont="1" applyFill="1" applyBorder="1" applyAlignment="1">
      <alignment horizontal="center" vertical="center" wrapText="1"/>
    </xf>
    <xf numFmtId="0" fontId="11" fillId="2" borderId="1" xfId="0" applyFont="1" applyFill="1" applyBorder="1" applyAlignment="1">
      <alignment horizontal="left" vertical="center" wrapText="1"/>
    </xf>
    <xf numFmtId="176" fontId="11" fillId="0" borderId="1" xfId="0" applyNumberFormat="1" applyFont="1" applyFill="1" applyBorder="1" applyAlignment="1">
      <alignment horizontal="center" vertical="center" wrapText="1"/>
    </xf>
    <xf numFmtId="0" fontId="3" fillId="0" borderId="0" xfId="0" applyFont="1" applyAlignment="1">
      <alignment horizontal="center" vertical="center"/>
    </xf>
    <xf numFmtId="0" fontId="11" fillId="0" borderId="1" xfId="0" applyFont="1" applyFill="1" applyBorder="1" applyAlignment="1">
      <alignment horizontal="center" vertical="center"/>
    </xf>
    <xf numFmtId="177" fontId="11" fillId="2" borderId="1" xfId="0" applyNumberFormat="1" applyFont="1" applyFill="1" applyBorder="1" applyAlignment="1">
      <alignment horizontal="center" vertical="center" wrapText="1"/>
    </xf>
    <xf numFmtId="179" fontId="11" fillId="3" borderId="1" xfId="0" applyNumberFormat="1" applyFont="1" applyFill="1" applyBorder="1" applyAlignment="1">
      <alignment horizontal="center" vertical="center" wrapText="1"/>
    </xf>
    <xf numFmtId="178" fontId="11" fillId="3" borderId="1" xfId="0" applyNumberFormat="1" applyFont="1" applyFill="1" applyBorder="1" applyAlignment="1">
      <alignment horizontal="center" vertical="center" wrapText="1"/>
    </xf>
    <xf numFmtId="0" fontId="3" fillId="0" borderId="0" xfId="0" applyFont="1" applyAlignment="1">
      <alignment horizontal="left" vertical="center" wrapText="1"/>
    </xf>
    <xf numFmtId="0" fontId="13" fillId="0" borderId="0" xfId="0" applyFont="1" applyAlignment="1">
      <alignment horizontal="center" vertical="center"/>
    </xf>
    <xf numFmtId="176" fontId="3" fillId="0" borderId="1" xfId="0" applyNumberFormat="1" applyFont="1" applyBorder="1" applyAlignment="1">
      <alignment horizontal="center" vertical="center"/>
    </xf>
    <xf numFmtId="0" fontId="13" fillId="4" borderId="1" xfId="0" applyFont="1" applyFill="1" applyBorder="1" applyAlignment="1">
      <alignment horizontal="center" vertical="center"/>
    </xf>
    <xf numFmtId="176" fontId="3" fillId="4" borderId="1" xfId="0" applyNumberFormat="1" applyFont="1" applyFill="1" applyBorder="1">
      <alignment vertical="center"/>
    </xf>
    <xf numFmtId="0" fontId="3" fillId="0" borderId="3" xfId="0" applyFont="1" applyBorder="1" applyAlignment="1">
      <alignment horizontal="center" vertical="center"/>
    </xf>
    <xf numFmtId="0" fontId="3" fillId="0" borderId="9" xfId="0" applyFont="1" applyBorder="1" applyAlignment="1">
      <alignment horizontal="center" vertical="center"/>
    </xf>
    <xf numFmtId="10" fontId="3" fillId="0" borderId="1" xfId="0" applyNumberFormat="1" applyFont="1" applyBorder="1" applyAlignment="1">
      <alignment horizontal="center" vertical="center"/>
    </xf>
    <xf numFmtId="176" fontId="3" fillId="0" borderId="1" xfId="0" applyNumberFormat="1" applyFont="1" applyBorder="1">
      <alignment vertical="center"/>
    </xf>
    <xf numFmtId="176" fontId="13" fillId="4" borderId="1" xfId="0" applyNumberFormat="1" applyFont="1" applyFill="1" applyBorder="1">
      <alignment vertical="center"/>
    </xf>
    <xf numFmtId="0" fontId="13" fillId="0" borderId="1" xfId="0" applyFont="1" applyBorder="1" applyAlignment="1">
      <alignment horizontal="center" vertical="center"/>
    </xf>
    <xf numFmtId="176" fontId="13" fillId="0" borderId="1" xfId="0" applyNumberFormat="1"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2" xfId="0" applyFont="1" applyBorder="1" applyAlignment="1">
      <alignment horizontal="center" vertical="center"/>
    </xf>
    <xf numFmtId="178" fontId="14" fillId="0" borderId="3" xfId="49" applyNumberFormat="1" applyFont="1" applyFill="1" applyBorder="1" applyAlignment="1">
      <alignment horizontal="center" vertical="center"/>
    </xf>
    <xf numFmtId="178" fontId="14" fillId="0" borderId="9" xfId="49" applyNumberFormat="1" applyFont="1" applyFill="1" applyBorder="1" applyAlignment="1">
      <alignment horizontal="center" vertical="center"/>
    </xf>
    <xf numFmtId="0" fontId="3" fillId="4" borderId="1" xfId="0" applyFont="1" applyFill="1" applyBorder="1" applyAlignment="1">
      <alignment horizontal="center" vertical="center"/>
    </xf>
    <xf numFmtId="0" fontId="3" fillId="4" borderId="0" xfId="0" applyFont="1" applyFill="1" applyAlignment="1">
      <alignment horizontal="center" vertical="center"/>
    </xf>
    <xf numFmtId="0" fontId="3" fillId="4" borderId="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 xfId="0" applyFont="1" applyFill="1" applyBorder="1">
      <alignment vertical="center"/>
    </xf>
    <xf numFmtId="10" fontId="3" fillId="4" borderId="1" xfId="0" applyNumberFormat="1" applyFont="1" applyFill="1" applyBorder="1">
      <alignment vertical="center"/>
    </xf>
    <xf numFmtId="0" fontId="15" fillId="0" borderId="1" xfId="0" applyFont="1" applyBorder="1" applyAlignment="1">
      <alignment horizontal="center" vertical="center"/>
    </xf>
    <xf numFmtId="0" fontId="13" fillId="4" borderId="2" xfId="0" applyFont="1" applyFill="1" applyBorder="1" applyAlignment="1">
      <alignment horizontal="center" vertical="center" wrapText="1"/>
    </xf>
    <xf numFmtId="0" fontId="13" fillId="4" borderId="5" xfId="0" applyFont="1" applyFill="1" applyBorder="1">
      <alignment vertical="center"/>
    </xf>
    <xf numFmtId="176" fontId="3" fillId="4" borderId="1" xfId="0" applyNumberFormat="1" applyFont="1" applyFill="1" applyBorder="1" applyAlignment="1">
      <alignment vertical="center" wrapText="1"/>
    </xf>
    <xf numFmtId="0" fontId="3" fillId="0" borderId="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Alignment="1">
      <alignment horizontal="center" vertical="center" wrapText="1"/>
    </xf>
    <xf numFmtId="176" fontId="3" fillId="0" borderId="0" xfId="0" applyNumberFormat="1" applyFont="1">
      <alignment vertical="center"/>
    </xf>
    <xf numFmtId="0" fontId="13" fillId="0" borderId="0" xfId="0" applyFont="1" applyAlignment="1">
      <alignment horizontal="center" vertical="center" wrapText="1"/>
    </xf>
    <xf numFmtId="178" fontId="2" fillId="2" borderId="1" xfId="0" applyNumberFormat="1" applyFont="1" applyFill="1" applyBorder="1" applyAlignment="1">
      <alignment horizontal="center" vertical="center" wrapText="1"/>
    </xf>
    <xf numFmtId="0" fontId="3" fillId="0" borderId="1" xfId="0" applyFont="1" applyBorder="1" applyAlignment="1">
      <alignment horizontal="left" vertical="center" wrapText="1"/>
    </xf>
    <xf numFmtId="0" fontId="4" fillId="5"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lignment vertical="center"/>
    </xf>
    <xf numFmtId="176" fontId="3" fillId="2" borderId="1" xfId="0" applyNumberFormat="1" applyFont="1" applyFill="1" applyBorder="1" applyAlignment="1">
      <alignment horizontal="center" vertical="center"/>
    </xf>
    <xf numFmtId="176" fontId="13" fillId="0" borderId="0" xfId="0" applyNumberFormat="1" applyFont="1" applyAlignment="1">
      <alignment horizontal="center" vertical="center"/>
    </xf>
    <xf numFmtId="176" fontId="2" fillId="2" borderId="1" xfId="0" applyNumberFormat="1" applyFont="1" applyFill="1" applyBorder="1" applyAlignment="1">
      <alignment horizontal="center" vertical="center" wrapText="1"/>
    </xf>
    <xf numFmtId="178" fontId="2" fillId="2" borderId="2" xfId="0" applyNumberFormat="1" applyFont="1" applyFill="1" applyBorder="1" applyAlignment="1">
      <alignment horizontal="center" vertical="center" wrapText="1"/>
    </xf>
    <xf numFmtId="9" fontId="2" fillId="2" borderId="5" xfId="3" applyNumberFormat="1" applyFont="1" applyFill="1" applyBorder="1" applyAlignment="1">
      <alignment horizontal="center" vertical="center" wrapText="1"/>
    </xf>
    <xf numFmtId="9" fontId="3" fillId="0" borderId="1" xfId="3" applyNumberFormat="1" applyFont="1" applyBorder="1" applyAlignment="1">
      <alignment horizontal="center" vertical="center"/>
    </xf>
    <xf numFmtId="0" fontId="3" fillId="2" borderId="1" xfId="0" applyFont="1" applyFill="1" applyBorder="1" applyAlignment="1">
      <alignment horizontal="center" vertical="center"/>
    </xf>
    <xf numFmtId="0" fontId="16" fillId="0" borderId="0" xfId="0" applyFont="1" applyFill="1">
      <alignment vertical="center"/>
    </xf>
    <xf numFmtId="0" fontId="16" fillId="0" borderId="0" xfId="0" applyFont="1" applyAlignment="1">
      <alignment horizontal="center" vertical="center"/>
    </xf>
    <xf numFmtId="0" fontId="16" fillId="0" borderId="0" xfId="0" applyFont="1">
      <alignment vertical="center"/>
    </xf>
    <xf numFmtId="176" fontId="16" fillId="0" borderId="0" xfId="0" applyNumberFormat="1" applyFont="1" applyAlignment="1">
      <alignment horizontal="center" vertical="center"/>
    </xf>
    <xf numFmtId="0" fontId="9" fillId="0" borderId="0" xfId="0" applyFont="1" applyFill="1" applyAlignment="1">
      <alignment horizontal="center" vertical="center" wrapText="1"/>
    </xf>
    <xf numFmtId="176" fontId="9" fillId="0" borderId="0" xfId="0" applyNumberFormat="1" applyFont="1" applyFill="1" applyAlignment="1">
      <alignment horizontal="center" vertical="center" wrapText="1"/>
    </xf>
    <xf numFmtId="0" fontId="14" fillId="0" borderId="2" xfId="0"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5" xfId="0" applyFont="1" applyFill="1" applyBorder="1" applyAlignment="1">
      <alignment horizontal="center" vertical="center" wrapText="1"/>
    </xf>
    <xf numFmtId="176" fontId="17"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vertical="center" wrapText="1"/>
    </xf>
    <xf numFmtId="0" fontId="14" fillId="0" borderId="1" xfId="0" applyNumberFormat="1" applyFont="1" applyFill="1" applyBorder="1" applyAlignment="1">
      <alignment horizontal="center" vertical="center" wrapText="1"/>
    </xf>
    <xf numFmtId="0" fontId="14" fillId="0" borderId="1" xfId="0" applyFont="1" applyFill="1" applyBorder="1" applyAlignment="1">
      <alignment vertical="center" wrapText="1"/>
    </xf>
    <xf numFmtId="0" fontId="14" fillId="0" borderId="6" xfId="0" applyFont="1" applyFill="1" applyBorder="1" applyAlignment="1">
      <alignment horizontal="center" vertical="center" wrapText="1"/>
    </xf>
    <xf numFmtId="176" fontId="14" fillId="3" borderId="1" xfId="0" applyNumberFormat="1" applyFont="1" applyFill="1" applyBorder="1" applyAlignment="1">
      <alignment horizontal="center" vertical="center" wrapText="1"/>
    </xf>
    <xf numFmtId="179" fontId="14" fillId="0" borderId="2" xfId="0" applyNumberFormat="1" applyFont="1" applyFill="1" applyBorder="1" applyAlignment="1">
      <alignment horizontal="center" vertical="center" wrapText="1"/>
    </xf>
    <xf numFmtId="176" fontId="16" fillId="0" borderId="1" xfId="0" applyNumberFormat="1" applyFont="1" applyBorder="1" applyAlignment="1">
      <alignment horizontal="center" vertical="center"/>
    </xf>
    <xf numFmtId="179" fontId="14" fillId="0"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xf>
    <xf numFmtId="0" fontId="14" fillId="2" borderId="1" xfId="0" applyNumberFormat="1" applyFont="1" applyFill="1" applyBorder="1" applyAlignment="1">
      <alignment vertical="center" wrapText="1"/>
    </xf>
    <xf numFmtId="0" fontId="16" fillId="0" borderId="2" xfId="0" applyFont="1" applyBorder="1" applyAlignment="1">
      <alignment horizontal="center" vertical="center"/>
    </xf>
    <xf numFmtId="0" fontId="4" fillId="0" borderId="1" xfId="0" applyFont="1" applyBorder="1" applyAlignment="1">
      <alignment vertical="center" wrapText="1"/>
    </xf>
    <xf numFmtId="0" fontId="16" fillId="0" borderId="5" xfId="0" applyFont="1" applyBorder="1" applyAlignment="1">
      <alignment horizontal="center" vertical="center"/>
    </xf>
    <xf numFmtId="0" fontId="18" fillId="0" borderId="1" xfId="0" applyFont="1" applyBorder="1" applyAlignment="1">
      <alignment vertical="center" wrapText="1"/>
    </xf>
    <xf numFmtId="0" fontId="16" fillId="0" borderId="6" xfId="0" applyFont="1" applyBorder="1" applyAlignment="1">
      <alignment horizontal="center" vertical="center"/>
    </xf>
    <xf numFmtId="0" fontId="16" fillId="0" borderId="1" xfId="0" applyFont="1" applyBorder="1" applyAlignment="1">
      <alignment horizontal="center" vertical="center"/>
    </xf>
    <xf numFmtId="0" fontId="16" fillId="0" borderId="1" xfId="0" applyFont="1" applyBorder="1">
      <alignment vertical="center"/>
    </xf>
    <xf numFmtId="0" fontId="16" fillId="0" borderId="1" xfId="0" applyFont="1" applyFill="1" applyBorder="1" applyAlignment="1">
      <alignment horizontal="center" vertical="center"/>
    </xf>
    <xf numFmtId="176" fontId="14" fillId="2" borderId="1" xfId="0" applyNumberFormat="1" applyFont="1" applyFill="1" applyBorder="1" applyAlignment="1">
      <alignment horizontal="center" vertical="center" wrapText="1"/>
    </xf>
    <xf numFmtId="0" fontId="16" fillId="0" borderId="2" xfId="0" applyFont="1" applyFill="1" applyBorder="1" applyAlignment="1">
      <alignment horizontal="center" vertical="center"/>
    </xf>
    <xf numFmtId="0" fontId="16" fillId="0" borderId="5" xfId="0" applyFont="1" applyFill="1" applyBorder="1" applyAlignment="1">
      <alignment horizontal="center" vertical="center"/>
    </xf>
    <xf numFmtId="0" fontId="14" fillId="2" borderId="5" xfId="0" applyFont="1" applyFill="1" applyBorder="1" applyAlignment="1">
      <alignment horizontal="center" vertical="center" wrapText="1"/>
    </xf>
    <xf numFmtId="0" fontId="3" fillId="2" borderId="1" xfId="0" applyFont="1" applyFill="1" applyBorder="1" applyAlignment="1">
      <alignment vertical="center" wrapText="1"/>
    </xf>
    <xf numFmtId="0" fontId="19" fillId="0" borderId="0" xfId="52" applyFont="1" applyFill="1" applyBorder="1" applyAlignment="1" applyProtection="1">
      <alignment horizontal="center" vertical="center" wrapText="1"/>
    </xf>
    <xf numFmtId="49" fontId="14" fillId="6" borderId="1" xfId="50" applyNumberFormat="1" applyFont="1" applyFill="1" applyBorder="1" applyAlignment="1" applyProtection="1">
      <alignment horizontal="center" vertical="center"/>
    </xf>
    <xf numFmtId="176" fontId="14" fillId="6" borderId="1" xfId="50" applyFont="1" applyFill="1" applyBorder="1" applyAlignment="1" applyProtection="1">
      <alignment horizontal="left" vertical="center" wrapText="1"/>
    </xf>
    <xf numFmtId="0" fontId="14" fillId="0" borderId="1" xfId="51" applyFont="1" applyFill="1" applyBorder="1" applyAlignment="1" applyProtection="1">
      <alignment horizontal="center" vertical="center"/>
    </xf>
    <xf numFmtId="176" fontId="14" fillId="0" borderId="1" xfId="50" applyFont="1" applyFill="1" applyBorder="1" applyAlignment="1" applyProtection="1">
      <alignment horizontal="left" vertical="center" wrapText="1"/>
    </xf>
    <xf numFmtId="0" fontId="7" fillId="0" borderId="1" xfId="56" applyFont="1" applyFill="1" applyBorder="1" applyAlignment="1" applyProtection="1">
      <alignment horizontal="justify" vertical="center" wrapText="1"/>
    </xf>
    <xf numFmtId="0" fontId="14" fillId="0" borderId="1" xfId="52" applyFont="1" applyFill="1" applyBorder="1" applyAlignment="1" applyProtection="1">
      <alignment horizontal="center" vertical="center"/>
    </xf>
    <xf numFmtId="0" fontId="14" fillId="0" borderId="1" xfId="53" applyFont="1" applyFill="1" applyBorder="1" applyAlignment="1" applyProtection="1">
      <alignment vertical="center" wrapText="1"/>
    </xf>
    <xf numFmtId="0" fontId="14" fillId="0" borderId="1" xfId="53" applyFont="1" applyFill="1" applyBorder="1" applyAlignment="1" applyProtection="1">
      <alignment horizontal="left" vertical="center" wrapText="1"/>
    </xf>
    <xf numFmtId="176" fontId="14" fillId="0" borderId="1" xfId="54" applyFont="1" applyFill="1" applyBorder="1" applyAlignment="1" applyProtection="1">
      <alignment horizontal="left" vertical="center" wrapText="1"/>
    </xf>
    <xf numFmtId="176" fontId="14" fillId="0" borderId="1" xfId="50" applyFont="1" applyFill="1" applyBorder="1" applyAlignment="1" applyProtection="1">
      <alignment horizontal="left" vertical="top" wrapText="1"/>
    </xf>
    <xf numFmtId="0" fontId="14" fillId="0" borderId="1" xfId="0" applyFont="1" applyFill="1" applyBorder="1" applyAlignment="1">
      <alignment vertical="center"/>
    </xf>
    <xf numFmtId="0" fontId="14" fillId="0" borderId="0" xfId="0" applyFont="1" applyFill="1" applyBorder="1" applyAlignment="1">
      <alignment horizontal="center" vertical="center"/>
    </xf>
    <xf numFmtId="176" fontId="0" fillId="0" borderId="0" xfId="0" applyNumberFormat="1">
      <alignment vertical="center"/>
    </xf>
    <xf numFmtId="0" fontId="20" fillId="0" borderId="0" xfId="0" applyFont="1" applyFill="1" applyAlignment="1">
      <alignment horizontal="center" vertical="center"/>
    </xf>
    <xf numFmtId="0" fontId="0" fillId="0" borderId="0" xfId="0" applyFont="1" applyFill="1" applyAlignment="1">
      <alignment horizontal="center" vertical="center"/>
    </xf>
    <xf numFmtId="0" fontId="21" fillId="0" borderId="0" xfId="0" applyFont="1" applyFill="1" applyAlignment="1">
      <alignment horizontal="center" vertical="center"/>
    </xf>
    <xf numFmtId="0" fontId="22" fillId="0" borderId="0" xfId="0" applyFont="1" applyFill="1" applyAlignment="1">
      <alignment horizontal="left" vertical="center"/>
    </xf>
    <xf numFmtId="0" fontId="21" fillId="0" borderId="0" xfId="0" applyFont="1" applyFill="1" applyAlignment="1">
      <alignment horizontal="left" vertical="center"/>
    </xf>
    <xf numFmtId="0" fontId="23" fillId="0" borderId="0" xfId="0" applyFont="1" applyFill="1" applyAlignment="1">
      <alignment horizontal="center" vertical="center"/>
    </xf>
    <xf numFmtId="0" fontId="24" fillId="0" borderId="0" xfId="0" applyFont="1" applyFill="1" applyAlignment="1">
      <alignment horizontal="left" vertical="center"/>
    </xf>
    <xf numFmtId="176" fontId="24" fillId="0" borderId="8" xfId="0" applyNumberFormat="1" applyFont="1" applyFill="1" applyBorder="1" applyAlignment="1">
      <alignment horizontal="center" vertical="center"/>
    </xf>
    <xf numFmtId="0" fontId="24" fillId="0" borderId="8" xfId="0" applyFont="1" applyFill="1" applyBorder="1" applyAlignment="1">
      <alignment horizontal="center" vertical="center"/>
    </xf>
    <xf numFmtId="180" fontId="24" fillId="0" borderId="8" xfId="0" applyNumberFormat="1" applyFont="1" applyFill="1" applyBorder="1" applyAlignment="1">
      <alignment horizontal="center" vertical="center"/>
    </xf>
    <xf numFmtId="0" fontId="24" fillId="0" borderId="0" xfId="0" applyFont="1" applyFill="1" applyAlignment="1">
      <alignment horizontal="center" vertical="center"/>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_合肥万达文旅新城一期塔楼门窗测算2014.6.4（修改版）" xfId="49"/>
    <cellStyle name="表体数字 3 2 6 6" xfId="50"/>
    <cellStyle name="常规 144 4" xfId="51"/>
    <cellStyle name="?餑_x005f_x005f_x005f_x000c_睨_x005f_x005f_x005f_x0017__x005f_x005f_x005f_x000d_帼U_x005f_x005f_x005f_x0001_0_x005f_x005f_x005f_x0005_j'_x005f_x005f_x005f_x0007__x005f_x005f_x005f_x0001__x005f_x005f_x005f_x0001_ 3" xfId="52"/>
    <cellStyle name="常规 10" xfId="53"/>
    <cellStyle name="表体数字 3 2 6 5 3 2" xfId="54"/>
    <cellStyle name="常规 2 3_2-26泰安万达广场室外步行街样板段外装饰工程量清单" xfId="55"/>
    <cellStyle name="常规 11" xfId="56"/>
    <cellStyle name="常规 2_K4地块外立面门窗工程报价清单" xfId="57"/>
    <cellStyle name="常规_6C汇总门窗统计表" xfId="58"/>
    <cellStyle name="常规_Sheet1" xfId="59"/>
    <cellStyle name="常规 2 8 2 2" xfId="6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externalLink" Target="externalLinks/externalLink2.xml"/><Relationship Id="rId10" Type="http://schemas.openxmlformats.org/officeDocument/2006/relationships/externalLink" Target="externalLinks/externalLink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609600</xdr:colOff>
      <xdr:row>2</xdr:row>
      <xdr:rowOff>36195</xdr:rowOff>
    </xdr:from>
    <xdr:to>
      <xdr:col>8</xdr:col>
      <xdr:colOff>547370</xdr:colOff>
      <xdr:row>5</xdr:row>
      <xdr:rowOff>236855</xdr:rowOff>
    </xdr:to>
    <xdr:pic>
      <xdr:nvPicPr>
        <xdr:cNvPr id="2" name="图片 1"/>
        <xdr:cNvPicPr>
          <a:picLocks noChangeAspect="1"/>
        </xdr:cNvPicPr>
      </xdr:nvPicPr>
      <xdr:blipFill>
        <a:blip r:embed="rId1"/>
        <a:srcRect t="4753"/>
        <a:stretch>
          <a:fillRect/>
        </a:stretch>
      </xdr:blipFill>
      <xdr:spPr>
        <a:xfrm>
          <a:off x="6087110" y="596265"/>
          <a:ext cx="795020" cy="966470"/>
        </a:xfrm>
        <a:prstGeom prst="rect">
          <a:avLst/>
        </a:prstGeom>
        <a:noFill/>
        <a:ln w="9525">
          <a:noFill/>
        </a:ln>
      </xdr:spPr>
    </xdr:pic>
    <xdr:clientData/>
  </xdr:twoCellAnchor>
  <xdr:twoCellAnchor editAs="oneCell">
    <xdr:from>
      <xdr:col>7</xdr:col>
      <xdr:colOff>295275</xdr:colOff>
      <xdr:row>35</xdr:row>
      <xdr:rowOff>26670</xdr:rowOff>
    </xdr:from>
    <xdr:to>
      <xdr:col>8</xdr:col>
      <xdr:colOff>386715</xdr:colOff>
      <xdr:row>38</xdr:row>
      <xdr:rowOff>213360</xdr:rowOff>
    </xdr:to>
    <xdr:pic>
      <xdr:nvPicPr>
        <xdr:cNvPr id="3" name="图片 2"/>
        <xdr:cNvPicPr>
          <a:picLocks noChangeAspect="1"/>
        </xdr:cNvPicPr>
      </xdr:nvPicPr>
      <xdr:blipFill>
        <a:blip r:embed="rId2"/>
        <a:stretch>
          <a:fillRect/>
        </a:stretch>
      </xdr:blipFill>
      <xdr:spPr>
        <a:xfrm>
          <a:off x="5772785" y="9010650"/>
          <a:ext cx="948690" cy="9525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20234;&#27827;&#28286;&#39033;&#30446;\&#24037;&#20316;-&#28009;&#24503;&#22320;&#20135;\01&#25307;&#26631;&#39033;\53&#12289;&#38376;&#31383;&#24037;&#31243;\&#25237;&#26631;&#25991;&#20214;\&#37329;&#26131;&#26684;\&#27931;&#38451;&#24066;&#27931;&#40857;&#21306;&#20234;&#27827;&#28286;&#39033;&#30446;&#38109;&#21512;&#37329;&#38376;&#31383;&#21046;&#20316;&#21450;&#23433;&#35013;&#24037;&#31243;&#25237;&#26631;&#25991;&#20214;&#30005;&#23376;&#29256;-&#37073;&#24030;&#24066;&#37329;&#26131;&#26684;&#38376;&#31383;&#35013;&#39280;&#24037;&#31243;&#26377;&#38480;&#20844;&#21496;\&#27931;&#38451;&#24066;&#27931;&#40857;&#21306;&#20234;&#27827;&#28286;&#39033;&#30446;&#38109;&#21512;&#37329;&#38376;&#31383;&#21046;&#20316;&#21450;&#23433;&#35013;&#24037;&#31243;-&#25253;&#20215;&#2133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WeChat%20Files\wxid_f7j2p695jnw822\FileStorage\File\2024-04\02&#12289;20240415(&#26368;&#32456;&#20108;&#27425;&#25253;&#20215;&#28165;&#21333;)&#12298;&#20215;&#26684;&#28165;&#21333;&#65306;&#27931;&#38451;&#24066;&#27931;&#40857;&#21306;&#20234;&#27827;&#28286;&#39033;&#30446;&#38109;&#21512;&#37329;&#38376;&#31383;&#21046;&#20316;&#21450;&#23433;&#35013;&#24037;&#31243;&#1229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封面"/>
      <sheetName val="报价说明"/>
      <sheetName val="汇总表"/>
      <sheetName val="工程量清单清单"/>
      <sheetName val="综合单价分析"/>
      <sheetName val="主要材料品牌单价"/>
      <sheetName val="五金配置表"/>
      <sheetName val="玻璃调整表"/>
      <sheetName val="工程量计算数"/>
      <sheetName val="型材米重表"/>
      <sheetName val="取费表"/>
    </sheetNames>
    <sheetDataSet>
      <sheetData sheetId="0"/>
      <sheetData sheetId="1"/>
      <sheetData sheetId="2"/>
      <sheetData sheetId="3">
        <row r="1">
          <cell r="A1" t="str">
            <v>门窗工程量清单表</v>
          </cell>
        </row>
        <row r="2">
          <cell r="A2" t="str">
            <v>序号</v>
          </cell>
          <cell r="B2" t="str">
            <v>门窗类型</v>
          </cell>
          <cell r="C2" t="str">
            <v>门窗编号</v>
          </cell>
          <cell r="D2" t="str">
            <v>特征描述</v>
          </cell>
          <cell r="E2" t="str">
            <v>门窗面积（m2）</v>
          </cell>
          <cell r="F2" t="str">
            <v>其中分楼栋门窗面积（m2）</v>
          </cell>
        </row>
        <row r="2">
          <cell r="O2" t="str">
            <v>不含增值税综合单价（元/m2）</v>
          </cell>
          <cell r="P2" t="str">
            <v>税率</v>
          </cell>
          <cell r="Q2" t="str">
            <v>含税9%综合单价（元/m2）</v>
          </cell>
          <cell r="R2" t="str">
            <v>含税9%金额
（元）</v>
          </cell>
          <cell r="S2" t="str">
            <v>其中分楼栋金额（元）</v>
          </cell>
        </row>
        <row r="3">
          <cell r="F3" t="str">
            <v>1#楼</v>
          </cell>
          <cell r="G3" t="str">
            <v>2#楼</v>
          </cell>
          <cell r="H3" t="str">
            <v>3#楼</v>
          </cell>
          <cell r="I3" t="str">
            <v>5#楼</v>
          </cell>
          <cell r="J3" t="str">
            <v>6#楼</v>
          </cell>
          <cell r="K3" t="str">
            <v>7#楼</v>
          </cell>
          <cell r="L3" t="str">
            <v>8#楼</v>
          </cell>
          <cell r="M3" t="str">
            <v>9#楼</v>
          </cell>
          <cell r="N3" t="str">
            <v>11#12#13#楼</v>
          </cell>
        </row>
        <row r="3">
          <cell r="P3">
            <v>0.09</v>
          </cell>
        </row>
        <row r="3">
          <cell r="S3" t="str">
            <v>1#楼</v>
          </cell>
          <cell r="T3" t="str">
            <v>2#楼</v>
          </cell>
          <cell r="U3" t="str">
            <v>3#楼</v>
          </cell>
          <cell r="V3" t="str">
            <v>5#楼</v>
          </cell>
          <cell r="W3" t="str">
            <v>6#楼</v>
          </cell>
          <cell r="X3" t="str">
            <v>7#楼</v>
          </cell>
          <cell r="Y3" t="str">
            <v>8#楼</v>
          </cell>
          <cell r="Z3" t="str">
            <v>9#楼</v>
          </cell>
          <cell r="AA3" t="str">
            <v>11#12#13#楼</v>
          </cell>
        </row>
        <row r="4">
          <cell r="A4">
            <v>1</v>
          </cell>
          <cell r="B4" t="str">
            <v>50系列普铝外平开窗</v>
          </cell>
          <cell r="C4" t="str">
            <v>900*1400</v>
          </cell>
          <cell r="D4" t="str">
            <v>1.型材：50系列普铝外平开窗；
2.玻璃：单层玻璃6mm；</v>
          </cell>
          <cell r="E4">
            <v>37.8</v>
          </cell>
        </row>
        <row r="4">
          <cell r="H4">
            <v>15.12</v>
          </cell>
        </row>
        <row r="4">
          <cell r="J4">
            <v>15.12</v>
          </cell>
          <cell r="K4">
            <v>2.52</v>
          </cell>
          <cell r="L4">
            <v>2.52</v>
          </cell>
          <cell r="M4">
            <v>2.52</v>
          </cell>
        </row>
        <row r="4">
          <cell r="O4">
            <v>492.790756890031</v>
          </cell>
          <cell r="P4">
            <v>0.09</v>
          </cell>
          <cell r="Q4">
            <v>537.141925010134</v>
          </cell>
          <cell r="R4">
            <v>20303.964765383</v>
          </cell>
          <cell r="S4">
            <v>0</v>
          </cell>
          <cell r="T4">
            <v>0</v>
          </cell>
          <cell r="U4">
            <v>8121.58590615322</v>
          </cell>
          <cell r="V4">
            <v>0</v>
          </cell>
          <cell r="W4">
            <v>8121.58590615322</v>
          </cell>
          <cell r="X4">
            <v>1353.59765102554</v>
          </cell>
          <cell r="Y4">
            <v>1353.59765102554</v>
          </cell>
          <cell r="Z4">
            <v>1353.59765102554</v>
          </cell>
          <cell r="AA4">
            <v>0</v>
          </cell>
          <cell r="AB4" t="str">
            <v>PLC0914</v>
          </cell>
          <cell r="AC4">
            <v>900</v>
          </cell>
          <cell r="AD4">
            <v>1400</v>
          </cell>
        </row>
        <row r="5">
          <cell r="A5">
            <v>2</v>
          </cell>
          <cell r="B5" t="str">
            <v>50系列普铝外平开窗</v>
          </cell>
          <cell r="C5" t="str">
            <v>900*1400</v>
          </cell>
          <cell r="D5" t="str">
            <v>1.型材：50系列普铝外平开窗；
2.玻璃：单层钢化玻璃6mm；</v>
          </cell>
          <cell r="E5">
            <v>93.24</v>
          </cell>
        </row>
        <row r="5">
          <cell r="H5">
            <v>42.84</v>
          </cell>
        </row>
        <row r="5">
          <cell r="J5">
            <v>50.4</v>
          </cell>
        </row>
        <row r="5">
          <cell r="O5">
            <v>501.106565334354</v>
          </cell>
          <cell r="P5">
            <v>0.09</v>
          </cell>
          <cell r="Q5">
            <v>546.206156214446</v>
          </cell>
          <cell r="R5">
            <v>50928.2620054349</v>
          </cell>
          <cell r="S5">
            <v>0</v>
          </cell>
          <cell r="T5">
            <v>0</v>
          </cell>
          <cell r="U5">
            <v>23399.4717322268</v>
          </cell>
          <cell r="V5">
            <v>0</v>
          </cell>
          <cell r="W5">
            <v>27528.7902732081</v>
          </cell>
          <cell r="X5">
            <v>0</v>
          </cell>
          <cell r="Y5">
            <v>0</v>
          </cell>
          <cell r="Z5">
            <v>0</v>
          </cell>
          <cell r="AA5">
            <v>0</v>
          </cell>
          <cell r="AB5" t="str">
            <v>PLC0914-G</v>
          </cell>
          <cell r="AC5">
            <v>900</v>
          </cell>
          <cell r="AD5">
            <v>1400</v>
          </cell>
        </row>
        <row r="6">
          <cell r="A6">
            <v>3</v>
          </cell>
          <cell r="B6" t="str">
            <v>50系列普铝外平开窗</v>
          </cell>
          <cell r="C6" t="str">
            <v>1200*1200</v>
          </cell>
          <cell r="D6" t="str">
            <v>1.型材：50系列普铝外平开窗；
2.玻璃：单层玻璃6mm；</v>
          </cell>
          <cell r="E6">
            <v>2.88</v>
          </cell>
        </row>
        <row r="6">
          <cell r="I6">
            <v>2.88</v>
          </cell>
        </row>
        <row r="6">
          <cell r="O6">
            <v>605.523952918567</v>
          </cell>
          <cell r="P6">
            <v>0.09</v>
          </cell>
          <cell r="Q6">
            <v>660.021108681238</v>
          </cell>
          <cell r="R6">
            <v>1900.86079300196</v>
          </cell>
          <cell r="S6">
            <v>0</v>
          </cell>
          <cell r="T6">
            <v>0</v>
          </cell>
          <cell r="U6">
            <v>0</v>
          </cell>
          <cell r="V6">
            <v>1900.86079300196</v>
          </cell>
          <cell r="W6">
            <v>0</v>
          </cell>
          <cell r="X6">
            <v>0</v>
          </cell>
          <cell r="Y6">
            <v>0</v>
          </cell>
          <cell r="Z6">
            <v>0</v>
          </cell>
          <cell r="AA6">
            <v>0</v>
          </cell>
          <cell r="AB6" t="str">
            <v>PLC1212</v>
          </cell>
          <cell r="AC6">
            <v>1200</v>
          </cell>
          <cell r="AD6">
            <v>1200</v>
          </cell>
        </row>
        <row r="7">
          <cell r="A7">
            <v>4</v>
          </cell>
          <cell r="B7" t="str">
            <v>50系列普铝外平开窗</v>
          </cell>
          <cell r="C7" t="str">
            <v>1200*1400</v>
          </cell>
          <cell r="D7" t="str">
            <v>1.型材：50系列普铝外平开窗；
2.玻璃：单层玻璃6mm；</v>
          </cell>
          <cell r="E7">
            <v>102.48</v>
          </cell>
        </row>
        <row r="7">
          <cell r="G7">
            <v>87.36</v>
          </cell>
          <cell r="H7">
            <v>3.36</v>
          </cell>
        </row>
        <row r="7">
          <cell r="J7">
            <v>11.76</v>
          </cell>
        </row>
        <row r="7">
          <cell r="O7">
            <v>569.834713849677</v>
          </cell>
          <cell r="P7">
            <v>0.09</v>
          </cell>
          <cell r="Q7">
            <v>621.119838096148</v>
          </cell>
          <cell r="R7">
            <v>63652.3610080933</v>
          </cell>
          <cell r="S7">
            <v>0</v>
          </cell>
          <cell r="T7">
            <v>54261.0290560795</v>
          </cell>
          <cell r="U7">
            <v>2086.96265600306</v>
          </cell>
          <cell r="V7">
            <v>0</v>
          </cell>
          <cell r="W7">
            <v>7304.3692960107</v>
          </cell>
          <cell r="X7">
            <v>0</v>
          </cell>
          <cell r="Y7">
            <v>0</v>
          </cell>
          <cell r="Z7">
            <v>0</v>
          </cell>
          <cell r="AA7">
            <v>0</v>
          </cell>
          <cell r="AB7" t="str">
            <v>PLC1214</v>
          </cell>
          <cell r="AC7">
            <v>1200</v>
          </cell>
          <cell r="AD7">
            <v>1400</v>
          </cell>
        </row>
        <row r="8">
          <cell r="A8">
            <v>5</v>
          </cell>
          <cell r="B8" t="str">
            <v>50系列普铝外平开窗</v>
          </cell>
          <cell r="C8" t="str">
            <v>1500*1400</v>
          </cell>
          <cell r="D8" t="str">
            <v>1.型材：50系列普铝外平开窗；
2.玻璃：单层玻璃6mm；</v>
          </cell>
          <cell r="E8">
            <v>102.9</v>
          </cell>
        </row>
        <row r="8">
          <cell r="H8">
            <v>48.3</v>
          </cell>
          <cell r="I8">
            <v>0</v>
          </cell>
          <cell r="J8">
            <v>54.6</v>
          </cell>
        </row>
        <row r="8">
          <cell r="O8">
            <v>505.917431657221</v>
          </cell>
          <cell r="P8">
            <v>0.09</v>
          </cell>
          <cell r="Q8">
            <v>551.450000506371</v>
          </cell>
          <cell r="R8">
            <v>56744.2050521056</v>
          </cell>
          <cell r="S8">
            <v>0</v>
          </cell>
          <cell r="T8">
            <v>0</v>
          </cell>
          <cell r="U8">
            <v>26635.0350244577</v>
          </cell>
          <cell r="V8">
            <v>0</v>
          </cell>
          <cell r="W8">
            <v>30109.1700276479</v>
          </cell>
          <cell r="X8">
            <v>0</v>
          </cell>
          <cell r="Y8">
            <v>0</v>
          </cell>
          <cell r="Z8">
            <v>0</v>
          </cell>
          <cell r="AA8">
            <v>0</v>
          </cell>
          <cell r="AB8" t="str">
            <v>PLC1514</v>
          </cell>
          <cell r="AC8">
            <v>1500</v>
          </cell>
          <cell r="AD8">
            <v>1400</v>
          </cell>
        </row>
        <row r="9">
          <cell r="A9">
            <v>6</v>
          </cell>
          <cell r="B9" t="str">
            <v>50系列普铝外平开窗</v>
          </cell>
          <cell r="C9" t="str">
            <v>1500*1200</v>
          </cell>
          <cell r="D9" t="str">
            <v>1.型材：50系列普铝外平开窗；
2.玻璃：单层玻璃6mm；</v>
          </cell>
          <cell r="E9">
            <v>3.6</v>
          </cell>
        </row>
        <row r="9">
          <cell r="I9">
            <v>3.6</v>
          </cell>
        </row>
        <row r="9">
          <cell r="O9">
            <v>537.941516755167</v>
          </cell>
          <cell r="P9">
            <v>0.09</v>
          </cell>
          <cell r="Q9">
            <v>586.356253263132</v>
          </cell>
          <cell r="R9">
            <v>2110.88251174727</v>
          </cell>
          <cell r="S9">
            <v>0</v>
          </cell>
          <cell r="T9">
            <v>0</v>
          </cell>
          <cell r="U9">
            <v>0</v>
          </cell>
          <cell r="V9">
            <v>2110.88251174727</v>
          </cell>
          <cell r="W9">
            <v>0</v>
          </cell>
          <cell r="X9">
            <v>0</v>
          </cell>
          <cell r="Y9">
            <v>0</v>
          </cell>
          <cell r="Z9">
            <v>0</v>
          </cell>
          <cell r="AA9">
            <v>0</v>
          </cell>
          <cell r="AB9" t="str">
            <v>PLC1512</v>
          </cell>
          <cell r="AC9">
            <v>1500</v>
          </cell>
          <cell r="AD9">
            <v>1200</v>
          </cell>
        </row>
        <row r="10">
          <cell r="A10">
            <v>7</v>
          </cell>
          <cell r="B10" t="str">
            <v>50系列普铝外平开窗</v>
          </cell>
          <cell r="C10" t="str">
            <v>1800*1700</v>
          </cell>
          <cell r="D10" t="str">
            <v>1.型材：50系列普铝外平开窗；
2.玻璃：单层玻璃6mm；</v>
          </cell>
          <cell r="E10">
            <v>165.24</v>
          </cell>
        </row>
        <row r="10">
          <cell r="H10">
            <v>73.44</v>
          </cell>
        </row>
        <row r="10">
          <cell r="J10">
            <v>91.8</v>
          </cell>
        </row>
        <row r="10">
          <cell r="O10">
            <v>440.184110217328</v>
          </cell>
          <cell r="P10">
            <v>0.09</v>
          </cell>
          <cell r="Q10">
            <v>479.800680136888</v>
          </cell>
          <cell r="R10">
            <v>79282.2643858194</v>
          </cell>
          <cell r="S10">
            <v>0</v>
          </cell>
          <cell r="T10">
            <v>0</v>
          </cell>
          <cell r="U10">
            <v>35236.561949253</v>
          </cell>
          <cell r="V10">
            <v>0</v>
          </cell>
          <cell r="W10">
            <v>44045.7024365663</v>
          </cell>
          <cell r="X10">
            <v>0</v>
          </cell>
          <cell r="Y10">
            <v>0</v>
          </cell>
          <cell r="Z10">
            <v>0</v>
          </cell>
          <cell r="AA10">
            <v>0</v>
          </cell>
          <cell r="AB10" t="str">
            <v>PLC1817</v>
          </cell>
          <cell r="AC10">
            <v>1800</v>
          </cell>
          <cell r="AD10">
            <v>1700</v>
          </cell>
        </row>
        <row r="11">
          <cell r="A11">
            <v>8</v>
          </cell>
          <cell r="B11" t="str">
            <v>50系列普铝固定</v>
          </cell>
          <cell r="C11" t="str">
            <v>900*1400</v>
          </cell>
          <cell r="D11" t="str">
            <v>1.型材：50系列普铝固定窗；
2.玻璃：单层玻璃6mm；</v>
          </cell>
          <cell r="E11">
            <v>199.08</v>
          </cell>
          <cell r="F11">
            <v>65.52</v>
          </cell>
          <cell r="G11">
            <v>131.04</v>
          </cell>
        </row>
        <row r="11">
          <cell r="I11">
            <v>2.52</v>
          </cell>
        </row>
        <row r="11">
          <cell r="O11">
            <v>362.641937378475</v>
          </cell>
          <cell r="P11">
            <v>0.09</v>
          </cell>
          <cell r="Q11">
            <v>395.279711742538</v>
          </cell>
          <cell r="R11">
            <v>78692.2850137044</v>
          </cell>
          <cell r="S11">
            <v>25898.7267133711</v>
          </cell>
          <cell r="T11">
            <v>51797.4534267421</v>
          </cell>
          <cell r="U11">
            <v>0</v>
          </cell>
          <cell r="V11">
            <v>996.104873591195</v>
          </cell>
          <cell r="W11">
            <v>0</v>
          </cell>
          <cell r="X11">
            <v>0</v>
          </cell>
          <cell r="Y11">
            <v>0</v>
          </cell>
          <cell r="Z11">
            <v>0</v>
          </cell>
          <cell r="AA11">
            <v>0</v>
          </cell>
          <cell r="AB11" t="str">
            <v>PLGC0914</v>
          </cell>
          <cell r="AC11">
            <v>900</v>
          </cell>
          <cell r="AD11">
            <v>1400</v>
          </cell>
        </row>
        <row r="12">
          <cell r="A12">
            <v>9</v>
          </cell>
          <cell r="B12" t="str">
            <v>50系列普铝内开窗</v>
          </cell>
          <cell r="C12" t="str">
            <v>500*1000</v>
          </cell>
          <cell r="D12" t="str">
            <v>1.型材：50系列普铝内开窗；
2.玻璃：单层钢化磨砂玻璃6mm；</v>
          </cell>
          <cell r="E12">
            <v>527.5</v>
          </cell>
        </row>
        <row r="12">
          <cell r="G12">
            <v>180.5</v>
          </cell>
          <cell r="H12">
            <v>138</v>
          </cell>
          <cell r="I12">
            <v>26</v>
          </cell>
          <cell r="J12">
            <v>128</v>
          </cell>
          <cell r="K12">
            <v>16.5</v>
          </cell>
          <cell r="L12">
            <v>16.5</v>
          </cell>
          <cell r="M12">
            <v>22</v>
          </cell>
        </row>
        <row r="12">
          <cell r="O12">
            <v>770.029300663051</v>
          </cell>
          <cell r="P12">
            <v>0.09</v>
          </cell>
          <cell r="Q12">
            <v>839.331937722725</v>
          </cell>
          <cell r="R12">
            <v>442747.597148738</v>
          </cell>
          <cell r="S12">
            <v>0</v>
          </cell>
          <cell r="T12">
            <v>151499.414758952</v>
          </cell>
          <cell r="U12">
            <v>115827.807405736</v>
          </cell>
          <cell r="V12">
            <v>21822.6303807909</v>
          </cell>
          <cell r="W12">
            <v>107434.488028509</v>
          </cell>
          <cell r="X12">
            <v>13848.976972425</v>
          </cell>
          <cell r="Y12">
            <v>13848.976972425</v>
          </cell>
          <cell r="Z12">
            <v>18465.3026299</v>
          </cell>
          <cell r="AA12">
            <v>0</v>
          </cell>
          <cell r="AB12" t="str">
            <v>PLC0510</v>
          </cell>
          <cell r="AC12">
            <v>500</v>
          </cell>
          <cell r="AD12">
            <v>1000</v>
          </cell>
        </row>
        <row r="13">
          <cell r="A13">
            <v>10</v>
          </cell>
          <cell r="B13" t="str">
            <v>50系列普铝内开窗</v>
          </cell>
          <cell r="C13" t="str">
            <v>600*1200</v>
          </cell>
          <cell r="D13" t="str">
            <v>1.型材：50系列普铝内开窗；
2.玻璃：单层钢化磨砂玻璃6mm；</v>
          </cell>
          <cell r="E13">
            <v>2.88</v>
          </cell>
        </row>
        <row r="13">
          <cell r="I13">
            <v>2.88</v>
          </cell>
        </row>
        <row r="13">
          <cell r="O13">
            <v>641.594153114645</v>
          </cell>
          <cell r="P13">
            <v>0.09</v>
          </cell>
          <cell r="Q13">
            <v>699.337626894963</v>
          </cell>
          <cell r="R13">
            <v>2014.09236545749</v>
          </cell>
          <cell r="S13">
            <v>0</v>
          </cell>
          <cell r="T13">
            <v>0</v>
          </cell>
          <cell r="U13">
            <v>0</v>
          </cell>
          <cell r="V13">
            <v>2014.09236545749</v>
          </cell>
          <cell r="W13">
            <v>0</v>
          </cell>
          <cell r="X13">
            <v>0</v>
          </cell>
          <cell r="Y13">
            <v>0</v>
          </cell>
          <cell r="Z13">
            <v>0</v>
          </cell>
          <cell r="AA13">
            <v>0</v>
          </cell>
          <cell r="AB13" t="str">
            <v>PLC0612</v>
          </cell>
          <cell r="AC13">
            <v>600</v>
          </cell>
          <cell r="AD13">
            <v>1200</v>
          </cell>
        </row>
        <row r="14">
          <cell r="A14">
            <v>11</v>
          </cell>
          <cell r="B14" t="str">
            <v>60系列断桥铝合金外平开窗</v>
          </cell>
          <cell r="C14" t="str">
            <v>1500*2100</v>
          </cell>
          <cell r="D14" t="str">
            <v>1.60系列断桥铝合金外平开窗
2.玻璃：5LOW-E单银+9A+5+9A+5低辐射中空玻璃；</v>
          </cell>
          <cell r="E14">
            <v>50.4</v>
          </cell>
          <cell r="F14">
            <v>15.75</v>
          </cell>
        </row>
        <row r="14">
          <cell r="H14">
            <v>18.9</v>
          </cell>
        </row>
        <row r="14">
          <cell r="J14">
            <v>15.75</v>
          </cell>
        </row>
        <row r="14">
          <cell r="O14">
            <v>558.713972595064</v>
          </cell>
          <cell r="P14">
            <v>0.09</v>
          </cell>
          <cell r="Q14">
            <v>608.99823012862</v>
          </cell>
          <cell r="R14">
            <v>30693.5107984824</v>
          </cell>
          <cell r="S14">
            <v>9591.72212452576</v>
          </cell>
          <cell r="T14">
            <v>0</v>
          </cell>
          <cell r="U14">
            <v>11510.0665494309</v>
          </cell>
          <cell r="V14">
            <v>0</v>
          </cell>
          <cell r="W14">
            <v>9591.72212452576</v>
          </cell>
          <cell r="X14">
            <v>0</v>
          </cell>
          <cell r="Y14">
            <v>0</v>
          </cell>
          <cell r="Z14">
            <v>0</v>
          </cell>
          <cell r="AA14">
            <v>0</v>
          </cell>
          <cell r="AB14" t="str">
            <v>C1521</v>
          </cell>
          <cell r="AC14">
            <v>1500</v>
          </cell>
          <cell r="AD14">
            <v>2100</v>
          </cell>
        </row>
        <row r="15">
          <cell r="A15">
            <v>12</v>
          </cell>
          <cell r="B15" t="str">
            <v>60系列断桥铝合金外平开窗</v>
          </cell>
          <cell r="C15" t="str">
            <v>1500*1400</v>
          </cell>
          <cell r="D15" t="str">
            <v>1.60系列断桥铝合金外平开窗
2.玻璃：5LOW-E单银+9A+5+9A+5低辐射中空玻璃；</v>
          </cell>
          <cell r="E15">
            <v>56.7</v>
          </cell>
          <cell r="F15">
            <v>12.6</v>
          </cell>
        </row>
        <row r="15">
          <cell r="H15">
            <v>29.4</v>
          </cell>
        </row>
        <row r="15">
          <cell r="J15">
            <v>14.7</v>
          </cell>
        </row>
        <row r="15">
          <cell r="O15">
            <v>603.264288659659</v>
          </cell>
          <cell r="P15">
            <v>0.09</v>
          </cell>
          <cell r="Q15">
            <v>657.558074639028</v>
          </cell>
          <cell r="R15">
            <v>37283.5428320329</v>
          </cell>
          <cell r="S15">
            <v>8285.23174045175</v>
          </cell>
          <cell r="T15">
            <v>0</v>
          </cell>
          <cell r="U15">
            <v>19332.2073943874</v>
          </cell>
          <cell r="V15">
            <v>0</v>
          </cell>
          <cell r="W15">
            <v>9666.10369719371</v>
          </cell>
          <cell r="X15">
            <v>0</v>
          </cell>
          <cell r="Y15">
            <v>0</v>
          </cell>
          <cell r="Z15">
            <v>0</v>
          </cell>
          <cell r="AA15">
            <v>0</v>
          </cell>
          <cell r="AB15" t="str">
            <v>C1514</v>
          </cell>
          <cell r="AC15">
            <v>1500</v>
          </cell>
          <cell r="AD15">
            <v>1400</v>
          </cell>
        </row>
        <row r="16">
          <cell r="A16">
            <v>13</v>
          </cell>
          <cell r="B16" t="str">
            <v>60系列断桥铝合金外平开窗</v>
          </cell>
          <cell r="C16" t="str">
            <v>1500*1450</v>
          </cell>
          <cell r="D16" t="str">
            <v>1.60系列断桥铝合金外平开窗
2.玻璃：5LOW-E单银+9A+5+9A+5低辐射中空玻璃；</v>
          </cell>
          <cell r="E16">
            <v>167.475</v>
          </cell>
        </row>
        <row r="16">
          <cell r="I16">
            <v>45.675</v>
          </cell>
        </row>
        <row r="16">
          <cell r="K16">
            <v>45.675</v>
          </cell>
          <cell r="L16">
            <v>45.675</v>
          </cell>
          <cell r="M16">
            <v>30.45</v>
          </cell>
        </row>
        <row r="16">
          <cell r="O16">
            <v>597.957326155215</v>
          </cell>
          <cell r="P16">
            <v>0.09</v>
          </cell>
          <cell r="Q16">
            <v>651.773485509184</v>
          </cell>
          <cell r="R16">
            <v>109155.764485651</v>
          </cell>
          <cell r="S16">
            <v>0</v>
          </cell>
          <cell r="T16">
            <v>0</v>
          </cell>
          <cell r="U16">
            <v>0</v>
          </cell>
          <cell r="V16">
            <v>29769.753950632</v>
          </cell>
          <cell r="W16">
            <v>0</v>
          </cell>
          <cell r="X16">
            <v>29769.753950632</v>
          </cell>
          <cell r="Y16">
            <v>29769.753950632</v>
          </cell>
          <cell r="Z16">
            <v>19846.5026337547</v>
          </cell>
          <cell r="AA16">
            <v>0</v>
          </cell>
          <cell r="AB16" t="str">
            <v>C15145</v>
          </cell>
          <cell r="AC16">
            <v>1500</v>
          </cell>
          <cell r="AD16">
            <v>1450</v>
          </cell>
        </row>
        <row r="17">
          <cell r="A17">
            <v>14</v>
          </cell>
          <cell r="B17" t="str">
            <v>60系列断桥铝合金外平开窗</v>
          </cell>
          <cell r="C17" t="str">
            <v>1500*1700</v>
          </cell>
          <cell r="D17" t="str">
            <v>1.60系列断桥铝合金外平开窗
2.玻璃：5LOW-E单银+9A+5+9A+5低辐射中空玻璃；</v>
          </cell>
          <cell r="E17">
            <v>5.1</v>
          </cell>
          <cell r="F17">
            <v>2.55</v>
          </cell>
        </row>
        <row r="17">
          <cell r="J17">
            <v>2.55</v>
          </cell>
        </row>
        <row r="17">
          <cell r="O17">
            <v>594.599102856437</v>
          </cell>
          <cell r="P17">
            <v>0.09</v>
          </cell>
          <cell r="Q17">
            <v>648.113022113516</v>
          </cell>
          <cell r="R17">
            <v>3305.37641277893</v>
          </cell>
          <cell r="S17">
            <v>1652.68820638947</v>
          </cell>
          <cell r="T17">
            <v>0</v>
          </cell>
          <cell r="U17">
            <v>0</v>
          </cell>
          <cell r="V17">
            <v>0</v>
          </cell>
          <cell r="W17">
            <v>1652.68820638947</v>
          </cell>
          <cell r="X17">
            <v>0</v>
          </cell>
          <cell r="Y17">
            <v>0</v>
          </cell>
          <cell r="Z17">
            <v>0</v>
          </cell>
          <cell r="AA17">
            <v>0</v>
          </cell>
          <cell r="AB17" t="str">
            <v>C1517</v>
          </cell>
          <cell r="AC17">
            <v>1500</v>
          </cell>
          <cell r="AD17">
            <v>1700</v>
          </cell>
        </row>
        <row r="18">
          <cell r="A18">
            <v>15</v>
          </cell>
          <cell r="B18" t="str">
            <v>60系列断桥铝合金外平开窗</v>
          </cell>
          <cell r="C18" t="str">
            <v>1500*1500</v>
          </cell>
          <cell r="D18" t="str">
            <v>1.60系列断桥铝合金外平开窗
2.玻璃：5LOW-E单银+9A+5+9A+5低辐射中空玻璃；</v>
          </cell>
          <cell r="E18">
            <v>13.5</v>
          </cell>
        </row>
        <row r="18">
          <cell r="N18">
            <v>13.5</v>
          </cell>
          <cell r="O18">
            <v>593.013854233267</v>
          </cell>
          <cell r="P18">
            <v>0.09</v>
          </cell>
          <cell r="Q18">
            <v>646.385101114261</v>
          </cell>
          <cell r="R18">
            <v>8726.19886504253</v>
          </cell>
          <cell r="S18">
            <v>0</v>
          </cell>
          <cell r="T18">
            <v>0</v>
          </cell>
          <cell r="U18">
            <v>0</v>
          </cell>
          <cell r="V18">
            <v>0</v>
          </cell>
          <cell r="W18">
            <v>0</v>
          </cell>
          <cell r="X18">
            <v>0</v>
          </cell>
          <cell r="Y18">
            <v>0</v>
          </cell>
          <cell r="Z18">
            <v>0</v>
          </cell>
          <cell r="AA18">
            <v>8726.19886504253</v>
          </cell>
          <cell r="AB18" t="str">
            <v>C1515</v>
          </cell>
          <cell r="AC18">
            <v>1500</v>
          </cell>
          <cell r="AD18">
            <v>1500</v>
          </cell>
        </row>
        <row r="19">
          <cell r="A19">
            <v>16</v>
          </cell>
          <cell r="B19" t="str">
            <v>60系列断桥铝合金外平开窗</v>
          </cell>
          <cell r="C19" t="str">
            <v>600*1400</v>
          </cell>
          <cell r="D19" t="str">
            <v>1.60系列断桥铝合金外平开窗
2.玻璃：5LOW-E单银+9A+5+9A+5低辐射中空玻璃；</v>
          </cell>
          <cell r="E19">
            <v>33.6</v>
          </cell>
        </row>
        <row r="19">
          <cell r="H19">
            <v>16.8</v>
          </cell>
        </row>
        <row r="19">
          <cell r="J19">
            <v>16.8</v>
          </cell>
        </row>
        <row r="19">
          <cell r="O19">
            <v>802.274902530773</v>
          </cell>
          <cell r="P19">
            <v>0.09</v>
          </cell>
          <cell r="Q19">
            <v>874.479643758543</v>
          </cell>
          <cell r="R19">
            <v>29382.516030287</v>
          </cell>
          <cell r="S19">
            <v>0</v>
          </cell>
          <cell r="T19">
            <v>0</v>
          </cell>
          <cell r="U19">
            <v>14691.2580151435</v>
          </cell>
          <cell r="V19">
            <v>0</v>
          </cell>
          <cell r="W19">
            <v>14691.2580151435</v>
          </cell>
          <cell r="X19">
            <v>0</v>
          </cell>
          <cell r="Y19">
            <v>0</v>
          </cell>
          <cell r="Z19">
            <v>0</v>
          </cell>
          <cell r="AA19">
            <v>0</v>
          </cell>
          <cell r="AB19" t="str">
            <v>C0614</v>
          </cell>
          <cell r="AC19">
            <v>600</v>
          </cell>
          <cell r="AD19">
            <v>1400</v>
          </cell>
        </row>
        <row r="20">
          <cell r="A20">
            <v>17</v>
          </cell>
          <cell r="B20" t="str">
            <v>60系列断桥铝合金外平开窗</v>
          </cell>
          <cell r="C20" t="str">
            <v>900*1400</v>
          </cell>
          <cell r="D20" t="str">
            <v>1.60系列断桥铝合金外平开窗
2.玻璃：5LOW-E单银+9A+5+9A+5低辐射中空玻璃；</v>
          </cell>
          <cell r="E20">
            <v>178.92</v>
          </cell>
          <cell r="F20">
            <v>23.94</v>
          </cell>
          <cell r="G20">
            <v>51.66</v>
          </cell>
          <cell r="H20">
            <v>35.28</v>
          </cell>
          <cell r="I20">
            <v>35.28</v>
          </cell>
          <cell r="J20">
            <v>32.76</v>
          </cell>
        </row>
        <row r="20">
          <cell r="O20">
            <v>658.73728663198</v>
          </cell>
          <cell r="P20">
            <v>0.09</v>
          </cell>
          <cell r="Q20">
            <v>718.023642428859</v>
          </cell>
          <cell r="R20">
            <v>128468.790103371</v>
          </cell>
          <cell r="S20">
            <v>17189.4859997469</v>
          </cell>
          <cell r="T20">
            <v>37093.1013678748</v>
          </cell>
          <cell r="U20">
            <v>25331.8741048901</v>
          </cell>
          <cell r="V20">
            <v>25331.8741048901</v>
          </cell>
          <cell r="W20">
            <v>23522.4545259694</v>
          </cell>
          <cell r="X20">
            <v>0</v>
          </cell>
          <cell r="Y20">
            <v>0</v>
          </cell>
          <cell r="Z20">
            <v>0</v>
          </cell>
          <cell r="AA20">
            <v>0</v>
          </cell>
          <cell r="AB20" t="str">
            <v>C0914</v>
          </cell>
          <cell r="AC20">
            <v>900</v>
          </cell>
          <cell r="AD20">
            <v>1400</v>
          </cell>
        </row>
        <row r="21">
          <cell r="A21">
            <v>18</v>
          </cell>
          <cell r="B21" t="str">
            <v>60系列断桥铝合金外平开窗</v>
          </cell>
          <cell r="C21" t="str">
            <v>900*1450</v>
          </cell>
          <cell r="D21" t="str">
            <v>1.60系列断桥铝合金外平开窗
2.玻璃：5LOW-E单银+9A+5+9A+5低辐射中空玻璃；</v>
          </cell>
          <cell r="E21">
            <v>109.62</v>
          </cell>
        </row>
        <row r="21">
          <cell r="K21">
            <v>36.54</v>
          </cell>
          <cell r="L21">
            <v>36.54</v>
          </cell>
          <cell r="M21">
            <v>36.54</v>
          </cell>
        </row>
        <row r="21">
          <cell r="O21">
            <v>651.65616741322</v>
          </cell>
          <cell r="P21">
            <v>0.09</v>
          </cell>
          <cell r="Q21">
            <v>710.30522248041</v>
          </cell>
          <cell r="R21">
            <v>77863.6584883026</v>
          </cell>
          <cell r="S21">
            <v>0</v>
          </cell>
          <cell r="T21">
            <v>0</v>
          </cell>
          <cell r="U21">
            <v>0</v>
          </cell>
          <cell r="V21">
            <v>0</v>
          </cell>
          <cell r="W21">
            <v>0</v>
          </cell>
          <cell r="X21">
            <v>25954.5528294342</v>
          </cell>
          <cell r="Y21">
            <v>25954.5528294342</v>
          </cell>
          <cell r="Z21">
            <v>25954.5528294342</v>
          </cell>
          <cell r="AA21">
            <v>0</v>
          </cell>
          <cell r="AB21" t="str">
            <v>C09145</v>
          </cell>
          <cell r="AC21">
            <v>900</v>
          </cell>
          <cell r="AD21">
            <v>1450</v>
          </cell>
        </row>
        <row r="22">
          <cell r="A22">
            <v>19</v>
          </cell>
          <cell r="B22" t="str">
            <v>60系列断桥铝合金外平开窗</v>
          </cell>
          <cell r="C22" t="str">
            <v>1600*2150</v>
          </cell>
          <cell r="D22" t="str">
            <v>1.60系列断桥铝合金外平开窗
2.玻璃：5LOW-E单银+9A+5+9A+5低辐射中空玻璃；</v>
          </cell>
          <cell r="E22">
            <v>264.88</v>
          </cell>
        </row>
        <row r="22">
          <cell r="I22">
            <v>72.24</v>
          </cell>
        </row>
        <row r="22">
          <cell r="K22">
            <v>72.24</v>
          </cell>
          <cell r="L22">
            <v>72.24</v>
          </cell>
          <cell r="M22">
            <v>48.16</v>
          </cell>
        </row>
        <row r="22">
          <cell r="O22">
            <v>540.948033333292</v>
          </cell>
          <cell r="P22">
            <v>0.09</v>
          </cell>
          <cell r="Q22">
            <v>589.633356333289</v>
          </cell>
          <cell r="R22">
            <v>156182.083425562</v>
          </cell>
          <cell r="S22">
            <v>0</v>
          </cell>
          <cell r="T22">
            <v>0</v>
          </cell>
          <cell r="U22">
            <v>0</v>
          </cell>
          <cell r="V22">
            <v>42595.1136615168</v>
          </cell>
          <cell r="W22">
            <v>0</v>
          </cell>
          <cell r="X22">
            <v>42595.1136615168</v>
          </cell>
          <cell r="Y22">
            <v>42595.1136615168</v>
          </cell>
          <cell r="Z22">
            <v>28396.7424410112</v>
          </cell>
          <cell r="AA22">
            <v>0</v>
          </cell>
          <cell r="AB22" t="str">
            <v>C16215</v>
          </cell>
          <cell r="AC22">
            <v>1600</v>
          </cell>
          <cell r="AD22">
            <v>2150</v>
          </cell>
        </row>
        <row r="23">
          <cell r="A23">
            <v>20</v>
          </cell>
          <cell r="B23" t="str">
            <v>60系列断桥铝合金外平开窗</v>
          </cell>
          <cell r="C23" t="str">
            <v>2650*2400</v>
          </cell>
          <cell r="D23" t="str">
            <v>1.60系列断桥铝合金外平开窗
2.玻璃：5LOW-E单银+9A+5+9A+5低辐射中空玻璃；</v>
          </cell>
          <cell r="E23">
            <v>6.36</v>
          </cell>
        </row>
        <row r="23">
          <cell r="J23">
            <v>6.36</v>
          </cell>
        </row>
        <row r="23">
          <cell r="O23">
            <v>516.679398766875</v>
          </cell>
          <cell r="P23">
            <v>0.09</v>
          </cell>
          <cell r="Q23">
            <v>563.180544655894</v>
          </cell>
          <cell r="R23">
            <v>3581.82826401149</v>
          </cell>
          <cell r="S23">
            <v>0</v>
          </cell>
          <cell r="T23">
            <v>0</v>
          </cell>
          <cell r="U23">
            <v>0</v>
          </cell>
          <cell r="V23">
            <v>0</v>
          </cell>
          <cell r="W23">
            <v>3581.82826401149</v>
          </cell>
          <cell r="X23">
            <v>0</v>
          </cell>
          <cell r="Y23">
            <v>0</v>
          </cell>
          <cell r="Z23">
            <v>0</v>
          </cell>
          <cell r="AA23">
            <v>0</v>
          </cell>
          <cell r="AB23" t="str">
            <v>C26524</v>
          </cell>
          <cell r="AC23">
            <v>2650</v>
          </cell>
          <cell r="AD23">
            <v>2400</v>
          </cell>
        </row>
        <row r="24">
          <cell r="A24">
            <v>21</v>
          </cell>
          <cell r="B24" t="str">
            <v>60系列断桥铝合金外平开窗</v>
          </cell>
          <cell r="C24" t="str">
            <v>2950*2400</v>
          </cell>
          <cell r="D24" t="str">
            <v>1.60系列断桥铝合金外平开窗
2.玻璃：5LOW-E单银+9A+5+9A+5低辐射中空玻璃；</v>
          </cell>
          <cell r="E24">
            <v>28.32</v>
          </cell>
        </row>
        <row r="24">
          <cell r="J24">
            <v>28.32</v>
          </cell>
        </row>
        <row r="24">
          <cell r="O24">
            <v>498.908164538088</v>
          </cell>
          <cell r="P24">
            <v>0.09</v>
          </cell>
          <cell r="Q24">
            <v>543.809899346516</v>
          </cell>
          <cell r="R24">
            <v>15400.6963494933</v>
          </cell>
          <cell r="S24">
            <v>0</v>
          </cell>
          <cell r="T24">
            <v>0</v>
          </cell>
          <cell r="U24">
            <v>0</v>
          </cell>
          <cell r="V24">
            <v>0</v>
          </cell>
          <cell r="W24">
            <v>15400.6963494933</v>
          </cell>
          <cell r="X24">
            <v>0</v>
          </cell>
          <cell r="Y24">
            <v>0</v>
          </cell>
          <cell r="Z24">
            <v>0</v>
          </cell>
          <cell r="AA24">
            <v>0</v>
          </cell>
          <cell r="AB24" t="str">
            <v>C29524</v>
          </cell>
          <cell r="AC24">
            <v>2950</v>
          </cell>
          <cell r="AD24">
            <v>2400</v>
          </cell>
        </row>
        <row r="25">
          <cell r="A25">
            <v>22</v>
          </cell>
          <cell r="B25" t="str">
            <v>60系列断桥铝合金外平开窗</v>
          </cell>
          <cell r="C25" t="str">
            <v>3100*2400</v>
          </cell>
          <cell r="D25" t="str">
            <v>1.60系列断桥铝合金外平开窗
2.玻璃：5LOW-E单银+9A+5+9A+5低辐射中空玻璃；</v>
          </cell>
          <cell r="E25">
            <v>14.88</v>
          </cell>
        </row>
        <row r="25">
          <cell r="J25">
            <v>14.88</v>
          </cell>
        </row>
        <row r="25">
          <cell r="O25">
            <v>491.296396068799</v>
          </cell>
          <cell r="P25">
            <v>0.09</v>
          </cell>
          <cell r="Q25">
            <v>535.513071714991</v>
          </cell>
          <cell r="R25">
            <v>7968.43450711906</v>
          </cell>
          <cell r="S25">
            <v>0</v>
          </cell>
          <cell r="T25">
            <v>0</v>
          </cell>
          <cell r="U25">
            <v>0</v>
          </cell>
          <cell r="V25">
            <v>0</v>
          </cell>
          <cell r="W25">
            <v>7968.43450711906</v>
          </cell>
          <cell r="X25">
            <v>0</v>
          </cell>
          <cell r="Y25">
            <v>0</v>
          </cell>
          <cell r="Z25">
            <v>0</v>
          </cell>
          <cell r="AA25">
            <v>0</v>
          </cell>
          <cell r="AB25" t="str">
            <v>C3124</v>
          </cell>
          <cell r="AC25">
            <v>3100</v>
          </cell>
          <cell r="AD25">
            <v>2400</v>
          </cell>
        </row>
        <row r="26">
          <cell r="A26">
            <v>23</v>
          </cell>
          <cell r="B26" t="str">
            <v>60系列断桥铝合金外平开窗</v>
          </cell>
          <cell r="C26" t="str">
            <v>600*1400</v>
          </cell>
          <cell r="D26" t="str">
            <v>1.型材：60系列断桥铝合金外平开窗；
2.玻璃：5LOW-E单银+9A+5+9A+5低辐射中空钢化玻璃；</v>
          </cell>
          <cell r="E26">
            <v>88.2</v>
          </cell>
        </row>
        <row r="26">
          <cell r="H26">
            <v>40.32</v>
          </cell>
        </row>
        <row r="26">
          <cell r="J26">
            <v>47.88</v>
          </cell>
        </row>
        <row r="26">
          <cell r="O26">
            <v>822.887493843273</v>
          </cell>
          <cell r="P26">
            <v>0.09</v>
          </cell>
          <cell r="Q26">
            <v>896.947368289168</v>
          </cell>
          <cell r="R26">
            <v>79110.7578831046</v>
          </cell>
          <cell r="S26">
            <v>0</v>
          </cell>
          <cell r="T26">
            <v>0</v>
          </cell>
          <cell r="U26">
            <v>36164.9178894193</v>
          </cell>
          <cell r="V26">
            <v>0</v>
          </cell>
          <cell r="W26">
            <v>42945.8399936854</v>
          </cell>
          <cell r="X26">
            <v>0</v>
          </cell>
          <cell r="Y26">
            <v>0</v>
          </cell>
          <cell r="Z26">
            <v>0</v>
          </cell>
          <cell r="AA26">
            <v>0</v>
          </cell>
          <cell r="AB26" t="str">
            <v>C0614-G</v>
          </cell>
          <cell r="AC26">
            <v>600</v>
          </cell>
          <cell r="AD26">
            <v>1400</v>
          </cell>
        </row>
        <row r="27">
          <cell r="A27">
            <v>24</v>
          </cell>
          <cell r="B27" t="str">
            <v>60系列断桥铝合金外平开窗</v>
          </cell>
          <cell r="C27" t="str">
            <v>900*1400</v>
          </cell>
          <cell r="D27" t="str">
            <v>1.型材：60系列断桥铝合金外平开窗；
2.玻璃：5LOW-E单银+9A+5+9A+5低辐射中空钢化玻璃；</v>
          </cell>
          <cell r="E27">
            <v>422.1</v>
          </cell>
          <cell r="F27">
            <v>71.82</v>
          </cell>
          <cell r="G27">
            <v>143.64</v>
          </cell>
          <cell r="H27">
            <v>80.64</v>
          </cell>
          <cell r="I27">
            <v>30.24</v>
          </cell>
          <cell r="J27">
            <v>95.76</v>
          </cell>
        </row>
        <row r="27">
          <cell r="O27">
            <v>682.05291760291</v>
          </cell>
          <cell r="P27">
            <v>0.09</v>
          </cell>
          <cell r="Q27">
            <v>743.437680187173</v>
          </cell>
          <cell r="R27">
            <v>313805.044807006</v>
          </cell>
          <cell r="S27">
            <v>53393.6941910427</v>
          </cell>
          <cell r="T27">
            <v>106787.388382085</v>
          </cell>
          <cell r="U27">
            <v>59950.8145302936</v>
          </cell>
          <cell r="V27">
            <v>22481.5554488601</v>
          </cell>
          <cell r="W27">
            <v>71191.5922547236</v>
          </cell>
          <cell r="X27">
            <v>0</v>
          </cell>
          <cell r="Y27">
            <v>0</v>
          </cell>
          <cell r="Z27">
            <v>0</v>
          </cell>
          <cell r="AA27">
            <v>0</v>
          </cell>
          <cell r="AB27" t="str">
            <v>C0914-G</v>
          </cell>
          <cell r="AC27">
            <v>900</v>
          </cell>
          <cell r="AD27">
            <v>1400</v>
          </cell>
        </row>
        <row r="28">
          <cell r="A28">
            <v>25</v>
          </cell>
          <cell r="B28" t="str">
            <v>60系列断桥铝合金外平开窗</v>
          </cell>
          <cell r="C28" t="str">
            <v>900*1450</v>
          </cell>
          <cell r="D28" t="str">
            <v>1.型材：60系列断桥铝合金外平开窗；
2.玻璃：5LOW-E单银+9A+5+9A+5低辐射中空钢化玻璃；</v>
          </cell>
          <cell r="E28">
            <v>62.64</v>
          </cell>
        </row>
        <row r="28">
          <cell r="K28">
            <v>20.88</v>
          </cell>
          <cell r="L28">
            <v>20.88</v>
          </cell>
          <cell r="M28">
            <v>20.88</v>
          </cell>
        </row>
        <row r="28">
          <cell r="O28">
            <v>675.076603437961</v>
          </cell>
          <cell r="P28">
            <v>0.09</v>
          </cell>
          <cell r="Q28">
            <v>735.833497747377</v>
          </cell>
          <cell r="R28">
            <v>46092.6102988957</v>
          </cell>
          <cell r="S28">
            <v>0</v>
          </cell>
          <cell r="T28">
            <v>0</v>
          </cell>
          <cell r="U28">
            <v>0</v>
          </cell>
          <cell r="V28">
            <v>0</v>
          </cell>
          <cell r="W28">
            <v>0</v>
          </cell>
          <cell r="X28">
            <v>15364.2034329652</v>
          </cell>
          <cell r="Y28">
            <v>15364.2034329652</v>
          </cell>
          <cell r="Z28">
            <v>15364.2034329652</v>
          </cell>
          <cell r="AA28">
            <v>0</v>
          </cell>
          <cell r="AB28" t="str">
            <v>C09145-G</v>
          </cell>
          <cell r="AC28">
            <v>900</v>
          </cell>
          <cell r="AD28">
            <v>1450</v>
          </cell>
        </row>
        <row r="29">
          <cell r="A29">
            <v>26</v>
          </cell>
          <cell r="B29" t="str">
            <v>60系列断桥铝合金外平开窗</v>
          </cell>
          <cell r="C29" t="str">
            <v>1500*1400</v>
          </cell>
          <cell r="D29" t="str">
            <v>1.型材：60系列断桥铝合金外平开窗；
2.玻璃：5LOW-E单银+9A+5+9A+5低辐射中空钢化玻璃；</v>
          </cell>
          <cell r="E29">
            <v>107.1</v>
          </cell>
          <cell r="F29">
            <v>39.9</v>
          </cell>
        </row>
        <row r="29">
          <cell r="H29">
            <v>67.2</v>
          </cell>
        </row>
        <row r="29">
          <cell r="O29">
            <v>627.437431265291</v>
          </cell>
          <cell r="P29">
            <v>0.09</v>
          </cell>
          <cell r="Q29">
            <v>683.906800079168</v>
          </cell>
          <cell r="R29">
            <v>73246.4182884788</v>
          </cell>
          <cell r="S29">
            <v>27287.8813231588</v>
          </cell>
          <cell r="T29">
            <v>0</v>
          </cell>
          <cell r="U29">
            <v>45958.5369653201</v>
          </cell>
          <cell r="V29">
            <v>0</v>
          </cell>
          <cell r="W29">
            <v>0</v>
          </cell>
          <cell r="X29">
            <v>0</v>
          </cell>
          <cell r="Y29">
            <v>0</v>
          </cell>
          <cell r="Z29">
            <v>0</v>
          </cell>
          <cell r="AA29">
            <v>0</v>
          </cell>
          <cell r="AB29" t="str">
            <v>C1514-G</v>
          </cell>
          <cell r="AC29">
            <v>1500</v>
          </cell>
          <cell r="AD29">
            <v>1400</v>
          </cell>
        </row>
        <row r="30">
          <cell r="A30">
            <v>27</v>
          </cell>
          <cell r="B30" t="str">
            <v>60系列断桥铝合金外平开窗</v>
          </cell>
          <cell r="C30" t="str">
            <v>1500*1450</v>
          </cell>
          <cell r="D30" t="str">
            <v>1.型材：60系列断桥铝合金外平开窗；
2.玻璃：5LOW-E单银+9A+5+9A+5低辐射中空钢化玻璃；</v>
          </cell>
          <cell r="E30">
            <v>108.75</v>
          </cell>
        </row>
        <row r="30">
          <cell r="I30">
            <v>39.15</v>
          </cell>
        </row>
        <row r="30">
          <cell r="K30">
            <v>26.1</v>
          </cell>
          <cell r="L30">
            <v>26.1</v>
          </cell>
          <cell r="M30">
            <v>17.4</v>
          </cell>
        </row>
        <row r="30">
          <cell r="O30">
            <v>622.213515364262</v>
          </cell>
          <cell r="P30">
            <v>0.09</v>
          </cell>
          <cell r="Q30">
            <v>678.212731747046</v>
          </cell>
          <cell r="R30">
            <v>73755.6345774912</v>
          </cell>
          <cell r="S30">
            <v>0</v>
          </cell>
          <cell r="T30">
            <v>0</v>
          </cell>
          <cell r="U30">
            <v>0</v>
          </cell>
          <cell r="V30">
            <v>26552.0284478968</v>
          </cell>
          <cell r="W30">
            <v>0</v>
          </cell>
          <cell r="X30">
            <v>17701.3522985979</v>
          </cell>
          <cell r="Y30">
            <v>17701.3522985979</v>
          </cell>
          <cell r="Z30">
            <v>11800.9015323986</v>
          </cell>
          <cell r="AA30">
            <v>0</v>
          </cell>
          <cell r="AB30" t="str">
            <v>C15145-G</v>
          </cell>
          <cell r="AC30">
            <v>1500</v>
          </cell>
          <cell r="AD30">
            <v>1450</v>
          </cell>
        </row>
        <row r="31">
          <cell r="A31">
            <v>28</v>
          </cell>
          <cell r="B31" t="str">
            <v>60系列断桥铝合金外平开窗</v>
          </cell>
          <cell r="C31" t="str">
            <v>1500*2100</v>
          </cell>
          <cell r="D31" t="str">
            <v>1.型材：60系列断桥铝合金外平开窗；
2.玻璃：5LOW-E单银+9A+5+9A+5低辐射中空钢化玻璃；</v>
          </cell>
          <cell r="E31">
            <v>170.1</v>
          </cell>
          <cell r="F31">
            <v>59.85</v>
          </cell>
        </row>
        <row r="31">
          <cell r="H31">
            <v>50.4</v>
          </cell>
        </row>
        <row r="31">
          <cell r="J31">
            <v>59.85</v>
          </cell>
        </row>
        <row r="31">
          <cell r="O31">
            <v>563.885048100844</v>
          </cell>
          <cell r="P31">
            <v>0.09</v>
          </cell>
          <cell r="Q31">
            <v>614.63470242992</v>
          </cell>
          <cell r="R31">
            <v>104549.362883329</v>
          </cell>
          <cell r="S31">
            <v>36785.8869404307</v>
          </cell>
          <cell r="T31">
            <v>0</v>
          </cell>
          <cell r="U31">
            <v>30977.589002468</v>
          </cell>
          <cell r="V31">
            <v>0</v>
          </cell>
          <cell r="W31">
            <v>36785.8869404307</v>
          </cell>
          <cell r="X31">
            <v>0</v>
          </cell>
          <cell r="Y31">
            <v>0</v>
          </cell>
          <cell r="Z31">
            <v>0</v>
          </cell>
          <cell r="AA31">
            <v>0</v>
          </cell>
          <cell r="AB31" t="str">
            <v>C1521-G</v>
          </cell>
          <cell r="AC31">
            <v>1500</v>
          </cell>
          <cell r="AD31">
            <v>2100</v>
          </cell>
        </row>
        <row r="32">
          <cell r="A32">
            <v>29</v>
          </cell>
          <cell r="B32" t="str">
            <v>60系列断桥铝合金外平开窗</v>
          </cell>
          <cell r="C32" t="str">
            <v>1600*2150</v>
          </cell>
          <cell r="D32" t="str">
            <v>1.型材：60系列断桥铝合金外平开窗；
2.玻璃：5LOW-E单银+9A+5+9A+5低辐射中空钢化玻璃；</v>
          </cell>
          <cell r="E32">
            <v>172</v>
          </cell>
        </row>
        <row r="32">
          <cell r="I32">
            <v>61.92</v>
          </cell>
        </row>
        <row r="32">
          <cell r="K32">
            <v>41.28</v>
          </cell>
          <cell r="L32">
            <v>41.28</v>
          </cell>
          <cell r="M32">
            <v>27.52</v>
          </cell>
        </row>
        <row r="32">
          <cell r="O32">
            <v>545.672947263048</v>
          </cell>
          <cell r="P32">
            <v>0.09</v>
          </cell>
          <cell r="Q32">
            <v>594.783512516722</v>
          </cell>
          <cell r="R32">
            <v>102302.764152876</v>
          </cell>
          <cell r="S32">
            <v>0</v>
          </cell>
          <cell r="T32">
            <v>0</v>
          </cell>
          <cell r="U32">
            <v>0</v>
          </cell>
          <cell r="V32">
            <v>36828.9950950355</v>
          </cell>
          <cell r="W32">
            <v>0</v>
          </cell>
          <cell r="X32">
            <v>24552.6633966903</v>
          </cell>
          <cell r="Y32">
            <v>24552.6633966903</v>
          </cell>
          <cell r="Z32">
            <v>16368.4422644602</v>
          </cell>
          <cell r="AA32">
            <v>0</v>
          </cell>
          <cell r="AB32" t="str">
            <v>C16215-G</v>
          </cell>
          <cell r="AC32">
            <v>1600</v>
          </cell>
          <cell r="AD32">
            <v>2150</v>
          </cell>
        </row>
        <row r="33">
          <cell r="A33">
            <v>30</v>
          </cell>
          <cell r="B33" t="str">
            <v>60系列断桥铝合金外平开窗</v>
          </cell>
          <cell r="C33" t="str">
            <v>1800*2100</v>
          </cell>
          <cell r="D33" t="str">
            <v>1.型材：60系列断桥铝合金外平开窗；
2.玻璃：5LOW-E单银+9A+5+9A+5低辐射中空玻璃，单片玻璃≥2m2需用6mm；</v>
          </cell>
          <cell r="E33">
            <v>52.92</v>
          </cell>
        </row>
        <row r="33">
          <cell r="G33">
            <v>52.92</v>
          </cell>
        </row>
        <row r="33">
          <cell r="O33">
            <v>533.413716141837</v>
          </cell>
          <cell r="P33">
            <v>0.09</v>
          </cell>
          <cell r="Q33">
            <v>581.420950594602</v>
          </cell>
          <cell r="R33">
            <v>30768.7967054663</v>
          </cell>
          <cell r="S33">
            <v>0</v>
          </cell>
          <cell r="T33">
            <v>30768.7967054663</v>
          </cell>
          <cell r="U33">
            <v>0</v>
          </cell>
          <cell r="V33">
            <v>0</v>
          </cell>
          <cell r="W33">
            <v>0</v>
          </cell>
          <cell r="X33">
            <v>0</v>
          </cell>
          <cell r="Y33">
            <v>0</v>
          </cell>
          <cell r="Z33">
            <v>0</v>
          </cell>
          <cell r="AA33">
            <v>0</v>
          </cell>
          <cell r="AB33" t="str">
            <v>C1821</v>
          </cell>
          <cell r="AC33">
            <v>1800</v>
          </cell>
          <cell r="AD33">
            <v>2100</v>
          </cell>
        </row>
        <row r="34">
          <cell r="A34">
            <v>31</v>
          </cell>
          <cell r="B34" t="str">
            <v>60系列断桥铝合金外平开窗</v>
          </cell>
          <cell r="C34" t="str">
            <v>2100*2100</v>
          </cell>
          <cell r="D34" t="str">
            <v>1.型材：60系列断桥铝合金外平开窗；
2.玻璃：5LOW-E单银+9A+5+9A+5低辐射中空玻璃，单片玻璃≥2m2需用6mm；</v>
          </cell>
          <cell r="E34">
            <v>149.94</v>
          </cell>
          <cell r="F34">
            <v>30.87</v>
          </cell>
          <cell r="G34">
            <v>119.07</v>
          </cell>
        </row>
        <row r="34">
          <cell r="O34">
            <v>508.426161278436</v>
          </cell>
          <cell r="P34">
            <v>0.09</v>
          </cell>
          <cell r="Q34">
            <v>554.184515793495</v>
          </cell>
          <cell r="R34">
            <v>83094.4262980766</v>
          </cell>
          <cell r="S34">
            <v>17107.6760025452</v>
          </cell>
          <cell r="T34">
            <v>65986.7502955314</v>
          </cell>
          <cell r="U34">
            <v>0</v>
          </cell>
          <cell r="V34">
            <v>0</v>
          </cell>
          <cell r="W34">
            <v>0</v>
          </cell>
          <cell r="X34">
            <v>0</v>
          </cell>
          <cell r="Y34">
            <v>0</v>
          </cell>
          <cell r="Z34">
            <v>0</v>
          </cell>
          <cell r="AA34">
            <v>0</v>
          </cell>
          <cell r="AB34" t="str">
            <v>C2121</v>
          </cell>
          <cell r="AC34">
            <v>2100</v>
          </cell>
          <cell r="AD34">
            <v>2100</v>
          </cell>
        </row>
        <row r="35">
          <cell r="A35">
            <v>32</v>
          </cell>
          <cell r="B35" t="str">
            <v>60系列断桥铝合金外平开窗</v>
          </cell>
          <cell r="C35" t="str">
            <v>2100*2150</v>
          </cell>
          <cell r="D35" t="str">
            <v>1.型材：60系列断桥铝合金外平开窗；
2.玻璃：5LOW-E单银+9A+5+9A+5低辐射中空玻璃，单片玻璃≥2m2需用6mm；</v>
          </cell>
          <cell r="E35">
            <v>505.68</v>
          </cell>
        </row>
        <row r="35">
          <cell r="I35">
            <v>126.42</v>
          </cell>
        </row>
        <row r="35">
          <cell r="K35">
            <v>126.42</v>
          </cell>
          <cell r="L35">
            <v>126.42</v>
          </cell>
          <cell r="M35">
            <v>126.42</v>
          </cell>
        </row>
        <row r="35">
          <cell r="O35">
            <v>506.814670223089</v>
          </cell>
          <cell r="P35">
            <v>0.09</v>
          </cell>
          <cell r="Q35">
            <v>552.427990543167</v>
          </cell>
          <cell r="R35">
            <v>279351.786257869</v>
          </cell>
          <cell r="S35">
            <v>0</v>
          </cell>
          <cell r="T35">
            <v>0</v>
          </cell>
          <cell r="U35">
            <v>0</v>
          </cell>
          <cell r="V35">
            <v>69837.9465644671</v>
          </cell>
          <cell r="W35">
            <v>0</v>
          </cell>
          <cell r="X35">
            <v>69837.9465644671</v>
          </cell>
          <cell r="Y35">
            <v>69837.9465644671</v>
          </cell>
          <cell r="Z35">
            <v>69837.9465644671</v>
          </cell>
          <cell r="AA35">
            <v>0</v>
          </cell>
          <cell r="AB35" t="str">
            <v>C21215</v>
          </cell>
          <cell r="AC35">
            <v>2100</v>
          </cell>
          <cell r="AD35">
            <v>2150</v>
          </cell>
        </row>
        <row r="36">
          <cell r="A36">
            <v>33</v>
          </cell>
          <cell r="B36" t="str">
            <v>60系列断桥铝合金外平开窗</v>
          </cell>
          <cell r="C36" t="str">
            <v>1800*2100</v>
          </cell>
          <cell r="D36" t="str">
            <v>1.型材：60系列断桥铝合金外平开窗；
2.玻璃：5LOW-E单银+9A+5+9A+5低辐射中空钢化玻璃，单片玻璃≥2m2需用6mm；</v>
          </cell>
          <cell r="E36">
            <v>143.64</v>
          </cell>
        </row>
        <row r="36">
          <cell r="G36">
            <v>143.64</v>
          </cell>
        </row>
        <row r="36">
          <cell r="O36">
            <v>537.50354268177</v>
          </cell>
          <cell r="P36">
            <v>0.09</v>
          </cell>
          <cell r="Q36">
            <v>585.87886152313</v>
          </cell>
          <cell r="R36">
            <v>84155.6396691823</v>
          </cell>
          <cell r="S36">
            <v>0</v>
          </cell>
          <cell r="T36">
            <v>84155.6396691823</v>
          </cell>
          <cell r="U36">
            <v>0</v>
          </cell>
          <cell r="V36">
            <v>0</v>
          </cell>
          <cell r="W36">
            <v>0</v>
          </cell>
          <cell r="X36">
            <v>0</v>
          </cell>
          <cell r="Y36">
            <v>0</v>
          </cell>
          <cell r="Z36">
            <v>0</v>
          </cell>
          <cell r="AA36">
            <v>0</v>
          </cell>
          <cell r="AB36" t="str">
            <v>C1821-G</v>
          </cell>
          <cell r="AC36">
            <v>1800</v>
          </cell>
          <cell r="AD36">
            <v>2100</v>
          </cell>
        </row>
        <row r="37">
          <cell r="A37">
            <v>34</v>
          </cell>
          <cell r="B37" t="str">
            <v>60系列断桥铝合金外平开窗</v>
          </cell>
          <cell r="C37" t="str">
            <v>2100*2100</v>
          </cell>
          <cell r="D37" t="str">
            <v>1.型材：60系列断桥铝合金外平开窗；
2.玻璃：5LOW-E单银+9A+5+9A+5低辐射中空钢化玻璃，单片玻璃≥2m2需用6mm；</v>
          </cell>
          <cell r="E37">
            <v>418.95</v>
          </cell>
          <cell r="F37">
            <v>83.79</v>
          </cell>
          <cell r="G37">
            <v>335.16</v>
          </cell>
        </row>
        <row r="37">
          <cell r="O37">
            <v>511.920382011583</v>
          </cell>
          <cell r="P37">
            <v>0.09</v>
          </cell>
          <cell r="Q37">
            <v>557.993216392626</v>
          </cell>
          <cell r="R37">
            <v>233771.25800769</v>
          </cell>
          <cell r="S37">
            <v>46754.2516015381</v>
          </cell>
          <cell r="T37">
            <v>187017.006406152</v>
          </cell>
          <cell r="U37">
            <v>0</v>
          </cell>
          <cell r="V37">
            <v>0</v>
          </cell>
          <cell r="W37">
            <v>0</v>
          </cell>
          <cell r="X37">
            <v>0</v>
          </cell>
          <cell r="Y37">
            <v>0</v>
          </cell>
          <cell r="Z37">
            <v>0</v>
          </cell>
          <cell r="AA37">
            <v>0</v>
          </cell>
          <cell r="AB37" t="str">
            <v>C2121-G</v>
          </cell>
          <cell r="AC37">
            <v>2100</v>
          </cell>
          <cell r="AD37">
            <v>2100</v>
          </cell>
        </row>
        <row r="38">
          <cell r="A38">
            <v>35</v>
          </cell>
          <cell r="B38" t="str">
            <v>60系列断桥铝合金外平开窗</v>
          </cell>
          <cell r="C38" t="str">
            <v>2100*2150</v>
          </cell>
          <cell r="D38" t="str">
            <v>1.型材：60系列断桥铝合金外平开窗；
2.玻璃：5LOW-E单银+9A+5+9A+5低辐射中空钢化玻璃，单片玻璃≥2m2需用6mm；</v>
          </cell>
          <cell r="E38">
            <v>325.08</v>
          </cell>
        </row>
        <row r="38">
          <cell r="I38">
            <v>108.36</v>
          </cell>
        </row>
        <row r="38">
          <cell r="K38">
            <v>72.24</v>
          </cell>
          <cell r="L38">
            <v>72.24</v>
          </cell>
          <cell r="M38">
            <v>72.24</v>
          </cell>
        </row>
        <row r="38">
          <cell r="O38">
            <v>510.392760383486</v>
          </cell>
          <cell r="P38">
            <v>0.09</v>
          </cell>
          <cell r="Q38">
            <v>556.328108818</v>
          </cell>
          <cell r="R38">
            <v>180851.141614555</v>
          </cell>
          <cell r="S38">
            <v>0</v>
          </cell>
          <cell r="T38">
            <v>0</v>
          </cell>
          <cell r="U38">
            <v>0</v>
          </cell>
          <cell r="V38">
            <v>60283.7138715185</v>
          </cell>
          <cell r="W38">
            <v>0</v>
          </cell>
          <cell r="X38">
            <v>40189.1425810123</v>
          </cell>
          <cell r="Y38">
            <v>40189.1425810123</v>
          </cell>
          <cell r="Z38">
            <v>40189.1425810123</v>
          </cell>
          <cell r="AA38">
            <v>0</v>
          </cell>
          <cell r="AB38" t="str">
            <v>C21215-G</v>
          </cell>
          <cell r="AC38">
            <v>2100</v>
          </cell>
          <cell r="AD38">
            <v>2150</v>
          </cell>
        </row>
        <row r="39">
          <cell r="A39">
            <v>36</v>
          </cell>
          <cell r="B39" t="str">
            <v>60系列断桥铝合金外平开窗</v>
          </cell>
          <cell r="C39" t="str">
            <v>4900*2100</v>
          </cell>
          <cell r="D39" t="str">
            <v>1.型材：60系列断桥铝合金外平开窗；
2.玻璃：5LOW-E单银+9A+5+9A+5低辐射中空玻璃，单片玻璃≥3m2需用8mm；</v>
          </cell>
          <cell r="E39">
            <v>61.74</v>
          </cell>
        </row>
        <row r="39">
          <cell r="H39">
            <v>61.74</v>
          </cell>
        </row>
        <row r="39">
          <cell r="O39">
            <v>544.960251500675</v>
          </cell>
          <cell r="P39">
            <v>0.09</v>
          </cell>
          <cell r="Q39">
            <v>594.006674135736</v>
          </cell>
          <cell r="R39">
            <v>36673.9720611403</v>
          </cell>
          <cell r="S39">
            <v>0</v>
          </cell>
          <cell r="T39">
            <v>0</v>
          </cell>
          <cell r="U39">
            <v>36673.9720611403</v>
          </cell>
          <cell r="V39">
            <v>0</v>
          </cell>
          <cell r="W39">
            <v>0</v>
          </cell>
          <cell r="X39">
            <v>0</v>
          </cell>
          <cell r="Y39">
            <v>0</v>
          </cell>
          <cell r="Z39">
            <v>0</v>
          </cell>
          <cell r="AA39">
            <v>0</v>
          </cell>
          <cell r="AB39" t="str">
            <v>C4921</v>
          </cell>
          <cell r="AC39">
            <v>4900</v>
          </cell>
          <cell r="AD39">
            <v>2100</v>
          </cell>
        </row>
        <row r="40">
          <cell r="A40">
            <v>37</v>
          </cell>
          <cell r="B40" t="str">
            <v>60系列断桥铝合金外平开窗</v>
          </cell>
          <cell r="C40" t="str">
            <v>5000*1700</v>
          </cell>
          <cell r="D40" t="str">
            <v>1.型材：60系列断桥铝合金外平开窗；
2.玻璃：5LOW-E单银+9A+5+9A+5低辐射中空玻璃，单片玻璃≥3m2需用8mm；</v>
          </cell>
          <cell r="E40">
            <v>17</v>
          </cell>
          <cell r="F40">
            <v>8.5</v>
          </cell>
        </row>
        <row r="40">
          <cell r="J40">
            <v>8.5</v>
          </cell>
        </row>
        <row r="40">
          <cell r="O40">
            <v>488.029868449823</v>
          </cell>
          <cell r="P40">
            <v>0.09</v>
          </cell>
          <cell r="Q40">
            <v>531.952556610307</v>
          </cell>
          <cell r="R40">
            <v>9043.19346237523</v>
          </cell>
          <cell r="S40">
            <v>4521.59673118761</v>
          </cell>
          <cell r="T40">
            <v>0</v>
          </cell>
          <cell r="U40">
            <v>0</v>
          </cell>
          <cell r="V40">
            <v>0</v>
          </cell>
          <cell r="W40">
            <v>4521.59673118761</v>
          </cell>
          <cell r="X40">
            <v>0</v>
          </cell>
          <cell r="Y40">
            <v>0</v>
          </cell>
          <cell r="Z40">
            <v>0</v>
          </cell>
          <cell r="AA40">
            <v>0</v>
          </cell>
          <cell r="AB40" t="str">
            <v>C5017</v>
          </cell>
          <cell r="AC40">
            <v>5000</v>
          </cell>
          <cell r="AD40">
            <v>1700</v>
          </cell>
        </row>
        <row r="41">
          <cell r="A41">
            <v>38</v>
          </cell>
          <cell r="B41" t="str">
            <v>60系列断桥铝合金外平开窗</v>
          </cell>
          <cell r="C41" t="str">
            <v>5000*2100</v>
          </cell>
          <cell r="D41" t="str">
            <v>1.型材：60系列断桥铝合金外平开窗；
2.玻璃：5LOW-E单银+9A+5+9A+5低辐射中空玻璃，单片玻璃≥3m2需用8mm；</v>
          </cell>
          <cell r="E41">
            <v>115.5</v>
          </cell>
          <cell r="F41">
            <v>52.5</v>
          </cell>
        </row>
        <row r="41">
          <cell r="J41">
            <v>63</v>
          </cell>
        </row>
        <row r="41">
          <cell r="O41">
            <v>543.056778793122</v>
          </cell>
          <cell r="P41">
            <v>0.09</v>
          </cell>
          <cell r="Q41">
            <v>591.931888884503</v>
          </cell>
          <cell r="R41">
            <v>68368.13316616</v>
          </cell>
          <cell r="S41">
            <v>31076.4241664364</v>
          </cell>
          <cell r="T41">
            <v>0</v>
          </cell>
          <cell r="U41">
            <v>0</v>
          </cell>
          <cell r="V41">
            <v>0</v>
          </cell>
          <cell r="W41">
            <v>37291.7089997237</v>
          </cell>
          <cell r="X41">
            <v>0</v>
          </cell>
          <cell r="Y41">
            <v>0</v>
          </cell>
          <cell r="Z41">
            <v>0</v>
          </cell>
          <cell r="AA41">
            <v>0</v>
          </cell>
          <cell r="AB41" t="str">
            <v>C5021</v>
          </cell>
          <cell r="AC41">
            <v>5000</v>
          </cell>
          <cell r="AD41">
            <v>2100</v>
          </cell>
        </row>
        <row r="42">
          <cell r="A42">
            <v>39</v>
          </cell>
          <cell r="B42" t="str">
            <v>60系列断桥铝合金外平开窗</v>
          </cell>
          <cell r="C42" t="str">
            <v>4900*2100</v>
          </cell>
          <cell r="D42" t="str">
            <v>1.型材：60系列断桥铝合金外平开窗；
2.玻璃：5LOW-E单银+9A+5+9A+5低辐射中空钢化玻璃，单片玻璃≥3m2需用8mm；</v>
          </cell>
          <cell r="E42">
            <v>164.64</v>
          </cell>
        </row>
        <row r="42">
          <cell r="H42">
            <v>164.64</v>
          </cell>
        </row>
        <row r="42">
          <cell r="O42">
            <v>547.922430393796</v>
          </cell>
          <cell r="P42">
            <v>0.09</v>
          </cell>
          <cell r="Q42">
            <v>597.235449129237</v>
          </cell>
          <cell r="R42">
            <v>98328.8443446376</v>
          </cell>
          <cell r="S42">
            <v>0</v>
          </cell>
          <cell r="T42">
            <v>0</v>
          </cell>
          <cell r="U42">
            <v>98328.8443446376</v>
          </cell>
          <cell r="V42">
            <v>0</v>
          </cell>
          <cell r="W42">
            <v>0</v>
          </cell>
          <cell r="X42">
            <v>0</v>
          </cell>
          <cell r="Y42">
            <v>0</v>
          </cell>
          <cell r="Z42">
            <v>0</v>
          </cell>
          <cell r="AA42">
            <v>0</v>
          </cell>
          <cell r="AB42" t="str">
            <v>C4921-G</v>
          </cell>
          <cell r="AC42">
            <v>4900</v>
          </cell>
          <cell r="AD42">
            <v>2100</v>
          </cell>
        </row>
        <row r="43">
          <cell r="A43">
            <v>40</v>
          </cell>
          <cell r="B43" t="str">
            <v>60系列断桥铝合金外平开窗</v>
          </cell>
          <cell r="C43" t="str">
            <v>5000*2100</v>
          </cell>
          <cell r="D43" t="str">
            <v>1.型材：60系列断桥铝合金外平开窗；
2.玻璃：5LOW-E单银+9A+5+9A+5低辐射中空钢化玻璃，单片玻璃≥3m2需用8mm；</v>
          </cell>
          <cell r="E43">
            <v>399</v>
          </cell>
          <cell r="F43">
            <v>199.5</v>
          </cell>
        </row>
        <row r="43">
          <cell r="J43">
            <v>199.5</v>
          </cell>
        </row>
        <row r="43">
          <cell r="O43">
            <v>545.959236337591</v>
          </cell>
          <cell r="P43">
            <v>0.09</v>
          </cell>
          <cell r="Q43">
            <v>595.095567607974</v>
          </cell>
          <cell r="R43">
            <v>237443.131475582</v>
          </cell>
          <cell r="S43">
            <v>118721.565737791</v>
          </cell>
          <cell r="T43">
            <v>0</v>
          </cell>
          <cell r="U43">
            <v>0</v>
          </cell>
          <cell r="V43">
            <v>0</v>
          </cell>
          <cell r="W43">
            <v>118721.565737791</v>
          </cell>
          <cell r="X43">
            <v>0</v>
          </cell>
          <cell r="Y43">
            <v>0</v>
          </cell>
          <cell r="Z43">
            <v>0</v>
          </cell>
          <cell r="AA43">
            <v>0</v>
          </cell>
          <cell r="AB43" t="str">
            <v>C5021-G</v>
          </cell>
          <cell r="AC43">
            <v>5000</v>
          </cell>
          <cell r="AD43">
            <v>2100</v>
          </cell>
        </row>
        <row r="44">
          <cell r="A44">
            <v>41</v>
          </cell>
          <cell r="B44" t="str">
            <v>60系列断桥铝合金外悬窗</v>
          </cell>
          <cell r="C44" t="str">
            <v>500*1400</v>
          </cell>
          <cell r="D44" t="str">
            <v>1.型材：60系列断桥铝合金外悬窗；
2.玻璃：5LOW-E单银+9A+5+9A+5低辐射中空玻璃；</v>
          </cell>
          <cell r="E44">
            <v>4.9</v>
          </cell>
        </row>
        <row r="44">
          <cell r="H44">
            <v>4.9</v>
          </cell>
        </row>
        <row r="44">
          <cell r="O44">
            <v>907.913380554659</v>
          </cell>
          <cell r="P44">
            <v>0.09</v>
          </cell>
          <cell r="Q44">
            <v>989.625584804578</v>
          </cell>
          <cell r="R44">
            <v>4849.16536554243</v>
          </cell>
          <cell r="S44">
            <v>0</v>
          </cell>
          <cell r="T44">
            <v>0</v>
          </cell>
          <cell r="U44">
            <v>4849.16536554243</v>
          </cell>
          <cell r="V44">
            <v>0</v>
          </cell>
          <cell r="W44">
            <v>0</v>
          </cell>
          <cell r="X44">
            <v>0</v>
          </cell>
          <cell r="Y44">
            <v>0</v>
          </cell>
          <cell r="Z44">
            <v>0</v>
          </cell>
          <cell r="AA44">
            <v>0</v>
          </cell>
          <cell r="AB44" t="str">
            <v>C0514</v>
          </cell>
          <cell r="AC44">
            <v>500</v>
          </cell>
          <cell r="AD44">
            <v>1400</v>
          </cell>
        </row>
        <row r="45">
          <cell r="A45">
            <v>42</v>
          </cell>
          <cell r="B45" t="str">
            <v>60系列断桥铝合金外悬窗</v>
          </cell>
          <cell r="C45" t="str">
            <v>500*1450</v>
          </cell>
          <cell r="D45" t="str">
            <v>1.型材：60系列断桥铝合金外悬窗；
2.玻璃：5LOW-E单银+9A+5+9A+5低辐射中空玻璃；</v>
          </cell>
          <cell r="E45">
            <v>65.1</v>
          </cell>
        </row>
        <row r="45">
          <cell r="I45">
            <v>15.225</v>
          </cell>
          <cell r="J45">
            <v>4.2</v>
          </cell>
          <cell r="K45">
            <v>15.225</v>
          </cell>
          <cell r="L45">
            <v>15.225</v>
          </cell>
          <cell r="M45">
            <v>15.225</v>
          </cell>
        </row>
        <row r="45">
          <cell r="O45">
            <v>898.091842484585</v>
          </cell>
          <cell r="P45">
            <v>0.09</v>
          </cell>
          <cell r="Q45">
            <v>978.920108308197</v>
          </cell>
          <cell r="R45">
            <v>63727.6990508636</v>
          </cell>
          <cell r="S45">
            <v>0</v>
          </cell>
          <cell r="T45">
            <v>0</v>
          </cell>
          <cell r="U45">
            <v>0</v>
          </cell>
          <cell r="V45">
            <v>14904.0586489923</v>
          </cell>
          <cell r="W45">
            <v>4111.46445489443</v>
          </cell>
          <cell r="X45">
            <v>14904.0586489923</v>
          </cell>
          <cell r="Y45">
            <v>14904.0586489923</v>
          </cell>
          <cell r="Z45">
            <v>14904.0586489923</v>
          </cell>
          <cell r="AA45">
            <v>0</v>
          </cell>
          <cell r="AB45" t="str">
            <v>C05145</v>
          </cell>
          <cell r="AC45">
            <v>500</v>
          </cell>
          <cell r="AD45">
            <v>1450</v>
          </cell>
        </row>
        <row r="46">
          <cell r="A46">
            <v>43</v>
          </cell>
          <cell r="B46" t="str">
            <v>60系列断桥铝合金外悬窗</v>
          </cell>
          <cell r="C46" t="str">
            <v>550*1400</v>
          </cell>
          <cell r="D46" t="str">
            <v>1.型材：60系列断桥铝合金外悬窗；
2.玻璃：5LOW-E单银+9A+5+9A+5低辐射中空玻璃；</v>
          </cell>
          <cell r="E46">
            <v>10.01</v>
          </cell>
        </row>
        <row r="46">
          <cell r="H46">
            <v>5.39</v>
          </cell>
        </row>
        <row r="46">
          <cell r="J46">
            <v>4.62</v>
          </cell>
        </row>
        <row r="46">
          <cell r="O46">
            <v>857.101987198985</v>
          </cell>
          <cell r="P46">
            <v>0.09</v>
          </cell>
          <cell r="Q46">
            <v>934.241166046894</v>
          </cell>
          <cell r="R46">
            <v>9351.7540721294</v>
          </cell>
          <cell r="S46">
            <v>0</v>
          </cell>
          <cell r="T46">
            <v>0</v>
          </cell>
          <cell r="U46">
            <v>5035.55988499276</v>
          </cell>
          <cell r="V46">
            <v>0</v>
          </cell>
          <cell r="W46">
            <v>4316.19418713665</v>
          </cell>
          <cell r="X46">
            <v>0</v>
          </cell>
          <cell r="Y46">
            <v>0</v>
          </cell>
          <cell r="Z46">
            <v>0</v>
          </cell>
          <cell r="AA46">
            <v>0</v>
          </cell>
          <cell r="AB46" t="str">
            <v>C05514</v>
          </cell>
          <cell r="AC46">
            <v>550</v>
          </cell>
          <cell r="AD46">
            <v>1400</v>
          </cell>
        </row>
        <row r="47">
          <cell r="A47">
            <v>44</v>
          </cell>
          <cell r="B47" t="str">
            <v>60系列断桥铝合金外悬窗</v>
          </cell>
          <cell r="C47" t="str">
            <v>600*1400</v>
          </cell>
          <cell r="D47" t="str">
            <v>1.型材：60系列断桥铝合金外悬窗；
2.玻璃：5LOW-E单银+9A+5+9A+5低辐射中空玻璃；</v>
          </cell>
          <cell r="E47">
            <v>115.92</v>
          </cell>
          <cell r="F47">
            <v>31.92</v>
          </cell>
        </row>
        <row r="47">
          <cell r="H47">
            <v>39.48</v>
          </cell>
        </row>
        <row r="47">
          <cell r="J47">
            <v>44.52</v>
          </cell>
        </row>
        <row r="47">
          <cell r="O47">
            <v>815.364056942538</v>
          </cell>
          <cell r="P47">
            <v>0.09</v>
          </cell>
          <cell r="Q47">
            <v>888.746822067367</v>
          </cell>
          <cell r="R47">
            <v>103023.531614049</v>
          </cell>
          <cell r="S47">
            <v>28368.7985603903</v>
          </cell>
          <cell r="T47">
            <v>0</v>
          </cell>
          <cell r="U47">
            <v>35087.7245352196</v>
          </cell>
          <cell r="V47">
            <v>0</v>
          </cell>
          <cell r="W47">
            <v>39567.0085184392</v>
          </cell>
          <cell r="X47">
            <v>0</v>
          </cell>
          <cell r="Y47">
            <v>0</v>
          </cell>
          <cell r="Z47">
            <v>0</v>
          </cell>
          <cell r="AA47">
            <v>0</v>
          </cell>
          <cell r="AB47" t="str">
            <v>C0614-S</v>
          </cell>
          <cell r="AC47">
            <v>600</v>
          </cell>
          <cell r="AD47">
            <v>1400</v>
          </cell>
        </row>
        <row r="48">
          <cell r="A48">
            <v>45</v>
          </cell>
          <cell r="B48" t="str">
            <v>60系列断桥铝合金外悬窗</v>
          </cell>
          <cell r="C48" t="str">
            <v>600*1450</v>
          </cell>
          <cell r="D48" t="str">
            <v>1.型材：60系列断桥铝合金外悬窗；
2.玻璃：5LOW-E单银+9A+5+9A+5低辐射中空玻璃；</v>
          </cell>
          <cell r="E48">
            <v>48.72</v>
          </cell>
        </row>
        <row r="48">
          <cell r="I48">
            <v>12.18</v>
          </cell>
        </row>
        <row r="48">
          <cell r="K48">
            <v>12.18</v>
          </cell>
          <cell r="L48">
            <v>12.18</v>
          </cell>
          <cell r="M48">
            <v>12.18</v>
          </cell>
        </row>
        <row r="48">
          <cell r="O48">
            <v>806.484129847953</v>
          </cell>
          <cell r="P48">
            <v>0.09</v>
          </cell>
          <cell r="Q48">
            <v>879.067701534269</v>
          </cell>
          <cell r="R48">
            <v>42828.1784187496</v>
          </cell>
          <cell r="S48">
            <v>0</v>
          </cell>
          <cell r="T48">
            <v>0</v>
          </cell>
          <cell r="U48">
            <v>0</v>
          </cell>
          <cell r="V48">
            <v>10707.0446046874</v>
          </cell>
          <cell r="W48">
            <v>0</v>
          </cell>
          <cell r="X48">
            <v>10707.0446046874</v>
          </cell>
          <cell r="Y48">
            <v>10707.0446046874</v>
          </cell>
          <cell r="Z48">
            <v>10707.0446046874</v>
          </cell>
          <cell r="AA48">
            <v>0</v>
          </cell>
          <cell r="AB48" t="str">
            <v>C06145</v>
          </cell>
          <cell r="AC48">
            <v>600</v>
          </cell>
          <cell r="AD48">
            <v>1450</v>
          </cell>
        </row>
        <row r="49">
          <cell r="A49">
            <v>46</v>
          </cell>
          <cell r="B49" t="str">
            <v>60系列断桥铝合金外悬窗</v>
          </cell>
          <cell r="C49" t="str">
            <v>900*700</v>
          </cell>
          <cell r="D49" t="str">
            <v>1.型材：60系列断桥铝合金外悬窗；
2.玻璃：5LOW-E单银+9A+5+9A+5低辐射中空玻璃；</v>
          </cell>
          <cell r="E49">
            <v>3.15</v>
          </cell>
        </row>
        <row r="49">
          <cell r="J49">
            <v>3.15</v>
          </cell>
        </row>
        <row r="49">
          <cell r="O49">
            <v>886.417717050154</v>
          </cell>
          <cell r="P49">
            <v>0.09</v>
          </cell>
          <cell r="Q49">
            <v>966.195311584668</v>
          </cell>
          <cell r="R49">
            <v>3043.5152314917</v>
          </cell>
          <cell r="S49">
            <v>0</v>
          </cell>
          <cell r="T49">
            <v>0</v>
          </cell>
          <cell r="U49">
            <v>0</v>
          </cell>
          <cell r="V49">
            <v>0</v>
          </cell>
          <cell r="W49">
            <v>3043.5152314917</v>
          </cell>
          <cell r="X49">
            <v>0</v>
          </cell>
          <cell r="Y49">
            <v>0</v>
          </cell>
          <cell r="Z49">
            <v>0</v>
          </cell>
          <cell r="AA49">
            <v>0</v>
          </cell>
          <cell r="AB49" t="str">
            <v>C0907</v>
          </cell>
          <cell r="AC49">
            <v>900</v>
          </cell>
          <cell r="AD49">
            <v>700</v>
          </cell>
        </row>
        <row r="50">
          <cell r="A50">
            <v>47</v>
          </cell>
          <cell r="B50" t="str">
            <v>60系列断桥铝合金外悬窗</v>
          </cell>
          <cell r="C50" t="str">
            <v>900*1400</v>
          </cell>
          <cell r="D50" t="str">
            <v>1.型材：60系列断桥铝合金外悬窗；
2.玻璃：5LOW-E单银+9A+5+9A+5低辐射中空玻璃；</v>
          </cell>
          <cell r="E50">
            <v>146.16</v>
          </cell>
        </row>
        <row r="50">
          <cell r="G50">
            <v>103.32</v>
          </cell>
          <cell r="H50">
            <v>26.46</v>
          </cell>
        </row>
        <row r="50">
          <cell r="J50">
            <v>16.38</v>
          </cell>
        </row>
        <row r="50">
          <cell r="O50">
            <v>667.260456946618</v>
          </cell>
          <cell r="P50">
            <v>0.09</v>
          </cell>
          <cell r="Q50">
            <v>727.313898071813</v>
          </cell>
          <cell r="R50">
            <v>106304.199342176</v>
          </cell>
          <cell r="S50">
            <v>0</v>
          </cell>
          <cell r="T50">
            <v>75146.0719487798</v>
          </cell>
          <cell r="U50">
            <v>19244.7257429802</v>
          </cell>
          <cell r="V50">
            <v>0</v>
          </cell>
          <cell r="W50">
            <v>11913.4016504163</v>
          </cell>
          <cell r="X50">
            <v>0</v>
          </cell>
          <cell r="Y50">
            <v>0</v>
          </cell>
          <cell r="Z50">
            <v>0</v>
          </cell>
          <cell r="AA50">
            <v>0</v>
          </cell>
          <cell r="AB50" t="str">
            <v>C0914-S</v>
          </cell>
          <cell r="AC50">
            <v>900</v>
          </cell>
          <cell r="AD50">
            <v>1400</v>
          </cell>
        </row>
        <row r="51">
          <cell r="A51">
            <v>48</v>
          </cell>
          <cell r="B51" t="str">
            <v>60系列断桥铝合金外悬窗</v>
          </cell>
          <cell r="C51" t="str">
            <v>900*1450</v>
          </cell>
          <cell r="D51" t="str">
            <v>1.型材：60系列断桥铝合金外悬窗；
2.玻璃：5LOW-E单银+9A+5+9A+5低辐射中空玻璃；</v>
          </cell>
          <cell r="E51">
            <v>109.62</v>
          </cell>
        </row>
        <row r="51">
          <cell r="I51">
            <v>27.405</v>
          </cell>
        </row>
        <row r="51">
          <cell r="K51">
            <v>27.405</v>
          </cell>
          <cell r="L51">
            <v>27.405</v>
          </cell>
          <cell r="M51">
            <v>27.405</v>
          </cell>
        </row>
        <row r="51">
          <cell r="O51">
            <v>659.877097645779</v>
          </cell>
          <cell r="P51">
            <v>0.09</v>
          </cell>
          <cell r="Q51">
            <v>719.266036433899</v>
          </cell>
          <cell r="R51">
            <v>78845.942913884</v>
          </cell>
          <cell r="S51">
            <v>0</v>
          </cell>
          <cell r="T51">
            <v>0</v>
          </cell>
          <cell r="U51">
            <v>0</v>
          </cell>
          <cell r="V51">
            <v>19711.485728471</v>
          </cell>
          <cell r="W51">
            <v>0</v>
          </cell>
          <cell r="X51">
            <v>19711.485728471</v>
          </cell>
          <cell r="Y51">
            <v>19711.485728471</v>
          </cell>
          <cell r="Z51">
            <v>19711.485728471</v>
          </cell>
          <cell r="AA51">
            <v>0</v>
          </cell>
          <cell r="AB51" t="str">
            <v>C09145-S</v>
          </cell>
          <cell r="AC51">
            <v>900</v>
          </cell>
          <cell r="AD51">
            <v>1450</v>
          </cell>
        </row>
        <row r="52">
          <cell r="A52">
            <v>49</v>
          </cell>
          <cell r="B52" t="str">
            <v>60系列断桥铝合金外悬窗</v>
          </cell>
          <cell r="C52" t="str">
            <v>1500*1800</v>
          </cell>
          <cell r="D52" t="str">
            <v>1.型材：60系列断桥铝合金外悬窗；
2.玻璃：5LOW-E单银+9A+5+9A+5低辐射中空玻璃；</v>
          </cell>
          <cell r="E52">
            <v>1.2</v>
          </cell>
        </row>
        <row r="52">
          <cell r="J52">
            <v>1.2</v>
          </cell>
        </row>
        <row r="52">
          <cell r="O52">
            <v>587.366984551632</v>
          </cell>
          <cell r="P52">
            <v>0.09</v>
          </cell>
          <cell r="Q52">
            <v>640.230013161279</v>
          </cell>
          <cell r="R52">
            <v>768.276015793535</v>
          </cell>
          <cell r="S52">
            <v>0</v>
          </cell>
          <cell r="T52">
            <v>0</v>
          </cell>
          <cell r="U52">
            <v>0</v>
          </cell>
          <cell r="V52">
            <v>0</v>
          </cell>
          <cell r="W52">
            <v>768.276015793535</v>
          </cell>
          <cell r="X52">
            <v>0</v>
          </cell>
          <cell r="Y52">
            <v>0</v>
          </cell>
          <cell r="Z52">
            <v>0</v>
          </cell>
          <cell r="AA52">
            <v>0</v>
          </cell>
          <cell r="AB52" t="str">
            <v>C1518</v>
          </cell>
          <cell r="AC52">
            <v>1500</v>
          </cell>
          <cell r="AD52">
            <v>1800</v>
          </cell>
        </row>
        <row r="53">
          <cell r="A53">
            <v>50</v>
          </cell>
          <cell r="B53" t="str">
            <v>60系列断桥铝合金外悬窗</v>
          </cell>
          <cell r="C53" t="str">
            <v>500*1400</v>
          </cell>
          <cell r="D53" t="str">
            <v>1.型材：60系列断桥铝合金外悬窗；
2.玻璃：5LOW-E单银+9A+5+9A+5低辐射中空钢化玻璃；</v>
          </cell>
          <cell r="E53">
            <v>24.5</v>
          </cell>
        </row>
        <row r="53">
          <cell r="H53">
            <v>11.2</v>
          </cell>
        </row>
        <row r="53">
          <cell r="J53">
            <v>13.3</v>
          </cell>
        </row>
        <row r="53">
          <cell r="O53">
            <v>926.841468891615</v>
          </cell>
          <cell r="P53">
            <v>0.09</v>
          </cell>
          <cell r="Q53">
            <v>1010.25720109186</v>
          </cell>
          <cell r="R53">
            <v>24751.3014267506</v>
          </cell>
          <cell r="S53">
            <v>0</v>
          </cell>
          <cell r="T53">
            <v>0</v>
          </cell>
          <cell r="U53">
            <v>11314.8806522288</v>
          </cell>
          <cell r="V53">
            <v>0</v>
          </cell>
          <cell r="W53">
            <v>13436.4207745217</v>
          </cell>
          <cell r="X53">
            <v>0</v>
          </cell>
          <cell r="Y53">
            <v>0</v>
          </cell>
          <cell r="Z53">
            <v>0</v>
          </cell>
          <cell r="AA53">
            <v>0</v>
          </cell>
          <cell r="AB53" t="str">
            <v>C0514-G</v>
          </cell>
          <cell r="AC53">
            <v>500</v>
          </cell>
          <cell r="AD53">
            <v>1400</v>
          </cell>
        </row>
        <row r="54">
          <cell r="A54">
            <v>51</v>
          </cell>
          <cell r="B54" t="str">
            <v>60系列断桥铝合金外悬窗</v>
          </cell>
          <cell r="C54" t="str">
            <v>500*1450</v>
          </cell>
          <cell r="D54" t="str">
            <v>1.型材：60系列断桥铝合金外悬窗；
2.玻璃：5LOW-E单银+9A+5+9A+5低辐射中空钢化玻璃；</v>
          </cell>
          <cell r="E54">
            <v>39.15</v>
          </cell>
        </row>
        <row r="54">
          <cell r="I54">
            <v>13.05</v>
          </cell>
        </row>
        <row r="54">
          <cell r="K54">
            <v>8.7</v>
          </cell>
          <cell r="L54">
            <v>8.7</v>
          </cell>
          <cell r="M54">
            <v>8.7</v>
          </cell>
        </row>
        <row r="54">
          <cell r="O54">
            <v>917.10501362797</v>
          </cell>
          <cell r="P54">
            <v>0.09</v>
          </cell>
          <cell r="Q54">
            <v>999.644464854488</v>
          </cell>
          <cell r="R54">
            <v>39136.0807990532</v>
          </cell>
          <cell r="S54">
            <v>0</v>
          </cell>
          <cell r="T54">
            <v>0</v>
          </cell>
          <cell r="U54">
            <v>0</v>
          </cell>
          <cell r="V54">
            <v>13045.3602663511</v>
          </cell>
          <cell r="W54">
            <v>0</v>
          </cell>
          <cell r="X54">
            <v>8696.90684423404</v>
          </cell>
          <cell r="Y54">
            <v>8696.90684423404</v>
          </cell>
          <cell r="Z54">
            <v>8696.90684423404</v>
          </cell>
          <cell r="AA54">
            <v>0</v>
          </cell>
          <cell r="AB54" t="str">
            <v>C05145-G</v>
          </cell>
          <cell r="AC54">
            <v>500</v>
          </cell>
          <cell r="AD54">
            <v>1450</v>
          </cell>
        </row>
        <row r="55">
          <cell r="A55">
            <v>52</v>
          </cell>
          <cell r="B55" t="str">
            <v>60系列断桥铝合金外悬窗</v>
          </cell>
          <cell r="C55" t="str">
            <v>550*1400</v>
          </cell>
          <cell r="D55" t="str">
            <v>1.型材：60系列断桥铝合金外悬窗；
2.玻璃：5LOW-E单银+9A+5+9A+5低辐射中空钢化玻璃；</v>
          </cell>
          <cell r="E55">
            <v>26.95</v>
          </cell>
        </row>
        <row r="55">
          <cell r="H55">
            <v>12.32</v>
          </cell>
        </row>
        <row r="55">
          <cell r="J55">
            <v>14.63</v>
          </cell>
        </row>
        <row r="55">
          <cell r="O55">
            <v>876.954900698985</v>
          </cell>
          <cell r="P55">
            <v>0.09</v>
          </cell>
          <cell r="Q55">
            <v>955.880841761894</v>
          </cell>
          <cell r="R55">
            <v>25760.988685483</v>
          </cell>
          <cell r="S55">
            <v>0</v>
          </cell>
          <cell r="T55">
            <v>0</v>
          </cell>
          <cell r="U55">
            <v>11776.4519705065</v>
          </cell>
          <cell r="V55">
            <v>0</v>
          </cell>
          <cell r="W55">
            <v>13984.5367149765</v>
          </cell>
          <cell r="X55">
            <v>0</v>
          </cell>
          <cell r="Y55">
            <v>0</v>
          </cell>
          <cell r="Z55">
            <v>0</v>
          </cell>
          <cell r="AA55">
            <v>0</v>
          </cell>
          <cell r="AB55" t="str">
            <v>C05514-G</v>
          </cell>
          <cell r="AC55">
            <v>550</v>
          </cell>
          <cell r="AD55">
            <v>1400</v>
          </cell>
        </row>
        <row r="56">
          <cell r="A56">
            <v>53</v>
          </cell>
          <cell r="B56" t="str">
            <v>60系列断桥铝合金外悬窗</v>
          </cell>
          <cell r="C56" t="str">
            <v>600*1400</v>
          </cell>
          <cell r="D56" t="str">
            <v>1.型材：60系列断桥铝合金外悬窗；
2.玻璃：5LOW-E单银+9A+5+9A+5低辐射中空钢化玻璃；</v>
          </cell>
          <cell r="E56">
            <v>317.52</v>
          </cell>
          <cell r="F56">
            <v>95.76</v>
          </cell>
        </row>
        <row r="56">
          <cell r="H56">
            <v>94.08</v>
          </cell>
        </row>
        <row r="56">
          <cell r="J56">
            <v>127.68</v>
          </cell>
        </row>
        <row r="56">
          <cell r="O56">
            <v>835.976648255038</v>
          </cell>
          <cell r="P56">
            <v>0.09</v>
          </cell>
          <cell r="Q56">
            <v>911.214546597992</v>
          </cell>
          <cell r="R56">
            <v>289328.842835794</v>
          </cell>
          <cell r="S56">
            <v>87257.9049822237</v>
          </cell>
          <cell r="T56">
            <v>0</v>
          </cell>
          <cell r="U56">
            <v>85727.0645439391</v>
          </cell>
          <cell r="V56">
            <v>0</v>
          </cell>
          <cell r="W56">
            <v>116343.873309632</v>
          </cell>
          <cell r="X56">
            <v>0</v>
          </cell>
          <cell r="Y56">
            <v>0</v>
          </cell>
          <cell r="Z56">
            <v>0</v>
          </cell>
          <cell r="AA56">
            <v>0</v>
          </cell>
          <cell r="AB56" t="str">
            <v>C0614-SG</v>
          </cell>
          <cell r="AC56">
            <v>600</v>
          </cell>
          <cell r="AD56">
            <v>1400</v>
          </cell>
        </row>
        <row r="57">
          <cell r="A57">
            <v>54</v>
          </cell>
          <cell r="B57" t="str">
            <v>60系列断桥铝合金外悬窗</v>
          </cell>
          <cell r="C57" t="str">
            <v>600*1450</v>
          </cell>
          <cell r="D57" t="str">
            <v>1.型材：60系列断桥铝合金外悬窗；
2.玻璃：5LOW-E单银+9A+5+9A+5低辐射中空钢化玻璃；</v>
          </cell>
          <cell r="E57">
            <v>31.32</v>
          </cell>
        </row>
        <row r="57">
          <cell r="I57">
            <v>10.44</v>
          </cell>
        </row>
        <row r="57">
          <cell r="K57">
            <v>6.96</v>
          </cell>
          <cell r="L57">
            <v>6.96</v>
          </cell>
          <cell r="M57">
            <v>6.96</v>
          </cell>
        </row>
        <row r="57">
          <cell r="O57">
            <v>827.189375901145</v>
          </cell>
          <cell r="P57">
            <v>0.09</v>
          </cell>
          <cell r="Q57">
            <v>901.636419732248</v>
          </cell>
          <cell r="R57">
            <v>28239.252666014</v>
          </cell>
          <cell r="S57">
            <v>0</v>
          </cell>
          <cell r="T57">
            <v>0</v>
          </cell>
          <cell r="U57">
            <v>0</v>
          </cell>
          <cell r="V57">
            <v>9413.08422200467</v>
          </cell>
          <cell r="W57">
            <v>0</v>
          </cell>
          <cell r="X57">
            <v>6275.38948133644</v>
          </cell>
          <cell r="Y57">
            <v>6275.38948133644</v>
          </cell>
          <cell r="Z57">
            <v>6275.38948133644</v>
          </cell>
          <cell r="AA57">
            <v>0</v>
          </cell>
          <cell r="AB57" t="str">
            <v>C06145-SG</v>
          </cell>
          <cell r="AC57">
            <v>600</v>
          </cell>
          <cell r="AD57">
            <v>1450</v>
          </cell>
        </row>
        <row r="58">
          <cell r="A58">
            <v>55</v>
          </cell>
          <cell r="B58" t="str">
            <v>60系列断桥铝合金外悬窗</v>
          </cell>
          <cell r="C58" t="str">
            <v>900*1400</v>
          </cell>
          <cell r="D58" t="str">
            <v>1.型材：60系列断桥铝合金外悬窗；
2.玻璃：5LOW-E单银+9A+5+9A+5低辐射中空钢化玻璃；</v>
          </cell>
          <cell r="E58">
            <v>395.64</v>
          </cell>
        </row>
        <row r="58">
          <cell r="G58">
            <v>287.28</v>
          </cell>
          <cell r="H58">
            <v>60.48</v>
          </cell>
        </row>
        <row r="58">
          <cell r="J58">
            <v>47.88</v>
          </cell>
        </row>
        <row r="58">
          <cell r="O58">
            <v>690.576087917548</v>
          </cell>
          <cell r="P58">
            <v>0.09</v>
          </cell>
          <cell r="Q58">
            <v>752.727935830127</v>
          </cell>
          <cell r="R58">
            <v>297809.280531832</v>
          </cell>
          <cell r="S58">
            <v>0</v>
          </cell>
          <cell r="T58">
            <v>216243.681405279</v>
          </cell>
          <cell r="U58">
            <v>45524.9855590061</v>
          </cell>
          <cell r="V58">
            <v>0</v>
          </cell>
          <cell r="W58">
            <v>36040.6135675465</v>
          </cell>
          <cell r="X58">
            <v>0</v>
          </cell>
          <cell r="Y58">
            <v>0</v>
          </cell>
          <cell r="Z58">
            <v>0</v>
          </cell>
          <cell r="AA58">
            <v>0</v>
          </cell>
          <cell r="AB58" t="str">
            <v>C0914-SG</v>
          </cell>
          <cell r="AC58">
            <v>900</v>
          </cell>
          <cell r="AD58">
            <v>1400</v>
          </cell>
        </row>
        <row r="59">
          <cell r="A59">
            <v>56</v>
          </cell>
          <cell r="B59" t="str">
            <v>60系列断桥铝合金外悬窗</v>
          </cell>
          <cell r="C59" t="str">
            <v>900*1450</v>
          </cell>
          <cell r="D59" t="str">
            <v>1.型材：60系列断桥铝合金外悬窗；
2.玻璃：5LOW-E单银+9A+5+9A+5低辐射中空钢化玻璃；</v>
          </cell>
          <cell r="E59">
            <v>70.47</v>
          </cell>
        </row>
        <row r="59">
          <cell r="I59">
            <v>23.49</v>
          </cell>
        </row>
        <row r="59">
          <cell r="K59">
            <v>15.66</v>
          </cell>
          <cell r="L59">
            <v>15.66</v>
          </cell>
          <cell r="M59">
            <v>15.66</v>
          </cell>
        </row>
        <row r="59">
          <cell r="O59">
            <v>683.297533670519</v>
          </cell>
          <cell r="P59">
            <v>0.09</v>
          </cell>
          <cell r="Q59">
            <v>744.794311700866</v>
          </cell>
          <cell r="R59">
            <v>52485.65514556</v>
          </cell>
          <cell r="S59">
            <v>0</v>
          </cell>
          <cell r="T59">
            <v>0</v>
          </cell>
          <cell r="U59">
            <v>0</v>
          </cell>
          <cell r="V59">
            <v>17495.2183818533</v>
          </cell>
          <cell r="W59">
            <v>0</v>
          </cell>
          <cell r="X59">
            <v>11663.4789212356</v>
          </cell>
          <cell r="Y59">
            <v>11663.4789212356</v>
          </cell>
          <cell r="Z59">
            <v>11663.4789212356</v>
          </cell>
          <cell r="AA59">
            <v>0</v>
          </cell>
          <cell r="AB59" t="str">
            <v>C09145-SG</v>
          </cell>
          <cell r="AC59">
            <v>900</v>
          </cell>
          <cell r="AD59">
            <v>1450</v>
          </cell>
        </row>
        <row r="60">
          <cell r="A60">
            <v>57</v>
          </cell>
          <cell r="B60" t="str">
            <v>60系列外悬窗+90隔热推拉</v>
          </cell>
          <cell r="C60" t="str">
            <v>1800*2450</v>
          </cell>
          <cell r="D60" t="str">
            <v>1.型材：60系列断桥铝合金外悬窗+90隔热推拉；
2.玻璃：5LOW-E单银+9A+5低辐射中空玻璃；</v>
          </cell>
          <cell r="E60">
            <v>8.82</v>
          </cell>
        </row>
        <row r="60">
          <cell r="J60">
            <v>8.82</v>
          </cell>
        </row>
        <row r="60">
          <cell r="O60">
            <v>531.955125700701</v>
          </cell>
          <cell r="P60">
            <v>0.09</v>
          </cell>
          <cell r="Q60">
            <v>579.831087013764</v>
          </cell>
          <cell r="R60">
            <v>5114.1101874614</v>
          </cell>
          <cell r="S60">
            <v>0</v>
          </cell>
          <cell r="T60">
            <v>0</v>
          </cell>
          <cell r="U60">
            <v>0</v>
          </cell>
          <cell r="V60">
            <v>0</v>
          </cell>
          <cell r="W60">
            <v>5114.1101874614</v>
          </cell>
          <cell r="X60">
            <v>0</v>
          </cell>
          <cell r="Y60">
            <v>0</v>
          </cell>
          <cell r="Z60">
            <v>0</v>
          </cell>
          <cell r="AA60">
            <v>0</v>
          </cell>
          <cell r="AB60" t="str">
            <v>C18245</v>
          </cell>
          <cell r="AC60">
            <v>1800</v>
          </cell>
          <cell r="AD60">
            <v>2450</v>
          </cell>
        </row>
        <row r="61">
          <cell r="A61">
            <v>58</v>
          </cell>
          <cell r="B61" t="str">
            <v>60系列断桥铝合金耐火外平开</v>
          </cell>
          <cell r="C61" t="str">
            <v>2100*2100</v>
          </cell>
          <cell r="D61" t="str">
            <v>1.型材：60系列断桥铝合金耐火外平开；
2.玻璃：5LOW-E单银+9A+5+9A+6铯钾低辐射中空耐火钢化玻璃，单片玻璃≥2m2需用6mm</v>
          </cell>
          <cell r="E61">
            <v>1389.15</v>
          </cell>
          <cell r="F61">
            <v>110.25</v>
          </cell>
        </row>
        <row r="61">
          <cell r="H61">
            <v>608.58</v>
          </cell>
        </row>
        <row r="61">
          <cell r="J61">
            <v>670.32</v>
          </cell>
        </row>
        <row r="61">
          <cell r="O61">
            <v>859.820832419798</v>
          </cell>
          <cell r="P61">
            <v>0.09</v>
          </cell>
          <cell r="Q61">
            <v>937.20470733758</v>
          </cell>
          <cell r="R61">
            <v>1301917.919198</v>
          </cell>
          <cell r="S61">
            <v>103326.818983968</v>
          </cell>
          <cell r="T61">
            <v>0</v>
          </cell>
          <cell r="U61">
            <v>570364.040791504</v>
          </cell>
          <cell r="V61">
            <v>0</v>
          </cell>
          <cell r="W61">
            <v>628227.059422527</v>
          </cell>
          <cell r="X61">
            <v>0</v>
          </cell>
          <cell r="Y61">
            <v>0</v>
          </cell>
          <cell r="Z61">
            <v>0</v>
          </cell>
          <cell r="AA61">
            <v>0</v>
          </cell>
          <cell r="AB61" t="str">
            <v>NC2121</v>
          </cell>
          <cell r="AC61">
            <v>2100</v>
          </cell>
          <cell r="AD61">
            <v>2100</v>
          </cell>
        </row>
        <row r="62">
          <cell r="A62">
            <v>59</v>
          </cell>
          <cell r="B62" t="str">
            <v>60系列断桥铝合金耐火外平开</v>
          </cell>
          <cell r="C62" t="str">
            <v>2100*1700</v>
          </cell>
          <cell r="D62" t="str">
            <v>1.型材：60系列断桥铝合金耐火外平开；
2.玻璃：5LOW-E单银+9A+5+9A+6铯钾低辐射中空耐火钢化玻璃，单片玻璃≥2m2需用6mm</v>
          </cell>
          <cell r="E62">
            <v>7.14</v>
          </cell>
        </row>
        <row r="62">
          <cell r="J62">
            <v>7.14</v>
          </cell>
        </row>
        <row r="62">
          <cell r="O62">
            <v>889.921686528424</v>
          </cell>
          <cell r="P62">
            <v>0.09</v>
          </cell>
          <cell r="Q62">
            <v>970.014638315982</v>
          </cell>
          <cell r="R62">
            <v>6925.90451757611</v>
          </cell>
          <cell r="S62">
            <v>0</v>
          </cell>
          <cell r="T62">
            <v>0</v>
          </cell>
          <cell r="U62">
            <v>0</v>
          </cell>
          <cell r="V62">
            <v>0</v>
          </cell>
          <cell r="W62">
            <v>6925.90451757611</v>
          </cell>
          <cell r="X62">
            <v>0</v>
          </cell>
          <cell r="Y62">
            <v>0</v>
          </cell>
          <cell r="Z62">
            <v>0</v>
          </cell>
          <cell r="AA62">
            <v>0</v>
          </cell>
          <cell r="AB62" t="str">
            <v>NC2117</v>
          </cell>
          <cell r="AC62">
            <v>2100</v>
          </cell>
          <cell r="AD62">
            <v>1700</v>
          </cell>
        </row>
        <row r="63">
          <cell r="A63">
            <v>60</v>
          </cell>
          <cell r="B63" t="str">
            <v>60系列断桥铝合金耐火外平开</v>
          </cell>
          <cell r="C63" t="str">
            <v>1500*1400</v>
          </cell>
          <cell r="D63" t="str">
            <v>1.型材：60系列断桥铝合金耐火外平开；
2.玻璃：5LOW-E单银+9A+5+9A+6铯钾低辐射中空耐火钢化玻璃；</v>
          </cell>
          <cell r="E63">
            <v>640.5</v>
          </cell>
          <cell r="F63">
            <v>107.1</v>
          </cell>
          <cell r="G63">
            <v>325.5</v>
          </cell>
          <cell r="H63">
            <v>46.2</v>
          </cell>
        </row>
        <row r="63">
          <cell r="J63">
            <v>161.7</v>
          </cell>
        </row>
        <row r="63">
          <cell r="O63">
            <v>978.980594306035</v>
          </cell>
          <cell r="P63">
            <v>0.09</v>
          </cell>
          <cell r="Q63">
            <v>1067.08884779358</v>
          </cell>
          <cell r="R63">
            <v>683470.407011787</v>
          </cell>
          <cell r="S63">
            <v>114285.215598692</v>
          </cell>
          <cell r="T63">
            <v>347337.41995681</v>
          </cell>
          <cell r="U63">
            <v>49299.5047680633</v>
          </cell>
          <cell r="V63">
            <v>0</v>
          </cell>
          <cell r="W63">
            <v>172548.266688222</v>
          </cell>
          <cell r="X63">
            <v>0</v>
          </cell>
          <cell r="Y63">
            <v>0</v>
          </cell>
          <cell r="Z63">
            <v>0</v>
          </cell>
          <cell r="AA63">
            <v>0</v>
          </cell>
          <cell r="AB63" t="str">
            <v>NC1514</v>
          </cell>
          <cell r="AC63">
            <v>1500</v>
          </cell>
          <cell r="AD63">
            <v>1400</v>
          </cell>
        </row>
        <row r="64">
          <cell r="A64">
            <v>61</v>
          </cell>
          <cell r="B64" t="str">
            <v>80系列普铝推拉窗</v>
          </cell>
          <cell r="C64" t="str">
            <v>1100*1500</v>
          </cell>
          <cell r="D64" t="str">
            <v>1.型材：80系列普铝推拉窗；
2.玻璃：单层玻璃6mm；</v>
          </cell>
          <cell r="E64">
            <v>108.9</v>
          </cell>
        </row>
        <row r="64">
          <cell r="K64">
            <v>36.3</v>
          </cell>
          <cell r="L64">
            <v>36.3</v>
          </cell>
          <cell r="M64">
            <v>36.3</v>
          </cell>
        </row>
        <row r="64">
          <cell r="O64">
            <v>414.293281944716</v>
          </cell>
          <cell r="P64">
            <v>0.09</v>
          </cell>
          <cell r="Q64">
            <v>451.579677319741</v>
          </cell>
          <cell r="R64">
            <v>49177.0268601198</v>
          </cell>
          <cell r="S64">
            <v>0</v>
          </cell>
          <cell r="T64">
            <v>0</v>
          </cell>
          <cell r="U64">
            <v>0</v>
          </cell>
          <cell r="V64">
            <v>0</v>
          </cell>
          <cell r="W64">
            <v>0</v>
          </cell>
          <cell r="X64">
            <v>16392.3422867066</v>
          </cell>
          <cell r="Y64">
            <v>16392.3422867066</v>
          </cell>
          <cell r="Z64">
            <v>16392.3422867066</v>
          </cell>
          <cell r="AA64">
            <v>0</v>
          </cell>
          <cell r="AB64" t="str">
            <v>TLC1115</v>
          </cell>
          <cell r="AC64">
            <v>1100</v>
          </cell>
          <cell r="AD64">
            <v>1500</v>
          </cell>
        </row>
        <row r="65">
          <cell r="A65">
            <v>62</v>
          </cell>
          <cell r="B65" t="str">
            <v>80系列普铝推拉窗</v>
          </cell>
          <cell r="C65" t="str">
            <v>1200*1400</v>
          </cell>
          <cell r="D65" t="str">
            <v>1.型材：80系列普铝推拉窗；
2.玻璃：单层玻璃6mm；</v>
          </cell>
          <cell r="E65">
            <v>191.52</v>
          </cell>
          <cell r="F65">
            <v>3.36</v>
          </cell>
          <cell r="G65">
            <v>16.8</v>
          </cell>
          <cell r="H65">
            <v>80.64</v>
          </cell>
        </row>
        <row r="65">
          <cell r="J65">
            <v>90.72</v>
          </cell>
        </row>
        <row r="65">
          <cell r="O65">
            <v>407.269197972281</v>
          </cell>
          <cell r="P65">
            <v>0.09</v>
          </cell>
          <cell r="Q65">
            <v>443.923425789787</v>
          </cell>
          <cell r="R65">
            <v>85020.21450726</v>
          </cell>
          <cell r="S65">
            <v>1491.58271065368</v>
          </cell>
          <cell r="T65">
            <v>7457.91355326842</v>
          </cell>
          <cell r="U65">
            <v>35797.9850556884</v>
          </cell>
          <cell r="V65">
            <v>0</v>
          </cell>
          <cell r="W65">
            <v>40272.7331876495</v>
          </cell>
          <cell r="X65">
            <v>0</v>
          </cell>
          <cell r="Y65">
            <v>0</v>
          </cell>
          <cell r="Z65">
            <v>0</v>
          </cell>
          <cell r="AA65">
            <v>0</v>
          </cell>
          <cell r="AB65" t="str">
            <v>TLC1214</v>
          </cell>
          <cell r="AC65">
            <v>1200</v>
          </cell>
          <cell r="AD65">
            <v>1400</v>
          </cell>
        </row>
        <row r="66">
          <cell r="A66">
            <v>63</v>
          </cell>
          <cell r="B66" t="str">
            <v>80系列普铝推拉窗</v>
          </cell>
          <cell r="C66" t="str">
            <v>1500*1500</v>
          </cell>
          <cell r="D66" t="str">
            <v>1.型材：80系列普铝推拉窗；
2.玻璃：单层玻璃6mm；</v>
          </cell>
          <cell r="E66">
            <v>58.5</v>
          </cell>
        </row>
        <row r="66">
          <cell r="I66">
            <v>58.5</v>
          </cell>
        </row>
        <row r="66">
          <cell r="O66">
            <v>368.590431148157</v>
          </cell>
          <cell r="P66">
            <v>0.09</v>
          </cell>
          <cell r="Q66">
            <v>401.763569951492</v>
          </cell>
          <cell r="R66">
            <v>23503.1688421623</v>
          </cell>
          <cell r="S66">
            <v>0</v>
          </cell>
          <cell r="T66">
            <v>0</v>
          </cell>
          <cell r="U66">
            <v>0</v>
          </cell>
          <cell r="V66">
            <v>23503.1688421623</v>
          </cell>
          <cell r="W66">
            <v>0</v>
          </cell>
          <cell r="X66">
            <v>0</v>
          </cell>
          <cell r="Y66">
            <v>0</v>
          </cell>
          <cell r="Z66">
            <v>0</v>
          </cell>
          <cell r="AA66">
            <v>0</v>
          </cell>
          <cell r="AB66" t="str">
            <v>TLC1515</v>
          </cell>
          <cell r="AC66">
            <v>1500</v>
          </cell>
          <cell r="AD66">
            <v>1500</v>
          </cell>
        </row>
        <row r="67">
          <cell r="A67">
            <v>64</v>
          </cell>
          <cell r="B67" t="str">
            <v>90系列断桥铝推拉窗</v>
          </cell>
          <cell r="C67" t="str">
            <v>1200*1100</v>
          </cell>
          <cell r="D67" t="str">
            <v>1.型材：85系列断桥铝合金推拉窗；
2.玻璃：5LOW-E单银+12A+5低辐射中空玻璃；</v>
          </cell>
          <cell r="E67">
            <v>4.8</v>
          </cell>
          <cell r="F67">
            <v>4.8</v>
          </cell>
        </row>
        <row r="67">
          <cell r="O67">
            <v>537.350621036234</v>
          </cell>
          <cell r="P67">
            <v>0.09</v>
          </cell>
          <cell r="Q67">
            <v>585.712176929496</v>
          </cell>
          <cell r="R67">
            <v>2811.41844926158</v>
          </cell>
          <cell r="S67">
            <v>2811.41844926158</v>
          </cell>
          <cell r="T67">
            <v>0</v>
          </cell>
          <cell r="U67">
            <v>0</v>
          </cell>
          <cell r="V67">
            <v>0</v>
          </cell>
          <cell r="W67">
            <v>0</v>
          </cell>
          <cell r="X67">
            <v>0</v>
          </cell>
          <cell r="Y67">
            <v>0</v>
          </cell>
          <cell r="Z67">
            <v>0</v>
          </cell>
          <cell r="AA67">
            <v>0</v>
          </cell>
          <cell r="AB67" t="str">
            <v>TLC1211</v>
          </cell>
          <cell r="AC67">
            <v>1200</v>
          </cell>
          <cell r="AD67">
            <v>1100</v>
          </cell>
        </row>
        <row r="68">
          <cell r="A68">
            <v>65</v>
          </cell>
          <cell r="B68" t="str">
            <v>60系列断桥外平开门</v>
          </cell>
          <cell r="C68" t="str">
            <v>700*2350</v>
          </cell>
          <cell r="D68" t="str">
            <v>1.型材：60系列断桥铝合金外平开门；
2.玻璃：5LOW-E单银+9A+5+9A+5低辐射中空玻璃；</v>
          </cell>
          <cell r="E68">
            <v>276.36</v>
          </cell>
        </row>
        <row r="68">
          <cell r="I68">
            <v>78.96</v>
          </cell>
        </row>
        <row r="68">
          <cell r="K68">
            <v>65.8</v>
          </cell>
          <cell r="L68">
            <v>65.8</v>
          </cell>
          <cell r="M68">
            <v>65.8</v>
          </cell>
        </row>
        <row r="68">
          <cell r="O68">
            <v>791.953395371565</v>
          </cell>
          <cell r="P68">
            <v>0.09</v>
          </cell>
          <cell r="Q68">
            <v>863.229200955006</v>
          </cell>
          <cell r="R68">
            <v>238562.021975926</v>
          </cell>
          <cell r="S68">
            <v>0</v>
          </cell>
          <cell r="T68">
            <v>0</v>
          </cell>
          <cell r="U68">
            <v>0</v>
          </cell>
          <cell r="V68">
            <v>68160.5777074073</v>
          </cell>
          <cell r="W68">
            <v>0</v>
          </cell>
          <cell r="X68">
            <v>56800.4814228394</v>
          </cell>
          <cell r="Y68">
            <v>56800.4814228394</v>
          </cell>
          <cell r="Z68">
            <v>56800.4814228394</v>
          </cell>
          <cell r="AA68">
            <v>0</v>
          </cell>
          <cell r="AB68" t="str">
            <v>M07235</v>
          </cell>
          <cell r="AC68">
            <v>700</v>
          </cell>
          <cell r="AD68">
            <v>2350</v>
          </cell>
        </row>
        <row r="69">
          <cell r="A69">
            <v>66</v>
          </cell>
          <cell r="B69" t="str">
            <v>60系列断桥外平开门</v>
          </cell>
          <cell r="C69" t="str">
            <v>1200*2300</v>
          </cell>
          <cell r="D69" t="str">
            <v>1.型材：60系列断桥铝合金外平开门；
2.玻璃：5LOW-E单银+9A+5+9A+6铯钾低辐射中空玻璃；</v>
          </cell>
          <cell r="E69">
            <v>253.92</v>
          </cell>
        </row>
        <row r="69">
          <cell r="H69">
            <v>253.92</v>
          </cell>
        </row>
        <row r="69">
          <cell r="O69">
            <v>1002.79734127325</v>
          </cell>
          <cell r="P69">
            <v>0.09</v>
          </cell>
          <cell r="Q69">
            <v>1093.04910198785</v>
          </cell>
          <cell r="R69">
            <v>277547.027976754</v>
          </cell>
          <cell r="S69">
            <v>0</v>
          </cell>
          <cell r="T69">
            <v>0</v>
          </cell>
          <cell r="U69">
            <v>277547.027976754</v>
          </cell>
          <cell r="V69">
            <v>0</v>
          </cell>
          <cell r="W69">
            <v>0</v>
          </cell>
          <cell r="X69">
            <v>0</v>
          </cell>
          <cell r="Y69">
            <v>0</v>
          </cell>
          <cell r="Z69">
            <v>0</v>
          </cell>
          <cell r="AA69">
            <v>0</v>
          </cell>
          <cell r="AB69" t="str">
            <v>M1223</v>
          </cell>
          <cell r="AC69">
            <v>1200</v>
          </cell>
          <cell r="AD69">
            <v>2300</v>
          </cell>
        </row>
        <row r="70">
          <cell r="A70">
            <v>67</v>
          </cell>
          <cell r="B70" t="str">
            <v>60系列断桥外平开门</v>
          </cell>
          <cell r="C70" t="str">
            <v>1200*2350</v>
          </cell>
          <cell r="D70" t="str">
            <v>1.型材：60系列断桥铝合金外平开门；
2.玻璃：5LOW-E单银+9A+5+9A+5低辐射中空玻璃；</v>
          </cell>
          <cell r="E70">
            <v>708.66</v>
          </cell>
        </row>
        <row r="70">
          <cell r="I70">
            <v>109.98</v>
          </cell>
          <cell r="J70">
            <v>350.52</v>
          </cell>
          <cell r="K70">
            <v>93.06</v>
          </cell>
          <cell r="L70">
            <v>93.06</v>
          </cell>
          <cell r="M70">
            <v>62.04</v>
          </cell>
        </row>
        <row r="70">
          <cell r="O70">
            <v>649.076112579919</v>
          </cell>
          <cell r="P70">
            <v>0.09</v>
          </cell>
          <cell r="Q70">
            <v>707.492962712112</v>
          </cell>
          <cell r="R70">
            <v>501371.962955565</v>
          </cell>
          <cell r="S70">
            <v>0</v>
          </cell>
          <cell r="T70">
            <v>0</v>
          </cell>
          <cell r="U70">
            <v>0</v>
          </cell>
          <cell r="V70">
            <v>77810.0760390781</v>
          </cell>
          <cell r="W70">
            <v>247990.433289849</v>
          </cell>
          <cell r="X70">
            <v>65839.2951099891</v>
          </cell>
          <cell r="Y70">
            <v>65839.2951099891</v>
          </cell>
          <cell r="Z70">
            <v>43892.8634066594</v>
          </cell>
          <cell r="AA70">
            <v>0</v>
          </cell>
          <cell r="AB70" t="str">
            <v>M12235</v>
          </cell>
          <cell r="AC70">
            <v>1200</v>
          </cell>
          <cell r="AD70">
            <v>2350</v>
          </cell>
        </row>
        <row r="71">
          <cell r="A71">
            <v>68</v>
          </cell>
          <cell r="B71" t="str">
            <v>60系列隔热铝合金内开门</v>
          </cell>
          <cell r="C71" t="str">
            <v>1200*2400</v>
          </cell>
          <cell r="D71" t="str">
            <v>1.型材：60系列隔热铝合金内开门；
2.玻璃：5+9A+5中空玻璃，</v>
          </cell>
          <cell r="E71">
            <v>23.04</v>
          </cell>
        </row>
        <row r="71">
          <cell r="I71">
            <v>5.76</v>
          </cell>
        </row>
        <row r="71">
          <cell r="K71">
            <v>5.76</v>
          </cell>
          <cell r="L71">
            <v>5.76</v>
          </cell>
          <cell r="M71">
            <v>5.76</v>
          </cell>
        </row>
        <row r="71">
          <cell r="O71">
            <v>555.814640192483</v>
          </cell>
          <cell r="P71">
            <v>0.09</v>
          </cell>
          <cell r="Q71">
            <v>605.837957809807</v>
          </cell>
          <cell r="R71">
            <v>13958.506547938</v>
          </cell>
          <cell r="S71">
            <v>0</v>
          </cell>
          <cell r="T71">
            <v>0</v>
          </cell>
          <cell r="U71">
            <v>0</v>
          </cell>
          <cell r="V71">
            <v>3489.62663698449</v>
          </cell>
          <cell r="W71">
            <v>0</v>
          </cell>
          <cell r="X71">
            <v>3489.62663698449</v>
          </cell>
          <cell r="Y71">
            <v>3489.62663698449</v>
          </cell>
          <cell r="Z71">
            <v>3489.62663698449</v>
          </cell>
          <cell r="AA71">
            <v>0</v>
          </cell>
          <cell r="AB71" t="str">
            <v>M1224</v>
          </cell>
          <cell r="AC71">
            <v>1200</v>
          </cell>
          <cell r="AD71">
            <v>2400</v>
          </cell>
        </row>
        <row r="72">
          <cell r="A72">
            <v>69</v>
          </cell>
          <cell r="B72" t="str">
            <v>90系列断桥铝推拉门</v>
          </cell>
          <cell r="C72" t="str">
            <v>1500*2350</v>
          </cell>
          <cell r="D72" t="str">
            <v>1.型材：90系列断桥铝推拉门；
2.玻璃：5LOW-E单银+9A+5低辐射中空玻璃；</v>
          </cell>
          <cell r="E72">
            <v>200.925</v>
          </cell>
        </row>
        <row r="72">
          <cell r="I72">
            <v>45.825</v>
          </cell>
        </row>
        <row r="72">
          <cell r="K72">
            <v>38.775</v>
          </cell>
          <cell r="L72">
            <v>38.775</v>
          </cell>
          <cell r="M72">
            <v>77.55</v>
          </cell>
        </row>
        <row r="72">
          <cell r="O72">
            <v>504.434348141952</v>
          </cell>
          <cell r="P72">
            <v>0.09</v>
          </cell>
          <cell r="Q72">
            <v>549.833439474728</v>
          </cell>
          <cell r="R72">
            <v>110475.28382646</v>
          </cell>
          <cell r="S72">
            <v>0</v>
          </cell>
          <cell r="T72">
            <v>0</v>
          </cell>
          <cell r="U72">
            <v>0</v>
          </cell>
          <cell r="V72">
            <v>25196.1173639294</v>
          </cell>
          <cell r="W72">
            <v>0</v>
          </cell>
          <cell r="X72">
            <v>21319.7916156326</v>
          </cell>
          <cell r="Y72">
            <v>21319.7916156326</v>
          </cell>
          <cell r="Z72">
            <v>42639.5832312651</v>
          </cell>
          <cell r="AA72">
            <v>0</v>
          </cell>
          <cell r="AB72" t="str">
            <v>TLM15235</v>
          </cell>
          <cell r="AC72">
            <v>1500</v>
          </cell>
          <cell r="AD72">
            <v>2350</v>
          </cell>
        </row>
        <row r="73">
          <cell r="A73">
            <v>70</v>
          </cell>
          <cell r="B73" t="str">
            <v>90系列断桥铝推拉门</v>
          </cell>
          <cell r="C73" t="str">
            <v>1600*2300</v>
          </cell>
          <cell r="D73" t="str">
            <v>1.型材：90系列断桥铝推拉门；
2.玻璃：5LOW-E单银+9A+5低辐射中空玻璃；</v>
          </cell>
          <cell r="E73">
            <v>2005.6</v>
          </cell>
          <cell r="F73">
            <v>279.68</v>
          </cell>
          <cell r="G73">
            <v>570.4</v>
          </cell>
          <cell r="H73">
            <v>588.8</v>
          </cell>
        </row>
        <row r="73">
          <cell r="J73">
            <v>566.72</v>
          </cell>
        </row>
        <row r="73">
          <cell r="O73">
            <v>493.730322895926</v>
          </cell>
          <cell r="P73">
            <v>0.09</v>
          </cell>
          <cell r="Q73">
            <v>538.166051956559</v>
          </cell>
          <cell r="R73">
            <v>1079345.83380407</v>
          </cell>
          <cell r="S73">
            <v>150514.28141121</v>
          </cell>
          <cell r="T73">
            <v>306969.916036021</v>
          </cell>
          <cell r="U73">
            <v>316872.171392022</v>
          </cell>
          <cell r="V73">
            <v>0</v>
          </cell>
          <cell r="W73">
            <v>304989.464964821</v>
          </cell>
          <cell r="X73">
            <v>0</v>
          </cell>
          <cell r="Y73">
            <v>0</v>
          </cell>
          <cell r="Z73">
            <v>0</v>
          </cell>
          <cell r="AA73">
            <v>0</v>
          </cell>
          <cell r="AB73" t="str">
            <v>TLM1623</v>
          </cell>
          <cell r="AC73">
            <v>1600</v>
          </cell>
          <cell r="AD73">
            <v>2300</v>
          </cell>
        </row>
        <row r="74">
          <cell r="A74">
            <v>71</v>
          </cell>
          <cell r="B74" t="str">
            <v>90系列断桥铝推拉门</v>
          </cell>
          <cell r="C74" t="str">
            <v>1600*2350</v>
          </cell>
          <cell r="D74" t="str">
            <v>1.型材：90系列断桥铝推拉门；
2.玻璃：5LOW-E单银+9A+5低辐射中空玻璃；</v>
          </cell>
          <cell r="E74">
            <v>214.32</v>
          </cell>
        </row>
        <row r="74">
          <cell r="I74">
            <v>48.88</v>
          </cell>
        </row>
        <row r="74">
          <cell r="K74">
            <v>41.36</v>
          </cell>
          <cell r="L74">
            <v>41.36</v>
          </cell>
          <cell r="M74">
            <v>82.72</v>
          </cell>
        </row>
        <row r="74">
          <cell r="O74">
            <v>491.641867323301</v>
          </cell>
          <cell r="P74">
            <v>0.09</v>
          </cell>
          <cell r="Q74">
            <v>535.889635382399</v>
          </cell>
          <cell r="R74">
            <v>114851.866655156</v>
          </cell>
          <cell r="S74">
            <v>0</v>
          </cell>
          <cell r="T74">
            <v>0</v>
          </cell>
          <cell r="U74">
            <v>0</v>
          </cell>
          <cell r="V74">
            <v>26194.2853774916</v>
          </cell>
          <cell r="W74">
            <v>0</v>
          </cell>
          <cell r="X74">
            <v>22164.395319416</v>
          </cell>
          <cell r="Y74">
            <v>22164.395319416</v>
          </cell>
          <cell r="Z74">
            <v>44328.790638832</v>
          </cell>
          <cell r="AA74">
            <v>0</v>
          </cell>
          <cell r="AB74" t="str">
            <v>TLM16235</v>
          </cell>
          <cell r="AC74">
            <v>1600</v>
          </cell>
          <cell r="AD74">
            <v>2350</v>
          </cell>
        </row>
        <row r="75">
          <cell r="A75">
            <v>72</v>
          </cell>
          <cell r="B75" t="str">
            <v>90系列断桥铝推拉门</v>
          </cell>
          <cell r="C75" t="str">
            <v>1800*2300</v>
          </cell>
          <cell r="D75" t="str">
            <v>1.型材：90系列断桥铝推拉门；
2.玻璃：5LOW-E单银+9A+5低辐射中空玻璃；</v>
          </cell>
          <cell r="E75">
            <v>103.5</v>
          </cell>
        </row>
        <row r="75">
          <cell r="J75">
            <v>103.5</v>
          </cell>
        </row>
        <row r="75">
          <cell r="O75">
            <v>472.448623193559</v>
          </cell>
          <cell r="P75">
            <v>0.09</v>
          </cell>
          <cell r="Q75">
            <v>514.968999280979</v>
          </cell>
          <cell r="R75">
            <v>53299.2914255814</v>
          </cell>
          <cell r="S75">
            <v>0</v>
          </cell>
          <cell r="T75">
            <v>0</v>
          </cell>
          <cell r="U75">
            <v>0</v>
          </cell>
          <cell r="V75">
            <v>0</v>
          </cell>
          <cell r="W75">
            <v>53299.2914255814</v>
          </cell>
          <cell r="X75">
            <v>0</v>
          </cell>
          <cell r="Y75">
            <v>0</v>
          </cell>
          <cell r="Z75">
            <v>0</v>
          </cell>
          <cell r="AA75">
            <v>0</v>
          </cell>
          <cell r="AB75" t="str">
            <v>TLM1823</v>
          </cell>
          <cell r="AC75">
            <v>1800</v>
          </cell>
          <cell r="AD75">
            <v>2300</v>
          </cell>
        </row>
        <row r="76">
          <cell r="A76">
            <v>73</v>
          </cell>
          <cell r="B76" t="str">
            <v>90系列断桥铝推拉门</v>
          </cell>
          <cell r="C76" t="str">
            <v>4800*2350</v>
          </cell>
          <cell r="D76" t="str">
            <v>1.型材：90系列断桥铝推拉门；
2.玻璃：5LOW-E单银+9A+5低辐射中空玻璃；</v>
          </cell>
          <cell r="E76">
            <v>1432.56</v>
          </cell>
        </row>
        <row r="76">
          <cell r="I76">
            <v>439.92</v>
          </cell>
        </row>
        <row r="76">
          <cell r="K76">
            <v>372.24</v>
          </cell>
          <cell r="L76">
            <v>372.24</v>
          </cell>
          <cell r="M76">
            <v>248.16</v>
          </cell>
        </row>
        <row r="76">
          <cell r="O76">
            <v>422.643296474952</v>
          </cell>
          <cell r="P76">
            <v>0.09</v>
          </cell>
          <cell r="Q76">
            <v>460.681193157698</v>
          </cell>
          <cell r="R76">
            <v>659953.450069991</v>
          </cell>
          <cell r="S76">
            <v>0</v>
          </cell>
          <cell r="T76">
            <v>0</v>
          </cell>
          <cell r="U76">
            <v>0</v>
          </cell>
          <cell r="V76">
            <v>202662.870493934</v>
          </cell>
          <cell r="W76">
            <v>0</v>
          </cell>
          <cell r="X76">
            <v>171483.967341021</v>
          </cell>
          <cell r="Y76">
            <v>171483.967341021</v>
          </cell>
          <cell r="Z76">
            <v>114322.644894014</v>
          </cell>
          <cell r="AA76">
            <v>0</v>
          </cell>
          <cell r="AB76" t="str">
            <v>TLM48235</v>
          </cell>
          <cell r="AC76">
            <v>4800</v>
          </cell>
          <cell r="AD76">
            <v>2350</v>
          </cell>
        </row>
        <row r="77">
          <cell r="A77">
            <v>74</v>
          </cell>
          <cell r="B77" t="str">
            <v>90系列断桥铝推拉门</v>
          </cell>
          <cell r="C77" t="str">
            <v>2100*2300</v>
          </cell>
          <cell r="D77" t="str">
            <v>1.型材：90系列断桥铝推拉门；
2.玻璃：6LOW-E单银+9A+6低辐射中空玻璃；</v>
          </cell>
          <cell r="E77">
            <v>2980.11</v>
          </cell>
          <cell r="F77">
            <v>487.83</v>
          </cell>
          <cell r="G77">
            <v>748.65</v>
          </cell>
          <cell r="H77">
            <v>879.06</v>
          </cell>
        </row>
        <row r="77">
          <cell r="J77">
            <v>864.57</v>
          </cell>
        </row>
        <row r="77">
          <cell r="O77">
            <v>448.375312800937</v>
          </cell>
          <cell r="P77">
            <v>0.09</v>
          </cell>
          <cell r="Q77">
            <v>488.729090953021</v>
          </cell>
          <cell r="R77">
            <v>1456466.45124001</v>
          </cell>
          <cell r="S77">
            <v>238416.712439612</v>
          </cell>
          <cell r="T77">
            <v>365887.033941979</v>
          </cell>
          <cell r="U77">
            <v>429622.194693163</v>
          </cell>
          <cell r="V77">
            <v>0</v>
          </cell>
          <cell r="W77">
            <v>422540.510165254</v>
          </cell>
          <cell r="X77">
            <v>0</v>
          </cell>
          <cell r="Y77">
            <v>0</v>
          </cell>
          <cell r="Z77">
            <v>0</v>
          </cell>
          <cell r="AA77">
            <v>0</v>
          </cell>
          <cell r="AB77" t="str">
            <v>TLM2123</v>
          </cell>
          <cell r="AC77">
            <v>2100</v>
          </cell>
          <cell r="AD77">
            <v>2300</v>
          </cell>
        </row>
        <row r="78">
          <cell r="A78">
            <v>75</v>
          </cell>
          <cell r="B78" t="str">
            <v>90系列断桥铝推拉门</v>
          </cell>
          <cell r="C78" t="str">
            <v>3600*2350</v>
          </cell>
          <cell r="D78" t="str">
            <v>1.型材：90系列断桥铝推拉门；
2.玻璃：6LOW-E单银+9A+6低辐射中空玻璃；</v>
          </cell>
          <cell r="E78">
            <v>482.22</v>
          </cell>
        </row>
        <row r="78">
          <cell r="I78">
            <v>109.98</v>
          </cell>
        </row>
        <row r="78">
          <cell r="K78">
            <v>93.06</v>
          </cell>
          <cell r="L78">
            <v>93.06</v>
          </cell>
          <cell r="M78">
            <v>186.12</v>
          </cell>
        </row>
        <row r="78">
          <cell r="O78">
            <v>445.133172997348</v>
          </cell>
          <cell r="P78">
            <v>0.09</v>
          </cell>
          <cell r="Q78">
            <v>485.195158567109</v>
          </cell>
          <cell r="R78">
            <v>233970.809364232</v>
          </cell>
          <cell r="S78">
            <v>0</v>
          </cell>
          <cell r="T78">
            <v>0</v>
          </cell>
          <cell r="U78">
            <v>0</v>
          </cell>
          <cell r="V78">
            <v>53361.7635392107</v>
          </cell>
          <cell r="W78">
            <v>0</v>
          </cell>
          <cell r="X78">
            <v>45152.2614562552</v>
          </cell>
          <cell r="Y78">
            <v>45152.2614562552</v>
          </cell>
          <cell r="Z78">
            <v>90304.5229125104</v>
          </cell>
          <cell r="AA78">
            <v>0</v>
          </cell>
          <cell r="AB78" t="str">
            <v>TLM36235</v>
          </cell>
          <cell r="AC78">
            <v>3600</v>
          </cell>
          <cell r="AD78">
            <v>2350</v>
          </cell>
        </row>
        <row r="79">
          <cell r="A79">
            <v>76</v>
          </cell>
          <cell r="B79" t="str">
            <v>100系列断桥铝地弹门</v>
          </cell>
          <cell r="C79" t="str">
            <v>1500*2750</v>
          </cell>
          <cell r="D79" t="str">
            <v>1.型材：100系列隔热铝合金地弹门；
2.玻璃：6LOW-E单银+9A+6低辐射中空玻璃；</v>
          </cell>
          <cell r="E79">
            <v>4.125</v>
          </cell>
        </row>
        <row r="79">
          <cell r="J79">
            <v>4.125</v>
          </cell>
        </row>
        <row r="79">
          <cell r="O79">
            <v>724.890043118608</v>
          </cell>
          <cell r="P79">
            <v>0.09</v>
          </cell>
          <cell r="Q79">
            <v>790.130146999283</v>
          </cell>
          <cell r="R79">
            <v>3259.28685637204</v>
          </cell>
          <cell r="S79">
            <v>0</v>
          </cell>
          <cell r="T79">
            <v>0</v>
          </cell>
          <cell r="U79">
            <v>0</v>
          </cell>
          <cell r="V79">
            <v>0</v>
          </cell>
          <cell r="W79">
            <v>3259.28685637204</v>
          </cell>
          <cell r="X79">
            <v>0</v>
          </cell>
          <cell r="Y79">
            <v>0</v>
          </cell>
          <cell r="Z79">
            <v>0</v>
          </cell>
          <cell r="AA79">
            <v>0</v>
          </cell>
          <cell r="AB79" t="str">
            <v>DTM15275</v>
          </cell>
          <cell r="AC79">
            <v>1500</v>
          </cell>
          <cell r="AD79">
            <v>2750</v>
          </cell>
        </row>
        <row r="80">
          <cell r="A80">
            <v>77</v>
          </cell>
          <cell r="B80" t="str">
            <v>100系列断桥铝地弹门</v>
          </cell>
          <cell r="C80" t="str">
            <v>1800*2750</v>
          </cell>
          <cell r="D80" t="str">
            <v>1.型材：100系列隔热铝合金地弹门；
2.玻璃：6LOW-E单银+9A+6低辐射中空玻璃；</v>
          </cell>
          <cell r="E80">
            <v>4.95</v>
          </cell>
        </row>
        <row r="80">
          <cell r="J80">
            <v>4.95</v>
          </cell>
        </row>
        <row r="80">
          <cell r="O80">
            <v>656.824870591799</v>
          </cell>
          <cell r="P80">
            <v>0.09</v>
          </cell>
          <cell r="Q80">
            <v>715.939108945061</v>
          </cell>
          <cell r="R80">
            <v>3543.89858927805</v>
          </cell>
          <cell r="S80">
            <v>0</v>
          </cell>
          <cell r="T80">
            <v>0</v>
          </cell>
          <cell r="U80">
            <v>0</v>
          </cell>
          <cell r="V80">
            <v>0</v>
          </cell>
          <cell r="W80">
            <v>3543.89858927805</v>
          </cell>
          <cell r="X80">
            <v>0</v>
          </cell>
          <cell r="Y80">
            <v>0</v>
          </cell>
          <cell r="Z80">
            <v>0</v>
          </cell>
          <cell r="AA80">
            <v>0</v>
          </cell>
          <cell r="AB80" t="str">
            <v>DTM18275</v>
          </cell>
          <cell r="AC80">
            <v>1800</v>
          </cell>
          <cell r="AD80">
            <v>2750</v>
          </cell>
        </row>
        <row r="81">
          <cell r="A81">
            <v>78</v>
          </cell>
          <cell r="B81" t="str">
            <v>100系列断桥铝地弹门</v>
          </cell>
          <cell r="C81" t="str">
            <v>1800*3000</v>
          </cell>
          <cell r="D81" t="str">
            <v>1.型材：100系列隔热铝合金地弹门；
2.玻璃：6LOW-E单银+9A+6低辐射中空玻璃；</v>
          </cell>
          <cell r="E81">
            <v>10.8</v>
          </cell>
        </row>
        <row r="81">
          <cell r="J81">
            <v>10.8</v>
          </cell>
        </row>
        <row r="81">
          <cell r="O81">
            <v>642.324337506103</v>
          </cell>
          <cell r="P81">
            <v>0.09</v>
          </cell>
          <cell r="Q81">
            <v>700.133527881652</v>
          </cell>
          <cell r="R81">
            <v>7561.44210112185</v>
          </cell>
          <cell r="S81">
            <v>0</v>
          </cell>
          <cell r="T81">
            <v>0</v>
          </cell>
          <cell r="U81">
            <v>0</v>
          </cell>
          <cell r="V81">
            <v>0</v>
          </cell>
          <cell r="W81">
            <v>7561.44210112185</v>
          </cell>
          <cell r="X81">
            <v>0</v>
          </cell>
          <cell r="Y81">
            <v>0</v>
          </cell>
          <cell r="Z81">
            <v>0</v>
          </cell>
          <cell r="AA81">
            <v>0</v>
          </cell>
          <cell r="AB81" t="str">
            <v>DTM1830</v>
          </cell>
          <cell r="AC81">
            <v>1800</v>
          </cell>
          <cell r="AD81">
            <v>3000</v>
          </cell>
        </row>
        <row r="82">
          <cell r="A82">
            <v>79</v>
          </cell>
          <cell r="B82" t="str">
            <v>100系列断桥铝地弹门</v>
          </cell>
          <cell r="C82" t="str">
            <v>2000*3000</v>
          </cell>
          <cell r="D82" t="str">
            <v>1.型材：100系列隔热铝合金地弹门；
2.玻璃：6LOW-E单银+9A+6低辐射中空玻璃；</v>
          </cell>
          <cell r="E82">
            <v>12</v>
          </cell>
        </row>
        <row r="82">
          <cell r="I82" t="str">
            <v> </v>
          </cell>
          <cell r="J82">
            <v>12</v>
          </cell>
        </row>
        <row r="82">
          <cell r="O82">
            <v>609.417298701701</v>
          </cell>
          <cell r="P82">
            <v>0.09</v>
          </cell>
          <cell r="Q82">
            <v>664.264855584854</v>
          </cell>
          <cell r="R82">
            <v>7971.17826701825</v>
          </cell>
          <cell r="S82">
            <v>0</v>
          </cell>
          <cell r="T82">
            <v>0</v>
          </cell>
          <cell r="U82">
            <v>0</v>
          </cell>
          <cell r="V82" t="e">
            <v>#VALUE!</v>
          </cell>
          <cell r="W82">
            <v>7971.17826701825</v>
          </cell>
          <cell r="X82">
            <v>0</v>
          </cell>
          <cell r="Y82">
            <v>0</v>
          </cell>
          <cell r="Z82">
            <v>0</v>
          </cell>
          <cell r="AA82">
            <v>0</v>
          </cell>
          <cell r="AB82" t="str">
            <v>DTM2030</v>
          </cell>
          <cell r="AC82">
            <v>2000</v>
          </cell>
          <cell r="AD82">
            <v>3000</v>
          </cell>
        </row>
        <row r="83">
          <cell r="A83">
            <v>80</v>
          </cell>
          <cell r="B83" t="str">
            <v>100系列断桥铝地弹门</v>
          </cell>
          <cell r="C83" t="str">
            <v>2950*3000</v>
          </cell>
          <cell r="D83" t="str">
            <v>1.型材：100系列隔热铝合金地弹门；
2.玻璃：6LOW-E单银+9A+6低辐射中空玻璃；</v>
          </cell>
          <cell r="E83">
            <v>17.7</v>
          </cell>
        </row>
        <row r="83">
          <cell r="J83">
            <v>17.7</v>
          </cell>
        </row>
        <row r="83">
          <cell r="O83">
            <v>564.674635163391</v>
          </cell>
          <cell r="P83">
            <v>0.09</v>
          </cell>
          <cell r="Q83">
            <v>615.495352328097</v>
          </cell>
          <cell r="R83">
            <v>10894.2677362073</v>
          </cell>
          <cell r="S83">
            <v>0</v>
          </cell>
          <cell r="T83">
            <v>0</v>
          </cell>
          <cell r="U83">
            <v>0</v>
          </cell>
          <cell r="V83">
            <v>0</v>
          </cell>
          <cell r="W83">
            <v>10894.2677362073</v>
          </cell>
          <cell r="X83">
            <v>0</v>
          </cell>
          <cell r="Y83">
            <v>0</v>
          </cell>
          <cell r="Z83">
            <v>0</v>
          </cell>
          <cell r="AA83">
            <v>0</v>
          </cell>
          <cell r="AB83" t="str">
            <v>DTM29530</v>
          </cell>
          <cell r="AC83">
            <v>2950</v>
          </cell>
          <cell r="AD83">
            <v>3000</v>
          </cell>
        </row>
        <row r="84">
          <cell r="A84">
            <v>81</v>
          </cell>
          <cell r="B84" t="str">
            <v>100系列断桥铝地弹门</v>
          </cell>
          <cell r="C84" t="str">
            <v>3000*3000</v>
          </cell>
          <cell r="D84" t="str">
            <v>1.型材：100系列隔热铝合金地弹门；
2.玻璃：6LOW-E单银+9A+6低辐射中空玻璃；</v>
          </cell>
          <cell r="E84">
            <v>45</v>
          </cell>
          <cell r="F84">
            <v>45</v>
          </cell>
        </row>
        <row r="84">
          <cell r="O84">
            <v>560.240272869368</v>
          </cell>
          <cell r="P84">
            <v>0.09</v>
          </cell>
          <cell r="Q84">
            <v>610.661897427611</v>
          </cell>
          <cell r="R84">
            <v>27479.7853842425</v>
          </cell>
          <cell r="S84">
            <v>27479.7853842425</v>
          </cell>
          <cell r="T84">
            <v>0</v>
          </cell>
          <cell r="U84">
            <v>0</v>
          </cell>
          <cell r="V84">
            <v>0</v>
          </cell>
          <cell r="W84">
            <v>0</v>
          </cell>
          <cell r="X84">
            <v>0</v>
          </cell>
          <cell r="Y84">
            <v>0</v>
          </cell>
          <cell r="Z84">
            <v>0</v>
          </cell>
          <cell r="AA84">
            <v>0</v>
          </cell>
          <cell r="AB84" t="str">
            <v>DTM3030</v>
          </cell>
          <cell r="AC84">
            <v>3000</v>
          </cell>
          <cell r="AD84">
            <v>3000</v>
          </cell>
        </row>
        <row r="85">
          <cell r="A85">
            <v>82</v>
          </cell>
          <cell r="B85" t="str">
            <v>100系列断桥铝地弹门</v>
          </cell>
          <cell r="C85" t="str">
            <v>3100*3000</v>
          </cell>
          <cell r="D85" t="str">
            <v>1.型材：100系列隔热铝合金地弹门；
2.玻璃：6LOW-E单银+9A+6低辐射中空玻璃；</v>
          </cell>
          <cell r="E85">
            <v>18.6</v>
          </cell>
          <cell r="F85">
            <v>9.3</v>
          </cell>
        </row>
        <row r="85">
          <cell r="J85">
            <v>9.3</v>
          </cell>
        </row>
        <row r="85">
          <cell r="O85">
            <v>551.806289682695</v>
          </cell>
          <cell r="P85">
            <v>0.09</v>
          </cell>
          <cell r="Q85">
            <v>601.468855754138</v>
          </cell>
          <cell r="R85">
            <v>11187.320717027</v>
          </cell>
          <cell r="S85">
            <v>5593.66035851348</v>
          </cell>
          <cell r="T85">
            <v>0</v>
          </cell>
          <cell r="U85">
            <v>0</v>
          </cell>
          <cell r="V85">
            <v>0</v>
          </cell>
          <cell r="W85">
            <v>5593.66035851348</v>
          </cell>
          <cell r="X85">
            <v>0</v>
          </cell>
          <cell r="Y85">
            <v>0</v>
          </cell>
          <cell r="Z85">
            <v>0</v>
          </cell>
          <cell r="AA85">
            <v>0</v>
          </cell>
          <cell r="AB85" t="str">
            <v>DTM3130</v>
          </cell>
          <cell r="AC85">
            <v>3100</v>
          </cell>
          <cell r="AD85">
            <v>3000</v>
          </cell>
        </row>
        <row r="86">
          <cell r="A86">
            <v>83</v>
          </cell>
          <cell r="B86" t="str">
            <v>100系列断桥铝地弹门</v>
          </cell>
          <cell r="C86" t="str">
            <v>3200*3000</v>
          </cell>
          <cell r="D86" t="str">
            <v>1.型材：100系列隔热铝合金地弹门；
2.玻璃：6LOW-E单银+9A+6低辐射中空玻璃；</v>
          </cell>
          <cell r="E86">
            <v>19.2</v>
          </cell>
          <cell r="F86">
            <v>19.2</v>
          </cell>
        </row>
        <row r="86">
          <cell r="O86">
            <v>543.906102900243</v>
          </cell>
          <cell r="P86">
            <v>0.09</v>
          </cell>
          <cell r="Q86">
            <v>592.857652161264</v>
          </cell>
          <cell r="R86">
            <v>11382.8669214963</v>
          </cell>
          <cell r="S86">
            <v>11382.8669214963</v>
          </cell>
          <cell r="T86">
            <v>0</v>
          </cell>
          <cell r="U86">
            <v>0</v>
          </cell>
          <cell r="V86">
            <v>0</v>
          </cell>
          <cell r="W86">
            <v>0</v>
          </cell>
          <cell r="X86">
            <v>0</v>
          </cell>
          <cell r="Y86">
            <v>0</v>
          </cell>
          <cell r="Z86">
            <v>0</v>
          </cell>
          <cell r="AA86">
            <v>0</v>
          </cell>
          <cell r="AB86" t="str">
            <v>DTM3230</v>
          </cell>
          <cell r="AC86">
            <v>3200</v>
          </cell>
          <cell r="AD86">
            <v>3000</v>
          </cell>
        </row>
        <row r="87">
          <cell r="A87">
            <v>84</v>
          </cell>
          <cell r="B87" t="str">
            <v>100系列断桥铝地弹门</v>
          </cell>
          <cell r="C87" t="str">
            <v>4000*3000</v>
          </cell>
          <cell r="D87" t="str">
            <v>1.型材：100系列隔热铝合金地弹门；
2.玻璃：6LOW-E单银+9A+6低辐射中空玻璃；</v>
          </cell>
          <cell r="E87">
            <v>12</v>
          </cell>
          <cell r="F87">
            <v>12</v>
          </cell>
        </row>
        <row r="87">
          <cell r="O87">
            <v>495.149019833447</v>
          </cell>
          <cell r="P87">
            <v>0.09</v>
          </cell>
          <cell r="Q87">
            <v>539.712431618457</v>
          </cell>
          <cell r="R87">
            <v>6476.54917942149</v>
          </cell>
          <cell r="S87">
            <v>6476.54917942149</v>
          </cell>
          <cell r="T87">
            <v>0</v>
          </cell>
          <cell r="U87">
            <v>0</v>
          </cell>
          <cell r="V87">
            <v>0</v>
          </cell>
          <cell r="W87">
            <v>0</v>
          </cell>
          <cell r="X87">
            <v>0</v>
          </cell>
          <cell r="Y87">
            <v>0</v>
          </cell>
          <cell r="Z87">
            <v>0</v>
          </cell>
          <cell r="AA87">
            <v>0</v>
          </cell>
          <cell r="AB87" t="str">
            <v>DTM4030</v>
          </cell>
          <cell r="AC87">
            <v>4000</v>
          </cell>
          <cell r="AD87">
            <v>3000</v>
          </cell>
        </row>
        <row r="88">
          <cell r="A88">
            <v>85</v>
          </cell>
          <cell r="B88" t="str">
            <v>100系列断桥铝地弹门</v>
          </cell>
          <cell r="C88" t="str">
            <v>3600*2750</v>
          </cell>
          <cell r="D88" t="str">
            <v>1.型材：100系列隔热铝合金地弹门；
2.玻璃：6LOW-E单银+9A+6低辐射中空玻璃；</v>
          </cell>
          <cell r="E88">
            <v>9.9</v>
          </cell>
        </row>
        <row r="88">
          <cell r="J88">
            <v>9.9</v>
          </cell>
        </row>
        <row r="88">
          <cell r="O88">
            <v>526.456308596559</v>
          </cell>
          <cell r="P88">
            <v>0.09</v>
          </cell>
          <cell r="Q88">
            <v>573.837376370249</v>
          </cell>
          <cell r="R88">
            <v>5680.99002606547</v>
          </cell>
          <cell r="S88">
            <v>0</v>
          </cell>
          <cell r="T88">
            <v>0</v>
          </cell>
          <cell r="U88">
            <v>0</v>
          </cell>
          <cell r="V88">
            <v>0</v>
          </cell>
          <cell r="W88">
            <v>5680.99002606547</v>
          </cell>
          <cell r="X88">
            <v>0</v>
          </cell>
          <cell r="Y88">
            <v>0</v>
          </cell>
          <cell r="Z88">
            <v>0</v>
          </cell>
          <cell r="AA88">
            <v>0</v>
          </cell>
          <cell r="AB88" t="str">
            <v>DTM36275</v>
          </cell>
          <cell r="AC88">
            <v>3600</v>
          </cell>
          <cell r="AD88">
            <v>2750</v>
          </cell>
        </row>
        <row r="89">
          <cell r="A89">
            <v>86</v>
          </cell>
          <cell r="B89" t="str">
            <v>150系列普铝幕墙窗</v>
          </cell>
          <cell r="C89" t="str">
            <v>顶层玻璃幕</v>
          </cell>
          <cell r="D89" t="str">
            <v>1.型材：150系列普铝幕墙窗；
2.玻璃：6mm+0.76PVB+6mm双白钢化夹胶玻璃，</v>
          </cell>
          <cell r="E89">
            <v>58.725</v>
          </cell>
        </row>
        <row r="89">
          <cell r="L89">
            <v>58.725</v>
          </cell>
        </row>
        <row r="89">
          <cell r="O89">
            <v>572.157599955177</v>
          </cell>
          <cell r="P89">
            <v>0.09</v>
          </cell>
          <cell r="Q89">
            <v>623.651783951143</v>
          </cell>
          <cell r="R89">
            <v>36623.9510125309</v>
          </cell>
          <cell r="S89">
            <v>0</v>
          </cell>
          <cell r="T89">
            <v>0</v>
          </cell>
          <cell r="U89">
            <v>0</v>
          </cell>
          <cell r="V89">
            <v>0</v>
          </cell>
          <cell r="W89">
            <v>0</v>
          </cell>
          <cell r="X89">
            <v>0</v>
          </cell>
          <cell r="Y89">
            <v>36623.9510125309</v>
          </cell>
          <cell r="Z89">
            <v>0</v>
          </cell>
          <cell r="AA89">
            <v>0</v>
          </cell>
          <cell r="AB89" t="str">
            <v>MQC1</v>
          </cell>
          <cell r="AC89">
            <v>5700</v>
          </cell>
          <cell r="AD89">
            <v>4000</v>
          </cell>
        </row>
        <row r="90">
          <cell r="A90">
            <v>87</v>
          </cell>
          <cell r="B90" t="str">
            <v>150系列普铝幕墙窗+46系列地弹门</v>
          </cell>
          <cell r="C90" t="str">
            <v>顶层玻璃幕</v>
          </cell>
          <cell r="D90" t="str">
            <v>1.型材：150系列普铝幕墙窗+46系列地弹门；
2.玻璃：6mm+0.76PVB+6mm双白钢化夹胶玻璃，</v>
          </cell>
          <cell r="E90">
            <v>126.295</v>
          </cell>
        </row>
        <row r="90">
          <cell r="L90">
            <v>126.295</v>
          </cell>
        </row>
        <row r="90">
          <cell r="O90">
            <v>572.157599955177</v>
          </cell>
          <cell r="P90">
            <v>0.09</v>
          </cell>
          <cell r="Q90">
            <v>623.651783951143</v>
          </cell>
          <cell r="R90">
            <v>78764.1020541096</v>
          </cell>
          <cell r="S90">
            <v>0</v>
          </cell>
          <cell r="T90">
            <v>0</v>
          </cell>
          <cell r="U90">
            <v>0</v>
          </cell>
          <cell r="V90">
            <v>0</v>
          </cell>
          <cell r="W90">
            <v>0</v>
          </cell>
          <cell r="X90">
            <v>0</v>
          </cell>
          <cell r="Y90">
            <v>78764.1020541096</v>
          </cell>
          <cell r="Z90">
            <v>0</v>
          </cell>
          <cell r="AA90">
            <v>0</v>
          </cell>
          <cell r="AB90" t="str">
            <v>MQC2</v>
          </cell>
          <cell r="AC90">
            <v>5700</v>
          </cell>
          <cell r="AD90">
            <v>4000</v>
          </cell>
        </row>
        <row r="91">
          <cell r="A91">
            <v>88</v>
          </cell>
          <cell r="B91" t="str">
            <v>150系列普铝幕墙窗</v>
          </cell>
          <cell r="C91" t="str">
            <v>顶层玻璃幕</v>
          </cell>
          <cell r="D91" t="str">
            <v>1.型材：150系列普铝幕墙窗；
2.玻璃：6mm+0.76PVB+6mm双白钢化夹胶玻璃，</v>
          </cell>
          <cell r="E91">
            <v>768.65</v>
          </cell>
          <cell r="F91">
            <v>126.4</v>
          </cell>
          <cell r="G91">
            <v>178.6</v>
          </cell>
          <cell r="H91">
            <v>227.3</v>
          </cell>
          <cell r="I91">
            <v>57.71</v>
          </cell>
        </row>
        <row r="91">
          <cell r="K91">
            <v>89.9</v>
          </cell>
        </row>
        <row r="91">
          <cell r="M91">
            <v>88.74</v>
          </cell>
        </row>
        <row r="91">
          <cell r="O91">
            <v>572.157599955177</v>
          </cell>
          <cell r="P91">
            <v>0.09</v>
          </cell>
          <cell r="Q91">
            <v>623.651783951143</v>
          </cell>
          <cell r="R91">
            <v>479369.943734046</v>
          </cell>
          <cell r="S91">
            <v>78829.5854914245</v>
          </cell>
          <cell r="T91">
            <v>111384.208613674</v>
          </cell>
          <cell r="U91">
            <v>141756.050492095</v>
          </cell>
          <cell r="V91">
            <v>35990.9444518205</v>
          </cell>
          <cell r="W91">
            <v>0</v>
          </cell>
          <cell r="X91">
            <v>56066.2953772078</v>
          </cell>
          <cell r="Y91">
            <v>0</v>
          </cell>
          <cell r="Z91">
            <v>55342.8593078244</v>
          </cell>
          <cell r="AA91">
            <v>0</v>
          </cell>
          <cell r="AB91" t="str">
            <v>MQC3</v>
          </cell>
          <cell r="AC91">
            <v>5700</v>
          </cell>
          <cell r="AD91">
            <v>4000</v>
          </cell>
        </row>
        <row r="92">
          <cell r="A92">
            <v>89</v>
          </cell>
          <cell r="B92" t="str">
            <v>150系列普铝幕墙窗+46系列地弹门</v>
          </cell>
          <cell r="C92" t="str">
            <v>顶层玻璃幕</v>
          </cell>
          <cell r="D92" t="str">
            <v>1.型材：150系列普铝幕墙窗+46系列地弹门；
2.玻璃：6mm+0.76PVB+6mm双白钢化夹胶玻璃，</v>
          </cell>
          <cell r="E92">
            <v>500.645</v>
          </cell>
        </row>
        <row r="92">
          <cell r="I92">
            <v>125.425</v>
          </cell>
          <cell r="J92">
            <v>196</v>
          </cell>
          <cell r="K92">
            <v>91.06</v>
          </cell>
        </row>
        <row r="92">
          <cell r="M92">
            <v>88.16</v>
          </cell>
        </row>
        <row r="92">
          <cell r="O92">
            <v>572.157599955177</v>
          </cell>
          <cell r="P92">
            <v>0.09</v>
          </cell>
          <cell r="Q92">
            <v>623.651783951143</v>
          </cell>
          <cell r="R92">
            <v>312228.14737622</v>
          </cell>
          <cell r="S92">
            <v>0</v>
          </cell>
          <cell r="T92">
            <v>0</v>
          </cell>
          <cell r="U92">
            <v>0</v>
          </cell>
          <cell r="V92">
            <v>78221.5250020721</v>
          </cell>
          <cell r="W92">
            <v>122235.749654424</v>
          </cell>
          <cell r="X92">
            <v>56789.7314465911</v>
          </cell>
          <cell r="Y92">
            <v>0</v>
          </cell>
          <cell r="Z92">
            <v>54981.1412731328</v>
          </cell>
          <cell r="AA92">
            <v>0</v>
          </cell>
          <cell r="AB92" t="str">
            <v>MQC4</v>
          </cell>
          <cell r="AC92">
            <v>5700</v>
          </cell>
          <cell r="AD92">
            <v>4000</v>
          </cell>
        </row>
        <row r="93">
          <cell r="A93">
            <v>90</v>
          </cell>
          <cell r="B93" t="str">
            <v>合计</v>
          </cell>
        </row>
        <row r="93">
          <cell r="E93">
            <v>19761.8</v>
          </cell>
        </row>
        <row r="93">
          <cell r="O93">
            <v>638.17679366511</v>
          </cell>
        </row>
        <row r="93">
          <cell r="R93">
            <v>12611522.1610512</v>
          </cell>
        </row>
      </sheetData>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封面"/>
      <sheetName val="报价说明"/>
      <sheetName val="汇总表"/>
      <sheetName val="工程量清单清单"/>
      <sheetName val="综合单价分析"/>
      <sheetName val="主要材料品牌单价"/>
      <sheetName val="五金配置表"/>
      <sheetName val="玻璃调整表"/>
      <sheetName val="工程量计算数"/>
    </sheetNames>
    <sheetDataSet>
      <sheetData sheetId="0"/>
      <sheetData sheetId="1"/>
      <sheetData sheetId="2"/>
      <sheetData sheetId="3"/>
      <sheetData sheetId="4"/>
      <sheetData sheetId="5"/>
      <sheetData sheetId="6"/>
      <sheetData sheetId="7"/>
      <sheetData sheetId="8">
        <row r="83">
          <cell r="K83">
            <v>45.6</v>
          </cell>
        </row>
        <row r="84">
          <cell r="K84">
            <v>58.4</v>
          </cell>
        </row>
        <row r="85">
          <cell r="K85">
            <v>123.3</v>
          </cell>
        </row>
        <row r="114">
          <cell r="K114">
            <v>28.42</v>
          </cell>
        </row>
        <row r="115">
          <cell r="K115">
            <v>29.29</v>
          </cell>
        </row>
        <row r="116">
          <cell r="K116">
            <v>125.425</v>
          </cell>
        </row>
        <row r="225">
          <cell r="K225">
            <v>126.295</v>
          </cell>
        </row>
        <row r="226">
          <cell r="K226">
            <v>30.305</v>
          </cell>
        </row>
        <row r="227">
          <cell r="K227">
            <v>28.42</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tabSelected="1" topLeftCell="A7" workbookViewId="0">
      <selection activeCell="I4" sqref="I4:M9"/>
    </sheetView>
  </sheetViews>
  <sheetFormatPr defaultColWidth="9" defaultRowHeight="35.1" customHeight="1" outlineLevelCol="5"/>
  <cols>
    <col min="1" max="1" width="5.5" customWidth="1"/>
    <col min="2" max="2" width="29.25" customWidth="1"/>
    <col min="3" max="3" width="17.6333333333333" customWidth="1"/>
    <col min="4" max="4" width="11.75" customWidth="1"/>
    <col min="6" max="6" width="20.6333333333333" customWidth="1"/>
    <col min="9" max="9" width="19.375" customWidth="1"/>
    <col min="10" max="10" width="26.625" style="158" customWidth="1"/>
    <col min="12" max="12" width="9.375"/>
  </cols>
  <sheetData>
    <row r="1" ht="108" customHeight="1" spans="1:6">
      <c r="A1" s="159" t="s">
        <v>0</v>
      </c>
      <c r="B1" s="159"/>
      <c r="C1" s="159"/>
      <c r="D1" s="159"/>
      <c r="E1" s="159"/>
      <c r="F1" s="159"/>
    </row>
    <row r="2" ht="50.1" customHeight="1" spans="1:6">
      <c r="A2" s="160"/>
      <c r="B2" s="161" t="s">
        <v>1</v>
      </c>
      <c r="C2" s="162" t="s">
        <v>2</v>
      </c>
      <c r="D2" s="162"/>
      <c r="E2" s="162"/>
      <c r="F2" s="162"/>
    </row>
    <row r="3" ht="50.1" customHeight="1" spans="1:6">
      <c r="A3" s="160"/>
      <c r="B3" s="161" t="s">
        <v>3</v>
      </c>
      <c r="C3" s="162" t="s">
        <v>4</v>
      </c>
      <c r="D3" s="163"/>
      <c r="E3" s="163"/>
      <c r="F3" s="163"/>
    </row>
    <row r="4" ht="50.1" customHeight="1" spans="1:6">
      <c r="A4" s="160"/>
      <c r="B4" s="161"/>
      <c r="C4" s="161"/>
      <c r="D4" s="161"/>
      <c r="E4" s="161"/>
      <c r="F4" s="161"/>
    </row>
    <row r="5" ht="50.1" customHeight="1" spans="1:6">
      <c r="A5" s="160"/>
      <c r="B5" s="161"/>
      <c r="C5" s="161"/>
      <c r="D5" s="161"/>
      <c r="E5" s="161"/>
      <c r="F5" s="161"/>
    </row>
    <row r="6" ht="50.1" customHeight="1" spans="1:6">
      <c r="A6" s="164"/>
      <c r="B6" s="165" t="s">
        <v>5</v>
      </c>
      <c r="C6" s="166">
        <v>3732868</v>
      </c>
      <c r="D6" s="166"/>
      <c r="E6" s="166"/>
      <c r="F6" s="167" t="s">
        <v>6</v>
      </c>
    </row>
    <row r="7" ht="50.1" customHeight="1" spans="1:6">
      <c r="A7" s="164"/>
      <c r="B7" s="165" t="s">
        <v>7</v>
      </c>
      <c r="C7" s="168" t="s">
        <v>8</v>
      </c>
      <c r="D7" s="168"/>
      <c r="E7" s="168"/>
      <c r="F7" s="168"/>
    </row>
    <row r="8" ht="50.1" customHeight="1" spans="1:6">
      <c r="A8" s="164"/>
      <c r="B8" s="169"/>
      <c r="C8" s="169"/>
      <c r="D8" s="169"/>
      <c r="E8" s="169"/>
      <c r="F8" s="169"/>
    </row>
    <row r="9" ht="50.1" customHeight="1" spans="1:6">
      <c r="A9" s="164"/>
      <c r="B9" s="169"/>
      <c r="C9" s="169"/>
      <c r="D9" s="169"/>
      <c r="E9" s="169"/>
      <c r="F9" s="169"/>
    </row>
    <row r="10" ht="50.1" customHeight="1" spans="1:6">
      <c r="A10" s="164"/>
      <c r="B10" s="165" t="s">
        <v>9</v>
      </c>
      <c r="C10" s="162" t="s">
        <v>10</v>
      </c>
      <c r="D10" s="162"/>
      <c r="E10" s="162"/>
      <c r="F10" s="162"/>
    </row>
    <row r="11" ht="50.1" customHeight="1" spans="1:6">
      <c r="A11" s="164"/>
      <c r="B11" s="165" t="s">
        <v>11</v>
      </c>
      <c r="C11" s="162" t="s">
        <v>12</v>
      </c>
      <c r="D11" s="162"/>
      <c r="E11" s="162"/>
      <c r="F11" s="162"/>
    </row>
    <row r="12" ht="50.1" customHeight="1" spans="1:6">
      <c r="A12" s="164"/>
      <c r="B12" s="165" t="s">
        <v>13</v>
      </c>
      <c r="C12" s="162" t="s">
        <v>14</v>
      </c>
      <c r="D12" s="162"/>
      <c r="E12" s="162"/>
      <c r="F12" s="162"/>
    </row>
    <row r="13" customHeight="1" spans="1:1">
      <c r="A13" s="164"/>
    </row>
    <row r="14" ht="6" customHeight="1" spans="1:6">
      <c r="A14" s="160"/>
      <c r="B14" s="160"/>
      <c r="C14" s="160"/>
      <c r="D14" s="160"/>
      <c r="E14" s="160"/>
      <c r="F14" s="160"/>
    </row>
    <row r="15" hidden="1" customHeight="1"/>
  </sheetData>
  <mergeCells count="9">
    <mergeCell ref="A1:F1"/>
    <mergeCell ref="C2:F2"/>
    <mergeCell ref="C3:F3"/>
    <mergeCell ref="C6:E6"/>
    <mergeCell ref="C7:F7"/>
    <mergeCell ref="B9:F9"/>
    <mergeCell ref="C10:F10"/>
    <mergeCell ref="C11:F11"/>
    <mergeCell ref="C12:F12"/>
  </mergeCells>
  <printOptions horizontalCentered="1"/>
  <pageMargins left="0.393055555555556" right="0.393055555555556" top="0.393055555555556" bottom="0.393055555555556" header="0.298611111111111" footer="0.298611111111111"/>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0"/>
  <sheetViews>
    <sheetView topLeftCell="A13" workbookViewId="0">
      <selection activeCell="B17" sqref="B17"/>
    </sheetView>
  </sheetViews>
  <sheetFormatPr defaultColWidth="9" defaultRowHeight="24.95" customHeight="1" outlineLevelCol="1"/>
  <cols>
    <col min="2" max="2" width="91.8833333333333" customWidth="1"/>
  </cols>
  <sheetData>
    <row r="1" customHeight="1" spans="1:2">
      <c r="A1" s="145" t="s">
        <v>15</v>
      </c>
      <c r="B1" s="145"/>
    </row>
    <row r="2" customHeight="1" spans="1:2">
      <c r="A2" s="146" t="s">
        <v>16</v>
      </c>
      <c r="B2" s="147" t="s">
        <v>17</v>
      </c>
    </row>
    <row r="3" customHeight="1" spans="1:2">
      <c r="A3" s="148">
        <v>1.1</v>
      </c>
      <c r="B3" s="149" t="s">
        <v>18</v>
      </c>
    </row>
    <row r="4" customHeight="1" spans="1:2">
      <c r="A4" s="148">
        <v>1.2</v>
      </c>
      <c r="B4" s="149" t="s">
        <v>19</v>
      </c>
    </row>
    <row r="5" customHeight="1" spans="1:2">
      <c r="A5" s="148">
        <v>1.3</v>
      </c>
      <c r="B5" s="150" t="s">
        <v>20</v>
      </c>
    </row>
    <row r="6" customHeight="1" spans="1:2">
      <c r="A6" s="146" t="s">
        <v>21</v>
      </c>
      <c r="B6" s="147" t="s">
        <v>22</v>
      </c>
    </row>
    <row r="7" ht="45" customHeight="1" spans="1:2">
      <c r="A7" s="151">
        <v>2.1</v>
      </c>
      <c r="B7" s="149" t="s">
        <v>23</v>
      </c>
    </row>
    <row r="8" ht="45" customHeight="1" spans="1:2">
      <c r="A8" s="151">
        <v>2.2</v>
      </c>
      <c r="B8" s="149" t="s">
        <v>24</v>
      </c>
    </row>
    <row r="9" ht="72" customHeight="1" spans="1:2">
      <c r="A9" s="151">
        <v>2.3</v>
      </c>
      <c r="B9" s="152" t="s">
        <v>25</v>
      </c>
    </row>
    <row r="10" ht="63" customHeight="1" spans="1:2">
      <c r="A10" s="151">
        <v>2.4</v>
      </c>
      <c r="B10" s="152" t="s">
        <v>26</v>
      </c>
    </row>
    <row r="11" ht="45" customHeight="1" spans="1:2">
      <c r="A11" s="151">
        <v>2.5</v>
      </c>
      <c r="B11" s="152" t="s">
        <v>27</v>
      </c>
    </row>
    <row r="12" ht="42" customHeight="1" spans="1:2">
      <c r="A12" s="151">
        <v>2.6</v>
      </c>
      <c r="B12" s="152" t="s">
        <v>28</v>
      </c>
    </row>
    <row r="13" ht="54" customHeight="1" spans="1:2">
      <c r="A13" s="151">
        <v>2.7</v>
      </c>
      <c r="B13" s="153" t="s">
        <v>29</v>
      </c>
    </row>
    <row r="14" ht="30" customHeight="1" spans="1:2">
      <c r="A14" s="151">
        <v>2.8</v>
      </c>
      <c r="B14" s="154" t="s">
        <v>30</v>
      </c>
    </row>
    <row r="15" ht="32.1" customHeight="1" spans="1:2">
      <c r="A15" s="151">
        <v>2.9</v>
      </c>
      <c r="B15" s="152" t="s">
        <v>31</v>
      </c>
    </row>
    <row r="16" ht="24" customHeight="1" spans="1:2">
      <c r="A16" s="146" t="s">
        <v>32</v>
      </c>
      <c r="B16" s="147" t="s">
        <v>33</v>
      </c>
    </row>
    <row r="17" ht="282" customHeight="1" spans="1:2">
      <c r="A17" s="1">
        <v>3.1</v>
      </c>
      <c r="B17" s="155" t="s">
        <v>34</v>
      </c>
    </row>
    <row r="18" ht="32.1" customHeight="1" spans="1:2">
      <c r="A18" s="151">
        <v>3.2</v>
      </c>
      <c r="B18" s="149" t="s">
        <v>35</v>
      </c>
    </row>
    <row r="19" ht="29.1" customHeight="1" spans="1:2">
      <c r="A19" s="151">
        <v>3.3</v>
      </c>
      <c r="B19" s="156" t="s">
        <v>36</v>
      </c>
    </row>
    <row r="20" customHeight="1" spans="1:1">
      <c r="A20" s="157"/>
    </row>
  </sheetData>
  <mergeCells count="1">
    <mergeCell ref="A1:B1"/>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topLeftCell="A16" workbookViewId="0">
      <selection activeCell="A6" sqref="A6:B9"/>
    </sheetView>
  </sheetViews>
  <sheetFormatPr defaultColWidth="9" defaultRowHeight="30" customHeight="1" outlineLevelCol="6"/>
  <cols>
    <col min="1" max="1" width="6.88333333333333" style="110" customWidth="1"/>
    <col min="2" max="2" width="12.125" style="111" customWidth="1"/>
    <col min="3" max="3" width="29.625" style="111" customWidth="1"/>
    <col min="4" max="4" width="12.75" style="112" customWidth="1"/>
    <col min="5" max="5" width="16.25" style="111" customWidth="1"/>
    <col min="6" max="6" width="19" style="111" customWidth="1"/>
    <col min="7" max="16384" width="9" style="111"/>
  </cols>
  <sheetData>
    <row r="1" customHeight="1" spans="1:7">
      <c r="A1" s="113" t="s">
        <v>37</v>
      </c>
      <c r="B1" s="113"/>
      <c r="C1" s="113"/>
      <c r="D1" s="114"/>
      <c r="E1" s="113"/>
      <c r="F1" s="113"/>
      <c r="G1" s="113"/>
    </row>
    <row r="2" customHeight="1" spans="1:7">
      <c r="A2" s="115" t="s">
        <v>38</v>
      </c>
      <c r="B2" s="115" t="s">
        <v>39</v>
      </c>
      <c r="C2" s="115" t="s">
        <v>40</v>
      </c>
      <c r="D2" s="116" t="s">
        <v>41</v>
      </c>
      <c r="E2" s="117" t="s">
        <v>42</v>
      </c>
      <c r="F2" s="117" t="s">
        <v>43</v>
      </c>
      <c r="G2" s="117" t="s">
        <v>44</v>
      </c>
    </row>
    <row r="3" customHeight="1" spans="1:7">
      <c r="A3" s="118"/>
      <c r="B3" s="118"/>
      <c r="C3" s="118"/>
      <c r="D3" s="119" t="s">
        <v>45</v>
      </c>
      <c r="E3" s="120" t="s">
        <v>46</v>
      </c>
      <c r="F3" s="120" t="s">
        <v>47</v>
      </c>
      <c r="G3" s="117"/>
    </row>
    <row r="4" customHeight="1" spans="1:7">
      <c r="A4" s="121" t="s">
        <v>16</v>
      </c>
      <c r="B4" s="121" t="s">
        <v>48</v>
      </c>
      <c r="C4" s="122"/>
      <c r="D4" s="121">
        <f>SUM(D5:D12)</f>
        <v>2535.11</v>
      </c>
      <c r="E4" s="121">
        <f>SUM(E5:E12)</f>
        <v>1517463.73457325</v>
      </c>
      <c r="F4" s="121">
        <f t="shared" ref="F4:F24" si="0">E4/D4</f>
        <v>598.579049655932</v>
      </c>
      <c r="G4" s="122"/>
    </row>
    <row r="5" ht="38" customHeight="1" spans="1:7">
      <c r="A5" s="117">
        <v>1.1</v>
      </c>
      <c r="B5" s="123" t="s">
        <v>49</v>
      </c>
      <c r="C5" s="12" t="s">
        <v>50</v>
      </c>
      <c r="D5" s="116">
        <f>工程量清单清单!E11+工程量清单清单!E12</f>
        <v>183.38</v>
      </c>
      <c r="E5" s="116">
        <f>工程量清单清单!M11+工程量清单清单!M12</f>
        <v>108856.36071289</v>
      </c>
      <c r="F5" s="116">
        <f t="shared" si="0"/>
        <v>593.610866577</v>
      </c>
      <c r="G5" s="124"/>
    </row>
    <row r="6" customHeight="1" spans="1:7">
      <c r="A6" s="125">
        <v>1.2</v>
      </c>
      <c r="B6" s="123" t="s">
        <v>51</v>
      </c>
      <c r="C6" s="12" t="s">
        <v>52</v>
      </c>
      <c r="D6" s="116">
        <f>工程量清单清单!E4+工程量清单清单!E5+工程量清单清单!E6+工程量清单清单!E7+工程量清单清单!E8+工程量清单清单!E9</f>
        <v>192.06</v>
      </c>
      <c r="E6" s="116">
        <f>工程量清单清单!M4+工程量清单清单!M5+工程量清单清单!M6+工程量清单清单!M7+工程量清单清单!M8+工程量清单清单!M9</f>
        <v>93397.042239658</v>
      </c>
      <c r="F6" s="126">
        <f t="shared" si="0"/>
        <v>486.2909624058</v>
      </c>
      <c r="G6" s="117"/>
    </row>
    <row r="7" ht="40" customHeight="1" spans="1:7">
      <c r="A7" s="125"/>
      <c r="B7" s="123"/>
      <c r="C7" s="12" t="s">
        <v>53</v>
      </c>
      <c r="D7" s="116">
        <f>工程量清单清单!E13+工程量清单清单!E14+工程量清单清单!E15+工程量清单清单!E16+工程量清单清单!E17+工程量清单清单!E18+工程量清单清单!E19+工程量清单清单!E20</f>
        <v>879.66</v>
      </c>
      <c r="E7" s="117">
        <f>工程量清单清单!M13+工程量清单清单!M14+工程量清单清单!M15+工程量清单清单!M16+工程量清单清单!M17+工程量清单清单!M18+工程量清单清单!M19+工程量清单清单!M20</f>
        <v>514094.904832016</v>
      </c>
      <c r="F7" s="126">
        <f t="shared" si="0"/>
        <v>584.42455588752</v>
      </c>
      <c r="G7" s="117"/>
    </row>
    <row r="8" ht="45" customHeight="1" spans="1:7">
      <c r="A8" s="125"/>
      <c r="B8" s="123"/>
      <c r="C8" s="12" t="s">
        <v>54</v>
      </c>
      <c r="D8" s="116">
        <f>+工程量清单清单!E21</f>
        <v>433.44</v>
      </c>
      <c r="E8" s="116">
        <f>+工程量清单清单!M21</f>
        <v>253312.979503887</v>
      </c>
      <c r="F8" s="126">
        <f t="shared" si="0"/>
        <v>584.42455588752</v>
      </c>
      <c r="G8" s="117"/>
    </row>
    <row r="9" ht="48" customHeight="1" spans="1:7">
      <c r="A9" s="118"/>
      <c r="B9" s="123"/>
      <c r="C9" s="12" t="s">
        <v>55</v>
      </c>
      <c r="D9" s="116">
        <f>工程量清单清单!E22</f>
        <v>226.38</v>
      </c>
      <c r="E9" s="116">
        <f>工程量清单清单!M22</f>
        <v>132302.030961817</v>
      </c>
      <c r="F9" s="126">
        <f t="shared" si="0"/>
        <v>584.42455588752</v>
      </c>
      <c r="G9" s="117"/>
    </row>
    <row r="10" customHeight="1" spans="1:7">
      <c r="A10" s="127">
        <v>1.3</v>
      </c>
      <c r="B10" s="117" t="s">
        <v>56</v>
      </c>
      <c r="C10" s="12" t="s">
        <v>57</v>
      </c>
      <c r="D10" s="116">
        <f>工程量清单清单!E33+工程量清单清单!E34+工程量清单清单!E35</f>
        <v>175.44</v>
      </c>
      <c r="E10" s="116">
        <f>工程量清单清单!M33+工程量清单清单!M34+工程量清单清单!M35</f>
        <v>70016.9939904182</v>
      </c>
      <c r="F10" s="126">
        <f t="shared" si="0"/>
        <v>399.093672996</v>
      </c>
      <c r="G10" s="117"/>
    </row>
    <row r="11" ht="51" customHeight="1" spans="1:7">
      <c r="A11" s="127">
        <v>1.4</v>
      </c>
      <c r="B11" s="117" t="s">
        <v>58</v>
      </c>
      <c r="C11" s="12" t="s">
        <v>59</v>
      </c>
      <c r="D11" s="128">
        <f>工程量清单清单!E23+工程量清单清单!E24+工程量清单清单!E25+工程量清单清单!E26+工程量清单清单!E27+工程量清单清单!E28+工程量清单清单!E29</f>
        <v>442.23</v>
      </c>
      <c r="E11" s="128">
        <f>工程量清单清单!M23+工程量清单清单!M24+工程量清单清单!M25+工程量清单清单!M26+工程量清单清单!M27+工程量清单清单!M28+工程量清单清单!M29</f>
        <v>344468.111857761</v>
      </c>
      <c r="F11" s="126">
        <f t="shared" si="0"/>
        <v>778.9342917888</v>
      </c>
      <c r="G11" s="124"/>
    </row>
    <row r="12" customHeight="1" spans="1:7">
      <c r="A12" s="129">
        <v>1.5</v>
      </c>
      <c r="B12" s="117" t="s">
        <v>60</v>
      </c>
      <c r="C12" s="12" t="s">
        <v>61</v>
      </c>
      <c r="D12" s="116">
        <f>工程量清单清单!E10</f>
        <v>2.52</v>
      </c>
      <c r="E12" s="116">
        <f>工程量清单清单!M10</f>
        <v>1015.3104748038</v>
      </c>
      <c r="F12" s="116">
        <f t="shared" si="0"/>
        <v>402.900982065</v>
      </c>
      <c r="G12" s="124"/>
    </row>
    <row r="13" customHeight="1" spans="1:7">
      <c r="A13" s="130" t="s">
        <v>21</v>
      </c>
      <c r="B13" s="121" t="s">
        <v>62</v>
      </c>
      <c r="C13" s="131"/>
      <c r="D13" s="130">
        <f>SUM(D14:D18)</f>
        <v>3271.14</v>
      </c>
      <c r="E13" s="130">
        <f>SUM(E14:E18)</f>
        <v>1267949.89587108</v>
      </c>
      <c r="F13" s="130">
        <f t="shared" si="0"/>
        <v>387.617129157139</v>
      </c>
      <c r="G13" s="122"/>
    </row>
    <row r="14" ht="42" customHeight="1" spans="1:7">
      <c r="A14" s="132">
        <v>2.1</v>
      </c>
      <c r="B14" s="132" t="s">
        <v>63</v>
      </c>
      <c r="C14" s="133" t="s">
        <v>64</v>
      </c>
      <c r="D14" s="116">
        <f>工程量清单清单!E36+工程量清单清单!E38</f>
        <v>347.8</v>
      </c>
      <c r="E14" s="116">
        <f>工程量清单清单!M36+工程量清单清单!M38</f>
        <v>139577.042541499</v>
      </c>
      <c r="F14" s="126">
        <f t="shared" si="0"/>
        <v>401.314095864</v>
      </c>
      <c r="G14" s="124"/>
    </row>
    <row r="15" ht="42" customHeight="1" spans="1:7">
      <c r="A15" s="134"/>
      <c r="B15" s="134"/>
      <c r="C15" s="135" t="s">
        <v>65</v>
      </c>
      <c r="D15" s="116">
        <f>工程量清单清单!E37</f>
        <v>253.92</v>
      </c>
      <c r="E15" s="116">
        <f>工程量清单清单!M37</f>
        <v>208693.775910569</v>
      </c>
      <c r="F15" s="126">
        <f t="shared" si="0"/>
        <v>821.88790134912</v>
      </c>
      <c r="G15" s="124"/>
    </row>
    <row r="16" ht="42" customHeight="1" spans="1:7">
      <c r="A16" s="136">
        <v>2.2</v>
      </c>
      <c r="B16" s="134" t="s">
        <v>66</v>
      </c>
      <c r="C16" s="12" t="s">
        <v>67</v>
      </c>
      <c r="D16" s="116">
        <f>工程量清单清单!E39</f>
        <v>11.52</v>
      </c>
      <c r="E16" s="116">
        <f>工程量清单清单!M39</f>
        <v>7875.42079205745</v>
      </c>
      <c r="F16" s="126">
        <f t="shared" si="0"/>
        <v>683.63027708832</v>
      </c>
      <c r="G16" s="124"/>
    </row>
    <row r="17" customHeight="1" spans="1:7">
      <c r="A17" s="132">
        <v>2.3</v>
      </c>
      <c r="B17" s="137" t="s">
        <v>68</v>
      </c>
      <c r="C17" s="133" t="s">
        <v>69</v>
      </c>
      <c r="D17" s="128">
        <f>工程量清单清单!E40+工程量清单清单!E41+工程量清单清单!E42+工程量清单清单!E43</f>
        <v>1575.8</v>
      </c>
      <c r="E17" s="128">
        <f>工程量清单清单!M40+工程量清单清单!M41+工程量清单清单!M42+工程量清单清单!M43</f>
        <v>540584.748151834</v>
      </c>
      <c r="F17" s="126">
        <f t="shared" si="0"/>
        <v>343.054161792</v>
      </c>
      <c r="G17" s="138"/>
    </row>
    <row r="18" customHeight="1" spans="1:7">
      <c r="A18" s="134"/>
      <c r="B18" s="139"/>
      <c r="C18" s="133" t="s">
        <v>70</v>
      </c>
      <c r="D18" s="116">
        <f>工程量清单清单!E44+工程量清单清单!E45</f>
        <v>1082.1</v>
      </c>
      <c r="E18" s="116">
        <f>工程量清单清单!M44+工程量清单清单!M45</f>
        <v>371218.908475123</v>
      </c>
      <c r="F18" s="126">
        <f t="shared" si="0"/>
        <v>343.054161792</v>
      </c>
      <c r="G18" s="124"/>
    </row>
    <row r="19" customHeight="1" spans="1:7">
      <c r="A19" s="130" t="s">
        <v>32</v>
      </c>
      <c r="B19" s="121" t="s">
        <v>71</v>
      </c>
      <c r="C19" s="131"/>
      <c r="D19" s="140">
        <f>SUM(D20:D21)</f>
        <v>654.78</v>
      </c>
      <c r="E19" s="140">
        <f>SUM(E20:E21)</f>
        <v>486460.907048903</v>
      </c>
      <c r="F19" s="140">
        <f t="shared" si="0"/>
        <v>742.93794411696</v>
      </c>
      <c r="G19" s="140"/>
    </row>
    <row r="20" s="109" customFormat="1" ht="41.1" customHeight="1" spans="1:7">
      <c r="A20" s="141">
        <v>3.1</v>
      </c>
      <c r="B20" s="115" t="s">
        <v>72</v>
      </c>
      <c r="C20" s="12" t="s">
        <v>73</v>
      </c>
      <c r="D20" s="116">
        <f>工程量清单清单!E32</f>
        <v>46.2</v>
      </c>
      <c r="E20" s="116">
        <f>工程量清单清单!M32</f>
        <v>34323.7330182036</v>
      </c>
      <c r="F20" s="126">
        <f t="shared" si="0"/>
        <v>742.93794411696</v>
      </c>
      <c r="G20" s="116"/>
    </row>
    <row r="21" s="109" customFormat="1" ht="50" customHeight="1" spans="1:7">
      <c r="A21" s="142"/>
      <c r="B21" s="118"/>
      <c r="C21" s="12" t="s">
        <v>74</v>
      </c>
      <c r="D21" s="116">
        <f>工程量清单清单!E30+工程量清单清单!E31</f>
        <v>608.58</v>
      </c>
      <c r="E21" s="116">
        <f>工程量清单清单!M30+工程量清单清单!M31</f>
        <v>452137.1740307</v>
      </c>
      <c r="F21" s="126">
        <f t="shared" si="0"/>
        <v>742.93794411696</v>
      </c>
      <c r="G21" s="116"/>
    </row>
    <row r="22" s="109" customFormat="1" ht="44.1" customHeight="1" spans="1:7">
      <c r="A22" s="130" t="s">
        <v>75</v>
      </c>
      <c r="B22" s="143" t="s">
        <v>76</v>
      </c>
      <c r="C22" s="144"/>
      <c r="D22" s="140">
        <f>SUM(D23:D23)</f>
        <v>595.455</v>
      </c>
      <c r="E22" s="140">
        <f>SUM(E23:E23)</f>
        <v>460993.840952358</v>
      </c>
      <c r="F22" s="140">
        <f t="shared" si="0"/>
        <v>774.1875388608</v>
      </c>
      <c r="G22" s="140"/>
    </row>
    <row r="23" s="109" customFormat="1" ht="44.1" customHeight="1" spans="1:7">
      <c r="A23" s="142">
        <v>4.1</v>
      </c>
      <c r="B23" s="118" t="s">
        <v>76</v>
      </c>
      <c r="C23" s="99" t="s">
        <v>77</v>
      </c>
      <c r="D23" s="116">
        <f>工程量清单清单!E46</f>
        <v>595.455</v>
      </c>
      <c r="E23" s="116">
        <f>工程量清单清单!M46</f>
        <v>460993.840952358</v>
      </c>
      <c r="F23" s="116">
        <f t="shared" si="0"/>
        <v>774.1875388608</v>
      </c>
      <c r="G23" s="116"/>
    </row>
    <row r="24" customHeight="1" spans="1:7">
      <c r="A24" s="121" t="s">
        <v>78</v>
      </c>
      <c r="B24" s="121" t="s">
        <v>79</v>
      </c>
      <c r="C24" s="121"/>
      <c r="D24" s="140">
        <f>D13+D4+D19+D22</f>
        <v>7056.485</v>
      </c>
      <c r="E24" s="140">
        <f>E13+E4+E19+E22</f>
        <v>3732868.37844559</v>
      </c>
      <c r="F24" s="140">
        <f t="shared" si="0"/>
        <v>528.998272999318</v>
      </c>
      <c r="G24" s="122"/>
    </row>
  </sheetData>
  <mergeCells count="12">
    <mergeCell ref="A1:G1"/>
    <mergeCell ref="A2:A3"/>
    <mergeCell ref="A6:A9"/>
    <mergeCell ref="A14:A15"/>
    <mergeCell ref="A17:A18"/>
    <mergeCell ref="A20:A21"/>
    <mergeCell ref="B2:B3"/>
    <mergeCell ref="B6:B9"/>
    <mergeCell ref="B14:B15"/>
    <mergeCell ref="B17:B18"/>
    <mergeCell ref="B20:B21"/>
    <mergeCell ref="C2:C3"/>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7"/>
  <sheetViews>
    <sheetView workbookViewId="0">
      <pane ySplit="3" topLeftCell="A42" activePane="bottomLeft" state="frozen"/>
      <selection/>
      <selection pane="bottomLeft" activeCell="A4" sqref="A4:A47"/>
    </sheetView>
  </sheetViews>
  <sheetFormatPr defaultColWidth="9" defaultRowHeight="35" customHeight="1"/>
  <cols>
    <col min="1" max="1" width="5.25" style="47" customWidth="1"/>
    <col min="2" max="2" width="14.375" style="94" customWidth="1"/>
    <col min="3" max="3" width="8.375" style="47" customWidth="1"/>
    <col min="4" max="4" width="30.25" style="47" customWidth="1"/>
    <col min="5" max="5" width="8.75" style="47" customWidth="1"/>
    <col min="6" max="8" width="9.75" style="47" customWidth="1" outlineLevel="1"/>
    <col min="9" max="9" width="7.75" style="47" customWidth="1" outlineLevel="1"/>
    <col min="10" max="10" width="13" style="95" customWidth="1"/>
    <col min="11" max="11" width="10.5" style="47" customWidth="1"/>
    <col min="12" max="12" width="13" style="47" customWidth="1"/>
    <col min="13" max="13" width="12.3833333333333" style="47" customWidth="1"/>
    <col min="14" max="14" width="10" style="47" customWidth="1" outlineLevel="1"/>
    <col min="15" max="15" width="9.375" style="47" customWidth="1" outlineLevel="1"/>
    <col min="16" max="16" width="10.625" style="47" customWidth="1" outlineLevel="1"/>
    <col min="17" max="17" width="7.63333333333333" style="47" customWidth="1" outlineLevel="1"/>
    <col min="18" max="16384" width="9" style="47"/>
  </cols>
  <sheetData>
    <row r="1" customHeight="1" spans="1:17">
      <c r="A1" s="66" t="s">
        <v>80</v>
      </c>
      <c r="B1" s="96"/>
      <c r="C1" s="66"/>
      <c r="D1" s="66"/>
      <c r="E1" s="66"/>
      <c r="F1" s="66"/>
      <c r="G1" s="66"/>
      <c r="H1" s="66"/>
      <c r="I1" s="66"/>
      <c r="J1" s="103"/>
      <c r="K1" s="66"/>
      <c r="L1" s="66"/>
      <c r="M1" s="66"/>
      <c r="N1" s="66"/>
      <c r="O1" s="66"/>
      <c r="P1" s="66"/>
      <c r="Q1" s="66"/>
    </row>
    <row r="2" customHeight="1" spans="1:17">
      <c r="A2" s="4" t="s">
        <v>38</v>
      </c>
      <c r="B2" s="4" t="s">
        <v>81</v>
      </c>
      <c r="C2" s="5" t="s">
        <v>82</v>
      </c>
      <c r="D2" s="5" t="s">
        <v>40</v>
      </c>
      <c r="E2" s="97" t="s">
        <v>83</v>
      </c>
      <c r="F2" s="97"/>
      <c r="G2" s="97"/>
      <c r="H2" s="97"/>
      <c r="I2" s="97"/>
      <c r="J2" s="104" t="s">
        <v>84</v>
      </c>
      <c r="K2" s="105" t="s">
        <v>85</v>
      </c>
      <c r="L2" s="97" t="s">
        <v>86</v>
      </c>
      <c r="M2" s="97" t="s">
        <v>87</v>
      </c>
      <c r="N2" s="97"/>
      <c r="O2" s="97"/>
      <c r="P2" s="97"/>
      <c r="Q2" s="97"/>
    </row>
    <row r="3" customHeight="1" spans="1:17">
      <c r="A3" s="4"/>
      <c r="B3" s="4"/>
      <c r="C3" s="5"/>
      <c r="D3" s="5"/>
      <c r="E3" s="97"/>
      <c r="F3" s="97" t="s">
        <v>88</v>
      </c>
      <c r="G3" s="97" t="s">
        <v>89</v>
      </c>
      <c r="H3" s="97" t="s">
        <v>90</v>
      </c>
      <c r="I3" s="97" t="s">
        <v>91</v>
      </c>
      <c r="J3" s="104"/>
      <c r="K3" s="106">
        <v>0.09</v>
      </c>
      <c r="L3" s="97"/>
      <c r="M3" s="97"/>
      <c r="N3" s="97" t="s">
        <v>88</v>
      </c>
      <c r="O3" s="97" t="s">
        <v>89</v>
      </c>
      <c r="P3" s="97" t="s">
        <v>90</v>
      </c>
      <c r="Q3" s="97" t="s">
        <v>91</v>
      </c>
    </row>
    <row r="4" customHeight="1" spans="1:17">
      <c r="A4" s="14">
        <v>1</v>
      </c>
      <c r="B4" s="13" t="s">
        <v>92</v>
      </c>
      <c r="C4" s="12" t="s">
        <v>93</v>
      </c>
      <c r="D4" s="12" t="s">
        <v>52</v>
      </c>
      <c r="E4" s="67">
        <f t="shared" ref="E4:E35" si="0">SUM(F4:I4)</f>
        <v>60.48</v>
      </c>
      <c r="F4" s="67">
        <f>工程量计算数!K29+工程量计算数!K28</f>
        <v>57.96</v>
      </c>
      <c r="G4" s="67"/>
      <c r="H4" s="67">
        <f>工程量计算数!K84</f>
        <v>2.52</v>
      </c>
      <c r="I4" s="67"/>
      <c r="J4" s="67">
        <f>综合单价分析!I34</f>
        <v>446.13849762</v>
      </c>
      <c r="K4" s="107">
        <f t="shared" ref="K4:K35" si="1">$K$3</f>
        <v>0.09</v>
      </c>
      <c r="L4" s="67">
        <f t="shared" ref="L4:L29" si="2">J4*(1+K4)</f>
        <v>486.2909624058</v>
      </c>
      <c r="M4" s="67">
        <f t="shared" ref="M4:M29" si="3">E4*L4</f>
        <v>29410.8774063028</v>
      </c>
      <c r="N4" s="73">
        <f t="shared" ref="N4:N29" si="4">F4*L4</f>
        <v>28185.4241810402</v>
      </c>
      <c r="O4" s="73">
        <f t="shared" ref="O4:O29" si="5">G4*L4</f>
        <v>0</v>
      </c>
      <c r="P4" s="73">
        <f t="shared" ref="P4:P29" si="6">H4*L4</f>
        <v>1225.45322526262</v>
      </c>
      <c r="Q4" s="73">
        <f t="shared" ref="Q4:Q29" si="7">I4*L4</f>
        <v>0</v>
      </c>
    </row>
    <row r="5" customHeight="1" spans="1:17">
      <c r="A5" s="14">
        <v>2</v>
      </c>
      <c r="B5" s="13" t="s">
        <v>92</v>
      </c>
      <c r="C5" s="12" t="s">
        <v>94</v>
      </c>
      <c r="D5" s="12" t="s">
        <v>52</v>
      </c>
      <c r="E5" s="67">
        <f t="shared" si="0"/>
        <v>2.88</v>
      </c>
      <c r="F5" s="67"/>
      <c r="G5" s="67">
        <f>工程量计算数!K54</f>
        <v>2.88</v>
      </c>
      <c r="H5" s="67"/>
      <c r="I5" s="67"/>
      <c r="J5" s="67">
        <f>综合单价分析!H34</f>
        <v>446.13849762</v>
      </c>
      <c r="K5" s="107">
        <f t="shared" si="1"/>
        <v>0.09</v>
      </c>
      <c r="L5" s="67">
        <f t="shared" si="2"/>
        <v>486.2909624058</v>
      </c>
      <c r="M5" s="67">
        <f t="shared" si="3"/>
        <v>1400.5179717287</v>
      </c>
      <c r="N5" s="73">
        <f t="shared" si="4"/>
        <v>0</v>
      </c>
      <c r="O5" s="73">
        <f t="shared" si="5"/>
        <v>1400.5179717287</v>
      </c>
      <c r="P5" s="73">
        <f t="shared" si="6"/>
        <v>0</v>
      </c>
      <c r="Q5" s="73">
        <f t="shared" si="7"/>
        <v>0</v>
      </c>
    </row>
    <row r="6" customHeight="1" spans="1:17">
      <c r="A6" s="14">
        <v>3</v>
      </c>
      <c r="B6" s="13" t="s">
        <v>92</v>
      </c>
      <c r="C6" s="12" t="s">
        <v>95</v>
      </c>
      <c r="D6" s="12" t="s">
        <v>52</v>
      </c>
      <c r="E6" s="67">
        <f t="shared" si="0"/>
        <v>3.36</v>
      </c>
      <c r="F6" s="67">
        <f>工程量计算数!K25</f>
        <v>3.36</v>
      </c>
      <c r="G6" s="67"/>
      <c r="H6" s="67"/>
      <c r="I6" s="67"/>
      <c r="J6" s="67">
        <f>综合单价分析!H34</f>
        <v>446.13849762</v>
      </c>
      <c r="K6" s="107">
        <f t="shared" si="1"/>
        <v>0.09</v>
      </c>
      <c r="L6" s="67">
        <f t="shared" si="2"/>
        <v>486.2909624058</v>
      </c>
      <c r="M6" s="67">
        <f t="shared" si="3"/>
        <v>1633.93763368349</v>
      </c>
      <c r="N6" s="73">
        <f t="shared" si="4"/>
        <v>1633.93763368349</v>
      </c>
      <c r="O6" s="73">
        <f t="shared" si="5"/>
        <v>0</v>
      </c>
      <c r="P6" s="73">
        <f t="shared" si="6"/>
        <v>0</v>
      </c>
      <c r="Q6" s="73">
        <f t="shared" si="7"/>
        <v>0</v>
      </c>
    </row>
    <row r="7" customHeight="1" spans="1:17">
      <c r="A7" s="14">
        <v>4</v>
      </c>
      <c r="B7" s="13" t="s">
        <v>92</v>
      </c>
      <c r="C7" s="12" t="s">
        <v>96</v>
      </c>
      <c r="D7" s="12" t="s">
        <v>52</v>
      </c>
      <c r="E7" s="67">
        <f t="shared" si="0"/>
        <v>48.3</v>
      </c>
      <c r="F7" s="67">
        <f>工程量计算数!K27</f>
        <v>48.3</v>
      </c>
      <c r="G7" s="67">
        <v>0</v>
      </c>
      <c r="H7" s="67"/>
      <c r="I7" s="67"/>
      <c r="J7" s="67">
        <f>综合单价分析!H34</f>
        <v>446.13849762</v>
      </c>
      <c r="K7" s="107">
        <f t="shared" si="1"/>
        <v>0.09</v>
      </c>
      <c r="L7" s="67">
        <f t="shared" si="2"/>
        <v>486.2909624058</v>
      </c>
      <c r="M7" s="67">
        <f t="shared" si="3"/>
        <v>23487.8534842001</v>
      </c>
      <c r="N7" s="73">
        <f t="shared" si="4"/>
        <v>23487.8534842001</v>
      </c>
      <c r="O7" s="73">
        <f t="shared" si="5"/>
        <v>0</v>
      </c>
      <c r="P7" s="73">
        <f t="shared" si="6"/>
        <v>0</v>
      </c>
      <c r="Q7" s="73">
        <f t="shared" si="7"/>
        <v>0</v>
      </c>
    </row>
    <row r="8" customHeight="1" spans="1:17">
      <c r="A8" s="14">
        <v>5</v>
      </c>
      <c r="B8" s="13" t="s">
        <v>92</v>
      </c>
      <c r="C8" s="12" t="s">
        <v>97</v>
      </c>
      <c r="D8" s="12" t="s">
        <v>52</v>
      </c>
      <c r="E8" s="67">
        <f t="shared" si="0"/>
        <v>3.6</v>
      </c>
      <c r="F8" s="67"/>
      <c r="G8" s="67">
        <f>工程量计算数!K55</f>
        <v>3.6</v>
      </c>
      <c r="H8" s="67"/>
      <c r="I8" s="67"/>
      <c r="J8" s="67">
        <f>综合单价分析!H34</f>
        <v>446.13849762</v>
      </c>
      <c r="K8" s="107">
        <f t="shared" si="1"/>
        <v>0.09</v>
      </c>
      <c r="L8" s="67">
        <f t="shared" si="2"/>
        <v>486.2909624058</v>
      </c>
      <c r="M8" s="67">
        <f t="shared" si="3"/>
        <v>1750.64746466088</v>
      </c>
      <c r="N8" s="73">
        <f t="shared" si="4"/>
        <v>0</v>
      </c>
      <c r="O8" s="73">
        <f t="shared" si="5"/>
        <v>1750.64746466088</v>
      </c>
      <c r="P8" s="73">
        <f t="shared" si="6"/>
        <v>0</v>
      </c>
      <c r="Q8" s="73">
        <f t="shared" si="7"/>
        <v>0</v>
      </c>
    </row>
    <row r="9" customHeight="1" spans="1:17">
      <c r="A9" s="14">
        <v>6</v>
      </c>
      <c r="B9" s="13" t="s">
        <v>92</v>
      </c>
      <c r="C9" s="12" t="s">
        <v>98</v>
      </c>
      <c r="D9" s="12" t="s">
        <v>52</v>
      </c>
      <c r="E9" s="67">
        <f t="shared" si="0"/>
        <v>73.44</v>
      </c>
      <c r="F9" s="67">
        <f>工程量计算数!K26</f>
        <v>73.44</v>
      </c>
      <c r="G9" s="67"/>
      <c r="H9" s="67"/>
      <c r="I9" s="67"/>
      <c r="J9" s="67">
        <f>综合单价分析!H34</f>
        <v>446.13849762</v>
      </c>
      <c r="K9" s="107">
        <f t="shared" si="1"/>
        <v>0.09</v>
      </c>
      <c r="L9" s="67">
        <f t="shared" si="2"/>
        <v>486.2909624058</v>
      </c>
      <c r="M9" s="67">
        <f t="shared" si="3"/>
        <v>35713.208279082</v>
      </c>
      <c r="N9" s="73">
        <f t="shared" si="4"/>
        <v>35713.208279082</v>
      </c>
      <c r="O9" s="73">
        <f t="shared" si="5"/>
        <v>0</v>
      </c>
      <c r="P9" s="73">
        <f t="shared" si="6"/>
        <v>0</v>
      </c>
      <c r="Q9" s="73">
        <f t="shared" si="7"/>
        <v>0</v>
      </c>
    </row>
    <row r="10" customHeight="1" spans="1:17">
      <c r="A10" s="14">
        <v>7</v>
      </c>
      <c r="B10" s="13" t="s">
        <v>99</v>
      </c>
      <c r="C10" s="11" t="s">
        <v>93</v>
      </c>
      <c r="D10" s="12" t="s">
        <v>61</v>
      </c>
      <c r="E10" s="67">
        <f t="shared" si="0"/>
        <v>2.52</v>
      </c>
      <c r="F10" s="67"/>
      <c r="G10" s="67">
        <f>工程量计算数!K53</f>
        <v>2.52</v>
      </c>
      <c r="H10" s="67"/>
      <c r="I10" s="67"/>
      <c r="J10" s="67">
        <f>综合单价分析!H67</f>
        <v>369.6339285</v>
      </c>
      <c r="K10" s="107">
        <f t="shared" si="1"/>
        <v>0.09</v>
      </c>
      <c r="L10" s="67">
        <f t="shared" si="2"/>
        <v>402.900982065</v>
      </c>
      <c r="M10" s="67">
        <f t="shared" si="3"/>
        <v>1015.3104748038</v>
      </c>
      <c r="N10" s="73">
        <f t="shared" si="4"/>
        <v>0</v>
      </c>
      <c r="O10" s="73">
        <f t="shared" si="5"/>
        <v>1015.3104748038</v>
      </c>
      <c r="P10" s="73">
        <f t="shared" si="6"/>
        <v>0</v>
      </c>
      <c r="Q10" s="73">
        <f t="shared" si="7"/>
        <v>0</v>
      </c>
    </row>
    <row r="11" customHeight="1" spans="1:17">
      <c r="A11" s="14">
        <v>8</v>
      </c>
      <c r="B11" s="13" t="s">
        <v>100</v>
      </c>
      <c r="C11" s="11" t="s">
        <v>101</v>
      </c>
      <c r="D11" s="12" t="s">
        <v>50</v>
      </c>
      <c r="E11" s="67">
        <f t="shared" si="0"/>
        <v>180.5</v>
      </c>
      <c r="F11" s="67">
        <f>工程量计算数!K30</f>
        <v>138</v>
      </c>
      <c r="G11" s="67">
        <f>工程量计算数!K56</f>
        <v>26</v>
      </c>
      <c r="H11" s="67">
        <f>工程量计算数!K85</f>
        <v>16.5</v>
      </c>
      <c r="I11" s="67"/>
      <c r="J11" s="67">
        <f>综合单价分析!H100</f>
        <v>544.5971253</v>
      </c>
      <c r="K11" s="107">
        <f t="shared" si="1"/>
        <v>0.09</v>
      </c>
      <c r="L11" s="67">
        <f t="shared" si="2"/>
        <v>593.610866577</v>
      </c>
      <c r="M11" s="67">
        <f t="shared" si="3"/>
        <v>107146.761417149</v>
      </c>
      <c r="N11" s="73">
        <f t="shared" si="4"/>
        <v>81918.299587626</v>
      </c>
      <c r="O11" s="73">
        <f t="shared" si="5"/>
        <v>15433.882531002</v>
      </c>
      <c r="P11" s="73">
        <f t="shared" si="6"/>
        <v>9794.5792985205</v>
      </c>
      <c r="Q11" s="73">
        <f t="shared" si="7"/>
        <v>0</v>
      </c>
    </row>
    <row r="12" customHeight="1" spans="1:17">
      <c r="A12" s="14">
        <v>9</v>
      </c>
      <c r="B12" s="13" t="s">
        <v>100</v>
      </c>
      <c r="C12" s="11" t="s">
        <v>102</v>
      </c>
      <c r="D12" s="12" t="s">
        <v>50</v>
      </c>
      <c r="E12" s="67">
        <f t="shared" si="0"/>
        <v>2.88</v>
      </c>
      <c r="F12" s="67"/>
      <c r="G12" s="67">
        <f>工程量计算数!K64</f>
        <v>2.88</v>
      </c>
      <c r="H12" s="67"/>
      <c r="I12" s="67"/>
      <c r="J12" s="67">
        <f>综合单价分析!H100</f>
        <v>544.5971253</v>
      </c>
      <c r="K12" s="107">
        <f t="shared" si="1"/>
        <v>0.09</v>
      </c>
      <c r="L12" s="67">
        <f t="shared" si="2"/>
        <v>593.610866577</v>
      </c>
      <c r="M12" s="67">
        <f t="shared" si="3"/>
        <v>1709.59929574176</v>
      </c>
      <c r="N12" s="73">
        <f t="shared" si="4"/>
        <v>0</v>
      </c>
      <c r="O12" s="73">
        <f t="shared" si="5"/>
        <v>1709.59929574176</v>
      </c>
      <c r="P12" s="73">
        <f t="shared" si="6"/>
        <v>0</v>
      </c>
      <c r="Q12" s="73">
        <f t="shared" si="7"/>
        <v>0</v>
      </c>
    </row>
    <row r="13" customHeight="1" spans="1:17">
      <c r="A13" s="14">
        <v>10</v>
      </c>
      <c r="B13" s="13" t="s">
        <v>103</v>
      </c>
      <c r="C13" s="11" t="s">
        <v>104</v>
      </c>
      <c r="D13" s="12" t="s">
        <v>105</v>
      </c>
      <c r="E13" s="67">
        <f t="shared" si="0"/>
        <v>69.3</v>
      </c>
      <c r="F13" s="67">
        <f>工程量计算数!K22+工程量计算数!K23</f>
        <v>69.3</v>
      </c>
      <c r="G13" s="67"/>
      <c r="H13" s="67"/>
      <c r="I13" s="67"/>
      <c r="J13" s="67">
        <f>综合单价分析!H138</f>
        <v>536.169317328</v>
      </c>
      <c r="K13" s="107">
        <f t="shared" si="1"/>
        <v>0.09</v>
      </c>
      <c r="L13" s="67">
        <f t="shared" si="2"/>
        <v>584.42455588752</v>
      </c>
      <c r="M13" s="67">
        <f t="shared" si="3"/>
        <v>40500.6217230051</v>
      </c>
      <c r="N13" s="73">
        <f t="shared" si="4"/>
        <v>40500.6217230051</v>
      </c>
      <c r="O13" s="73">
        <f t="shared" si="5"/>
        <v>0</v>
      </c>
      <c r="P13" s="73">
        <f t="shared" si="6"/>
        <v>0</v>
      </c>
      <c r="Q13" s="73">
        <f t="shared" si="7"/>
        <v>0</v>
      </c>
    </row>
    <row r="14" customHeight="1" spans="1:17">
      <c r="A14" s="14">
        <v>11</v>
      </c>
      <c r="B14" s="13" t="s">
        <v>103</v>
      </c>
      <c r="C14" s="11" t="s">
        <v>96</v>
      </c>
      <c r="D14" s="98" t="s">
        <v>105</v>
      </c>
      <c r="E14" s="67">
        <f t="shared" si="0"/>
        <v>96.6</v>
      </c>
      <c r="F14" s="67">
        <f>工程量计算数!K18+工程量计算数!K19</f>
        <v>96.6</v>
      </c>
      <c r="G14" s="67"/>
      <c r="H14" s="67"/>
      <c r="I14" s="67"/>
      <c r="J14" s="67">
        <f>综合单价分析!H138</f>
        <v>536.169317328</v>
      </c>
      <c r="K14" s="107">
        <f t="shared" si="1"/>
        <v>0.09</v>
      </c>
      <c r="L14" s="67">
        <f t="shared" si="2"/>
        <v>584.42455588752</v>
      </c>
      <c r="M14" s="67">
        <f t="shared" si="3"/>
        <v>56455.4120987344</v>
      </c>
      <c r="N14" s="73">
        <f t="shared" si="4"/>
        <v>56455.4120987344</v>
      </c>
      <c r="O14" s="73">
        <f t="shared" si="5"/>
        <v>0</v>
      </c>
      <c r="P14" s="73">
        <f t="shared" si="6"/>
        <v>0</v>
      </c>
      <c r="Q14" s="73">
        <f t="shared" si="7"/>
        <v>0</v>
      </c>
    </row>
    <row r="15" customHeight="1" spans="1:17">
      <c r="A15" s="14">
        <v>12</v>
      </c>
      <c r="B15" s="13" t="s">
        <v>103</v>
      </c>
      <c r="C15" s="11" t="s">
        <v>106</v>
      </c>
      <c r="D15" s="12" t="s">
        <v>105</v>
      </c>
      <c r="E15" s="67">
        <f t="shared" si="0"/>
        <v>156.6</v>
      </c>
      <c r="F15" s="67"/>
      <c r="G15" s="67">
        <f>工程量计算数!K46+工程量计算数!K47</f>
        <v>84.825</v>
      </c>
      <c r="H15" s="67">
        <f>工程量计算数!K77+工程量计算数!K78</f>
        <v>71.775</v>
      </c>
      <c r="I15" s="67"/>
      <c r="J15" s="67">
        <f t="shared" ref="J15:J22" si="8">J14</f>
        <v>536.169317328</v>
      </c>
      <c r="K15" s="107">
        <f t="shared" si="1"/>
        <v>0.09</v>
      </c>
      <c r="L15" s="67">
        <f t="shared" si="2"/>
        <v>584.42455588752</v>
      </c>
      <c r="M15" s="67">
        <f t="shared" si="3"/>
        <v>91520.8854519857</v>
      </c>
      <c r="N15" s="73">
        <f t="shared" si="4"/>
        <v>0</v>
      </c>
      <c r="O15" s="73">
        <f t="shared" si="5"/>
        <v>49573.8129531589</v>
      </c>
      <c r="P15" s="73">
        <f t="shared" si="6"/>
        <v>41947.0724988268</v>
      </c>
      <c r="Q15" s="73">
        <f t="shared" si="7"/>
        <v>0</v>
      </c>
    </row>
    <row r="16" customHeight="1" spans="1:17">
      <c r="A16" s="14">
        <v>13</v>
      </c>
      <c r="B16" s="13" t="s">
        <v>103</v>
      </c>
      <c r="C16" s="11" t="s">
        <v>107</v>
      </c>
      <c r="D16" s="12" t="s">
        <v>105</v>
      </c>
      <c r="E16" s="67">
        <f t="shared" si="0"/>
        <v>13.5</v>
      </c>
      <c r="F16" s="67"/>
      <c r="G16" s="67"/>
      <c r="H16" s="67"/>
      <c r="I16" s="67">
        <f>工程量计算数!K97</f>
        <v>13.5</v>
      </c>
      <c r="J16" s="67">
        <f t="shared" si="8"/>
        <v>536.169317328</v>
      </c>
      <c r="K16" s="107">
        <f t="shared" si="1"/>
        <v>0.09</v>
      </c>
      <c r="L16" s="67">
        <f t="shared" si="2"/>
        <v>584.42455588752</v>
      </c>
      <c r="M16" s="67">
        <f t="shared" si="3"/>
        <v>7889.73150448152</v>
      </c>
      <c r="N16" s="73">
        <f t="shared" si="4"/>
        <v>0</v>
      </c>
      <c r="O16" s="73">
        <f t="shared" si="5"/>
        <v>0</v>
      </c>
      <c r="P16" s="73">
        <f t="shared" si="6"/>
        <v>0</v>
      </c>
      <c r="Q16" s="73">
        <f t="shared" si="7"/>
        <v>7889.73150448152</v>
      </c>
    </row>
    <row r="17" customHeight="1" spans="1:17">
      <c r="A17" s="14">
        <v>14</v>
      </c>
      <c r="B17" s="13" t="s">
        <v>103</v>
      </c>
      <c r="C17" s="11" t="s">
        <v>108</v>
      </c>
      <c r="D17" s="12" t="s">
        <v>105</v>
      </c>
      <c r="E17" s="67">
        <f t="shared" si="0"/>
        <v>57.12</v>
      </c>
      <c r="F17" s="67">
        <f>工程量计算数!K14+工程量计算数!K15</f>
        <v>57.12</v>
      </c>
      <c r="G17" s="67"/>
      <c r="H17" s="67"/>
      <c r="I17" s="67"/>
      <c r="J17" s="67">
        <f t="shared" si="8"/>
        <v>536.169317328</v>
      </c>
      <c r="K17" s="107">
        <f t="shared" si="1"/>
        <v>0.09</v>
      </c>
      <c r="L17" s="67">
        <f t="shared" si="2"/>
        <v>584.42455588752</v>
      </c>
      <c r="M17" s="67">
        <f t="shared" si="3"/>
        <v>33382.3306322951</v>
      </c>
      <c r="N17" s="73">
        <f t="shared" si="4"/>
        <v>33382.3306322951</v>
      </c>
      <c r="O17" s="73">
        <f t="shared" si="5"/>
        <v>0</v>
      </c>
      <c r="P17" s="73">
        <f t="shared" si="6"/>
        <v>0</v>
      </c>
      <c r="Q17" s="73">
        <f t="shared" si="7"/>
        <v>0</v>
      </c>
    </row>
    <row r="18" customHeight="1" spans="1:17">
      <c r="A18" s="14">
        <v>15</v>
      </c>
      <c r="B18" s="13" t="s">
        <v>103</v>
      </c>
      <c r="C18" s="11" t="s">
        <v>93</v>
      </c>
      <c r="D18" s="12" t="s">
        <v>105</v>
      </c>
      <c r="E18" s="67">
        <f t="shared" si="0"/>
        <v>181.44</v>
      </c>
      <c r="F18" s="67">
        <f>工程量计算数!K12+工程量计算数!K13</f>
        <v>115.92</v>
      </c>
      <c r="G18" s="67">
        <f>工程量计算数!K44+工程量计算数!K45</f>
        <v>65.52</v>
      </c>
      <c r="H18" s="67"/>
      <c r="I18" s="67"/>
      <c r="J18" s="67">
        <f t="shared" si="8"/>
        <v>536.169317328</v>
      </c>
      <c r="K18" s="107">
        <f t="shared" si="1"/>
        <v>0.09</v>
      </c>
      <c r="L18" s="67">
        <f t="shared" si="2"/>
        <v>584.42455588752</v>
      </c>
      <c r="M18" s="67">
        <f t="shared" si="3"/>
        <v>106037.991420232</v>
      </c>
      <c r="N18" s="73">
        <f t="shared" si="4"/>
        <v>67746.4945184813</v>
      </c>
      <c r="O18" s="73">
        <f t="shared" si="5"/>
        <v>38291.4969017503</v>
      </c>
      <c r="P18" s="73">
        <f t="shared" si="6"/>
        <v>0</v>
      </c>
      <c r="Q18" s="73">
        <f t="shared" si="7"/>
        <v>0</v>
      </c>
    </row>
    <row r="19" customHeight="1" spans="1:17">
      <c r="A19" s="14">
        <v>16</v>
      </c>
      <c r="B19" s="13" t="s">
        <v>103</v>
      </c>
      <c r="C19" s="11" t="s">
        <v>109</v>
      </c>
      <c r="D19" s="12" t="s">
        <v>105</v>
      </c>
      <c r="E19" s="67">
        <f t="shared" si="0"/>
        <v>57.42</v>
      </c>
      <c r="F19" s="67"/>
      <c r="G19" s="67"/>
      <c r="H19" s="67">
        <f>工程量计算数!K75+工程量计算数!K76</f>
        <v>57.42</v>
      </c>
      <c r="I19" s="67"/>
      <c r="J19" s="67">
        <f t="shared" si="8"/>
        <v>536.169317328</v>
      </c>
      <c r="K19" s="107">
        <f t="shared" si="1"/>
        <v>0.09</v>
      </c>
      <c r="L19" s="67">
        <f t="shared" si="2"/>
        <v>584.42455588752</v>
      </c>
      <c r="M19" s="67">
        <f t="shared" si="3"/>
        <v>33557.6579990614</v>
      </c>
      <c r="N19" s="73">
        <f t="shared" si="4"/>
        <v>0</v>
      </c>
      <c r="O19" s="73">
        <f t="shared" si="5"/>
        <v>0</v>
      </c>
      <c r="P19" s="73">
        <f t="shared" si="6"/>
        <v>33557.6579990614</v>
      </c>
      <c r="Q19" s="73">
        <f t="shared" si="7"/>
        <v>0</v>
      </c>
    </row>
    <row r="20" customHeight="1" spans="1:17">
      <c r="A20" s="14">
        <v>17</v>
      </c>
      <c r="B20" s="13" t="s">
        <v>103</v>
      </c>
      <c r="C20" s="11" t="s">
        <v>110</v>
      </c>
      <c r="D20" s="12" t="s">
        <v>105</v>
      </c>
      <c r="E20" s="67">
        <f t="shared" si="0"/>
        <v>247.68</v>
      </c>
      <c r="F20" s="67"/>
      <c r="G20" s="67">
        <f>工程量计算数!K48+工程量计算数!K49</f>
        <v>134.16</v>
      </c>
      <c r="H20" s="67">
        <f>工程量计算数!K79+工程量计算数!K80</f>
        <v>113.52</v>
      </c>
      <c r="I20" s="67"/>
      <c r="J20" s="67">
        <f t="shared" si="8"/>
        <v>536.169317328</v>
      </c>
      <c r="K20" s="107">
        <f t="shared" si="1"/>
        <v>0.09</v>
      </c>
      <c r="L20" s="67">
        <f t="shared" si="2"/>
        <v>584.42455588752</v>
      </c>
      <c r="M20" s="67">
        <f t="shared" si="3"/>
        <v>144750.274002221</v>
      </c>
      <c r="N20" s="73">
        <f t="shared" si="4"/>
        <v>0</v>
      </c>
      <c r="O20" s="73">
        <f t="shared" si="5"/>
        <v>78406.3984178697</v>
      </c>
      <c r="P20" s="73">
        <f t="shared" si="6"/>
        <v>66343.8755843513</v>
      </c>
      <c r="Q20" s="73">
        <f t="shared" si="7"/>
        <v>0</v>
      </c>
    </row>
    <row r="21" customHeight="1" spans="1:17">
      <c r="A21" s="14">
        <v>18</v>
      </c>
      <c r="B21" s="13" t="s">
        <v>103</v>
      </c>
      <c r="C21" s="11" t="s">
        <v>111</v>
      </c>
      <c r="D21" s="12" t="s">
        <v>54</v>
      </c>
      <c r="E21" s="67">
        <f t="shared" si="0"/>
        <v>433.44</v>
      </c>
      <c r="F21" s="67"/>
      <c r="G21" s="67">
        <f>工程量计算数!K50+工程量计算数!K51</f>
        <v>234.78</v>
      </c>
      <c r="H21" s="67">
        <f>工程量计算数!K81+工程量计算数!K82</f>
        <v>198.66</v>
      </c>
      <c r="I21" s="67"/>
      <c r="J21" s="67">
        <f t="shared" si="8"/>
        <v>536.169317328</v>
      </c>
      <c r="K21" s="107">
        <f t="shared" si="1"/>
        <v>0.09</v>
      </c>
      <c r="L21" s="67">
        <f t="shared" si="2"/>
        <v>584.42455588752</v>
      </c>
      <c r="M21" s="67">
        <f t="shared" si="3"/>
        <v>253312.979503887</v>
      </c>
      <c r="N21" s="73">
        <f t="shared" si="4"/>
        <v>0</v>
      </c>
      <c r="O21" s="73">
        <f t="shared" si="5"/>
        <v>137211.197231272</v>
      </c>
      <c r="P21" s="73">
        <f t="shared" si="6"/>
        <v>116101.782272615</v>
      </c>
      <c r="Q21" s="73">
        <f t="shared" si="7"/>
        <v>0</v>
      </c>
    </row>
    <row r="22" customHeight="1" spans="1:17">
      <c r="A22" s="14">
        <v>19</v>
      </c>
      <c r="B22" s="13" t="s">
        <v>103</v>
      </c>
      <c r="C22" s="11" t="s">
        <v>112</v>
      </c>
      <c r="D22" s="12" t="s">
        <v>113</v>
      </c>
      <c r="E22" s="67">
        <f t="shared" si="0"/>
        <v>226.38</v>
      </c>
      <c r="F22" s="67">
        <f>工程量计算数!K20+工程量计算数!K21</f>
        <v>226.38</v>
      </c>
      <c r="G22" s="67"/>
      <c r="H22" s="67"/>
      <c r="I22" s="67"/>
      <c r="J22" s="67">
        <f t="shared" si="8"/>
        <v>536.169317328</v>
      </c>
      <c r="K22" s="107">
        <f t="shared" si="1"/>
        <v>0.09</v>
      </c>
      <c r="L22" s="67">
        <f t="shared" si="2"/>
        <v>584.42455588752</v>
      </c>
      <c r="M22" s="67">
        <f t="shared" si="3"/>
        <v>132302.030961817</v>
      </c>
      <c r="N22" s="73">
        <f t="shared" si="4"/>
        <v>132302.030961817</v>
      </c>
      <c r="O22" s="73">
        <f t="shared" si="5"/>
        <v>0</v>
      </c>
      <c r="P22" s="73">
        <f t="shared" si="6"/>
        <v>0</v>
      </c>
      <c r="Q22" s="73">
        <f t="shared" si="7"/>
        <v>0</v>
      </c>
    </row>
    <row r="23" customHeight="1" spans="1:17">
      <c r="A23" s="14">
        <v>20</v>
      </c>
      <c r="B23" s="13" t="s">
        <v>114</v>
      </c>
      <c r="C23" s="11" t="s">
        <v>115</v>
      </c>
      <c r="D23" s="12" t="s">
        <v>59</v>
      </c>
      <c r="E23" s="67">
        <f t="shared" si="0"/>
        <v>16.1</v>
      </c>
      <c r="F23" s="67">
        <f>工程量计算数!K8+工程量计算数!K9</f>
        <v>16.1</v>
      </c>
      <c r="G23" s="67"/>
      <c r="H23" s="67"/>
      <c r="I23" s="67"/>
      <c r="J23" s="67">
        <f>综合单价分析!H174</f>
        <v>714.61861632</v>
      </c>
      <c r="K23" s="107">
        <f t="shared" si="1"/>
        <v>0.09</v>
      </c>
      <c r="L23" s="67">
        <f t="shared" si="2"/>
        <v>778.9342917888</v>
      </c>
      <c r="M23" s="67">
        <f t="shared" si="3"/>
        <v>12540.8420977997</v>
      </c>
      <c r="N23" s="73">
        <f t="shared" si="4"/>
        <v>12540.8420977997</v>
      </c>
      <c r="O23" s="73">
        <f t="shared" si="5"/>
        <v>0</v>
      </c>
      <c r="P23" s="73">
        <f t="shared" si="6"/>
        <v>0</v>
      </c>
      <c r="Q23" s="73">
        <f t="shared" si="7"/>
        <v>0</v>
      </c>
    </row>
    <row r="24" customHeight="1" spans="1:17">
      <c r="A24" s="14">
        <v>21</v>
      </c>
      <c r="B24" s="13" t="s">
        <v>114</v>
      </c>
      <c r="C24" s="11" t="s">
        <v>116</v>
      </c>
      <c r="D24" s="12" t="s">
        <v>59</v>
      </c>
      <c r="E24" s="67">
        <f t="shared" si="0"/>
        <v>52.2</v>
      </c>
      <c r="F24" s="67"/>
      <c r="G24" s="67">
        <f>工程量计算数!K38+工程量计算数!K39</f>
        <v>28.275</v>
      </c>
      <c r="H24" s="67">
        <f>工程量计算数!K69+工程量计算数!K70</f>
        <v>23.925</v>
      </c>
      <c r="I24" s="67"/>
      <c r="J24" s="67">
        <f t="shared" ref="J24:J29" si="9">J23</f>
        <v>714.61861632</v>
      </c>
      <c r="K24" s="107">
        <f t="shared" si="1"/>
        <v>0.09</v>
      </c>
      <c r="L24" s="67">
        <f t="shared" si="2"/>
        <v>778.9342917888</v>
      </c>
      <c r="M24" s="67">
        <f t="shared" si="3"/>
        <v>40660.3700313754</v>
      </c>
      <c r="N24" s="73">
        <f t="shared" si="4"/>
        <v>0</v>
      </c>
      <c r="O24" s="73">
        <f t="shared" si="5"/>
        <v>22024.3671003283</v>
      </c>
      <c r="P24" s="73">
        <f t="shared" si="6"/>
        <v>18636.002931047</v>
      </c>
      <c r="Q24" s="73">
        <f t="shared" si="7"/>
        <v>0</v>
      </c>
    </row>
    <row r="25" customHeight="1" spans="1:17">
      <c r="A25" s="14">
        <v>22</v>
      </c>
      <c r="B25" s="13" t="s">
        <v>114</v>
      </c>
      <c r="C25" s="11" t="s">
        <v>117</v>
      </c>
      <c r="D25" s="12" t="s">
        <v>59</v>
      </c>
      <c r="E25" s="67">
        <f t="shared" si="0"/>
        <v>17.71</v>
      </c>
      <c r="F25" s="67">
        <f>工程量计算数!K10+工程量计算数!K11</f>
        <v>17.71</v>
      </c>
      <c r="G25" s="67"/>
      <c r="H25" s="67"/>
      <c r="I25" s="67"/>
      <c r="J25" s="67">
        <f t="shared" si="9"/>
        <v>714.61861632</v>
      </c>
      <c r="K25" s="107">
        <f t="shared" si="1"/>
        <v>0.09</v>
      </c>
      <c r="L25" s="67">
        <f t="shared" si="2"/>
        <v>778.9342917888</v>
      </c>
      <c r="M25" s="67">
        <f t="shared" si="3"/>
        <v>13794.9263075796</v>
      </c>
      <c r="N25" s="73">
        <f t="shared" si="4"/>
        <v>13794.9263075796</v>
      </c>
      <c r="O25" s="73">
        <f t="shared" si="5"/>
        <v>0</v>
      </c>
      <c r="P25" s="73">
        <f t="shared" si="6"/>
        <v>0</v>
      </c>
      <c r="Q25" s="73">
        <f t="shared" si="7"/>
        <v>0</v>
      </c>
    </row>
    <row r="26" customHeight="1" spans="1:17">
      <c r="A26" s="14">
        <v>23</v>
      </c>
      <c r="B26" s="13" t="s">
        <v>114</v>
      </c>
      <c r="C26" s="11" t="s">
        <v>108</v>
      </c>
      <c r="D26" s="12" t="s">
        <v>59</v>
      </c>
      <c r="E26" s="67">
        <f t="shared" si="0"/>
        <v>133.56</v>
      </c>
      <c r="F26" s="67">
        <f>工程量计算数!K6+工程量计算数!K7</f>
        <v>133.56</v>
      </c>
      <c r="G26" s="67"/>
      <c r="H26" s="67"/>
      <c r="I26" s="67"/>
      <c r="J26" s="67">
        <f t="shared" si="9"/>
        <v>714.61861632</v>
      </c>
      <c r="K26" s="107">
        <f t="shared" si="1"/>
        <v>0.09</v>
      </c>
      <c r="L26" s="67">
        <f t="shared" si="2"/>
        <v>778.9342917888</v>
      </c>
      <c r="M26" s="67">
        <f t="shared" si="3"/>
        <v>104034.464011312</v>
      </c>
      <c r="N26" s="73">
        <f t="shared" si="4"/>
        <v>104034.464011312</v>
      </c>
      <c r="O26" s="73">
        <f t="shared" si="5"/>
        <v>0</v>
      </c>
      <c r="P26" s="73">
        <f t="shared" si="6"/>
        <v>0</v>
      </c>
      <c r="Q26" s="73">
        <f t="shared" si="7"/>
        <v>0</v>
      </c>
    </row>
    <row r="27" customHeight="1" spans="1:17">
      <c r="A27" s="14">
        <v>24</v>
      </c>
      <c r="B27" s="13" t="s">
        <v>114</v>
      </c>
      <c r="C27" s="11" t="s">
        <v>118</v>
      </c>
      <c r="D27" s="12" t="s">
        <v>59</v>
      </c>
      <c r="E27" s="67">
        <f t="shared" si="0"/>
        <v>41.76</v>
      </c>
      <c r="F27" s="67"/>
      <c r="G27" s="67">
        <f>工程量计算数!K40+工程量计算数!K41</f>
        <v>22.62</v>
      </c>
      <c r="H27" s="67">
        <f>工程量计算数!K71+工程量计算数!K72</f>
        <v>19.14</v>
      </c>
      <c r="I27" s="67"/>
      <c r="J27" s="67">
        <f t="shared" si="9"/>
        <v>714.61861632</v>
      </c>
      <c r="K27" s="107">
        <f t="shared" si="1"/>
        <v>0.09</v>
      </c>
      <c r="L27" s="67">
        <f t="shared" si="2"/>
        <v>778.9342917888</v>
      </c>
      <c r="M27" s="67">
        <f t="shared" si="3"/>
        <v>32528.2960251003</v>
      </c>
      <c r="N27" s="73">
        <f t="shared" si="4"/>
        <v>0</v>
      </c>
      <c r="O27" s="73">
        <f t="shared" si="5"/>
        <v>17619.4936802627</v>
      </c>
      <c r="P27" s="73">
        <f t="shared" si="6"/>
        <v>14908.8023448376</v>
      </c>
      <c r="Q27" s="73">
        <f t="shared" si="7"/>
        <v>0</v>
      </c>
    </row>
    <row r="28" customHeight="1" spans="1:17">
      <c r="A28" s="14">
        <v>25</v>
      </c>
      <c r="B28" s="13" t="s">
        <v>114</v>
      </c>
      <c r="C28" s="11" t="s">
        <v>93</v>
      </c>
      <c r="D28" s="12" t="s">
        <v>59</v>
      </c>
      <c r="E28" s="67">
        <f t="shared" si="0"/>
        <v>86.94</v>
      </c>
      <c r="F28" s="67">
        <f>工程量计算数!K4+工程量计算数!K5</f>
        <v>86.94</v>
      </c>
      <c r="G28" s="67"/>
      <c r="H28" s="67"/>
      <c r="I28" s="67"/>
      <c r="J28" s="67">
        <f t="shared" si="9"/>
        <v>714.61861632</v>
      </c>
      <c r="K28" s="107">
        <f t="shared" si="1"/>
        <v>0.09</v>
      </c>
      <c r="L28" s="67">
        <f t="shared" si="2"/>
        <v>778.9342917888</v>
      </c>
      <c r="M28" s="67">
        <f t="shared" si="3"/>
        <v>67720.5473281183</v>
      </c>
      <c r="N28" s="73">
        <f t="shared" si="4"/>
        <v>67720.5473281183</v>
      </c>
      <c r="O28" s="73">
        <f t="shared" si="5"/>
        <v>0</v>
      </c>
      <c r="P28" s="73">
        <f t="shared" si="6"/>
        <v>0</v>
      </c>
      <c r="Q28" s="73">
        <f t="shared" si="7"/>
        <v>0</v>
      </c>
    </row>
    <row r="29" customHeight="1" spans="1:17">
      <c r="A29" s="14">
        <v>26</v>
      </c>
      <c r="B29" s="13" t="s">
        <v>114</v>
      </c>
      <c r="C29" s="11" t="s">
        <v>109</v>
      </c>
      <c r="D29" s="12" t="s">
        <v>59</v>
      </c>
      <c r="E29" s="67">
        <f t="shared" si="0"/>
        <v>93.96</v>
      </c>
      <c r="F29" s="67"/>
      <c r="G29" s="67">
        <f>工程量计算数!K42+工程量计算数!K43</f>
        <v>50.895</v>
      </c>
      <c r="H29" s="67">
        <f>工程量计算数!K73+工程量计算数!K74</f>
        <v>43.065</v>
      </c>
      <c r="I29" s="67"/>
      <c r="J29" s="67">
        <f t="shared" si="9"/>
        <v>714.61861632</v>
      </c>
      <c r="K29" s="107">
        <f t="shared" si="1"/>
        <v>0.09</v>
      </c>
      <c r="L29" s="67">
        <f t="shared" si="2"/>
        <v>778.9342917888</v>
      </c>
      <c r="M29" s="67">
        <f t="shared" si="3"/>
        <v>73188.6660564757</v>
      </c>
      <c r="N29" s="73">
        <f t="shared" si="4"/>
        <v>0</v>
      </c>
      <c r="O29" s="73">
        <f t="shared" si="5"/>
        <v>39643.860780591</v>
      </c>
      <c r="P29" s="73">
        <f t="shared" si="6"/>
        <v>33544.8052758847</v>
      </c>
      <c r="Q29" s="73">
        <f t="shared" si="7"/>
        <v>0</v>
      </c>
    </row>
    <row r="30" customHeight="1" spans="1:17">
      <c r="A30" s="14">
        <v>27</v>
      </c>
      <c r="B30" s="13" t="s">
        <v>119</v>
      </c>
      <c r="C30" s="11" t="s">
        <v>120</v>
      </c>
      <c r="D30" s="12" t="s">
        <v>121</v>
      </c>
      <c r="E30" s="67">
        <f t="shared" si="0"/>
        <v>608.58</v>
      </c>
      <c r="F30" s="67">
        <f>工程量计算数!K17</f>
        <v>608.58</v>
      </c>
      <c r="G30" s="67"/>
      <c r="H30" s="67"/>
      <c r="I30" s="67"/>
      <c r="J30" s="67">
        <f>综合单价分析!H245</f>
        <v>681.594444144</v>
      </c>
      <c r="K30" s="107">
        <f t="shared" si="1"/>
        <v>0.09</v>
      </c>
      <c r="L30" s="67">
        <f t="shared" ref="L30:L46" si="10">J30*(1+K30)</f>
        <v>742.93794411696</v>
      </c>
      <c r="M30" s="67">
        <f t="shared" ref="M30:M46" si="11">E30*L30</f>
        <v>452137.1740307</v>
      </c>
      <c r="N30" s="73">
        <f t="shared" ref="N30:N46" si="12">F30*L30</f>
        <v>452137.1740307</v>
      </c>
      <c r="O30" s="73">
        <f t="shared" ref="O30:O46" si="13">G30*L30</f>
        <v>0</v>
      </c>
      <c r="P30" s="73">
        <f t="shared" ref="P30:P46" si="14">H30*L30</f>
        <v>0</v>
      </c>
      <c r="Q30" s="73">
        <f t="shared" ref="Q30:Q46" si="15">I30*L30</f>
        <v>0</v>
      </c>
    </row>
    <row r="31" customHeight="1" spans="1:17">
      <c r="A31" s="14">
        <v>28</v>
      </c>
      <c r="B31" s="13" t="s">
        <v>119</v>
      </c>
      <c r="C31" s="11" t="s">
        <v>122</v>
      </c>
      <c r="D31" s="12" t="s">
        <v>121</v>
      </c>
      <c r="E31" s="67">
        <f t="shared" si="0"/>
        <v>0</v>
      </c>
      <c r="F31" s="67"/>
      <c r="G31" s="67"/>
      <c r="H31" s="67"/>
      <c r="I31" s="67"/>
      <c r="J31" s="67">
        <f>J30</f>
        <v>681.594444144</v>
      </c>
      <c r="K31" s="107">
        <f t="shared" si="1"/>
        <v>0.09</v>
      </c>
      <c r="L31" s="67">
        <f t="shared" si="10"/>
        <v>742.93794411696</v>
      </c>
      <c r="M31" s="67">
        <f t="shared" si="11"/>
        <v>0</v>
      </c>
      <c r="N31" s="73">
        <f t="shared" si="12"/>
        <v>0</v>
      </c>
      <c r="O31" s="73">
        <f t="shared" si="13"/>
        <v>0</v>
      </c>
      <c r="P31" s="73">
        <f t="shared" si="14"/>
        <v>0</v>
      </c>
      <c r="Q31" s="73">
        <f t="shared" si="15"/>
        <v>0</v>
      </c>
    </row>
    <row r="32" customHeight="1" spans="1:17">
      <c r="A32" s="14">
        <v>29</v>
      </c>
      <c r="B32" s="13" t="s">
        <v>119</v>
      </c>
      <c r="C32" s="11" t="s">
        <v>96</v>
      </c>
      <c r="D32" s="12" t="s">
        <v>73</v>
      </c>
      <c r="E32" s="67">
        <f t="shared" si="0"/>
        <v>46.2</v>
      </c>
      <c r="F32" s="67">
        <f>工程量计算数!K16</f>
        <v>46.2</v>
      </c>
      <c r="G32" s="67"/>
      <c r="H32" s="67"/>
      <c r="I32" s="67"/>
      <c r="J32" s="67">
        <f>J31</f>
        <v>681.594444144</v>
      </c>
      <c r="K32" s="107">
        <f t="shared" si="1"/>
        <v>0.09</v>
      </c>
      <c r="L32" s="67">
        <f t="shared" si="10"/>
        <v>742.93794411696</v>
      </c>
      <c r="M32" s="67">
        <f t="shared" si="11"/>
        <v>34323.7330182036</v>
      </c>
      <c r="N32" s="73">
        <f t="shared" si="12"/>
        <v>34323.7330182036</v>
      </c>
      <c r="O32" s="73">
        <f t="shared" si="13"/>
        <v>0</v>
      </c>
      <c r="P32" s="73">
        <f t="shared" si="14"/>
        <v>0</v>
      </c>
      <c r="Q32" s="73">
        <f t="shared" si="15"/>
        <v>0</v>
      </c>
    </row>
    <row r="33" customHeight="1" spans="1:17">
      <c r="A33" s="14">
        <v>30</v>
      </c>
      <c r="B33" s="13" t="s">
        <v>123</v>
      </c>
      <c r="C33" s="11" t="s">
        <v>124</v>
      </c>
      <c r="D33" s="12" t="s">
        <v>57</v>
      </c>
      <c r="E33" s="67">
        <f t="shared" si="0"/>
        <v>36.3</v>
      </c>
      <c r="F33" s="67"/>
      <c r="G33" s="67"/>
      <c r="H33" s="67">
        <f>工程量计算数!K83</f>
        <v>36.3</v>
      </c>
      <c r="I33" s="67"/>
      <c r="J33" s="67">
        <f>综合单价分析!H279</f>
        <v>366.1409844</v>
      </c>
      <c r="K33" s="107">
        <f t="shared" si="1"/>
        <v>0.09</v>
      </c>
      <c r="L33" s="67">
        <f t="shared" si="10"/>
        <v>399.093672996</v>
      </c>
      <c r="M33" s="67">
        <f t="shared" si="11"/>
        <v>14487.1003297548</v>
      </c>
      <c r="N33" s="73">
        <f t="shared" si="12"/>
        <v>0</v>
      </c>
      <c r="O33" s="73">
        <f t="shared" si="13"/>
        <v>0</v>
      </c>
      <c r="P33" s="73">
        <f t="shared" si="14"/>
        <v>14487.1003297548</v>
      </c>
      <c r="Q33" s="73">
        <f t="shared" si="15"/>
        <v>0</v>
      </c>
    </row>
    <row r="34" customHeight="1" spans="1:17">
      <c r="A34" s="14">
        <v>31</v>
      </c>
      <c r="B34" s="13" t="s">
        <v>123</v>
      </c>
      <c r="C34" s="11" t="s">
        <v>95</v>
      </c>
      <c r="D34" s="12" t="s">
        <v>57</v>
      </c>
      <c r="E34" s="67">
        <f t="shared" si="0"/>
        <v>80.64</v>
      </c>
      <c r="F34" s="67">
        <f>工程量计算数!K24</f>
        <v>80.64</v>
      </c>
      <c r="G34" s="67"/>
      <c r="H34" s="67"/>
      <c r="I34" s="67"/>
      <c r="J34" s="67">
        <f>J33</f>
        <v>366.1409844</v>
      </c>
      <c r="K34" s="107">
        <f t="shared" si="1"/>
        <v>0.09</v>
      </c>
      <c r="L34" s="67">
        <f t="shared" si="10"/>
        <v>399.093672996</v>
      </c>
      <c r="M34" s="67">
        <f t="shared" si="11"/>
        <v>32182.9137903974</v>
      </c>
      <c r="N34" s="73">
        <f t="shared" si="12"/>
        <v>32182.9137903974</v>
      </c>
      <c r="O34" s="73">
        <f t="shared" si="13"/>
        <v>0</v>
      </c>
      <c r="P34" s="73">
        <f t="shared" si="14"/>
        <v>0</v>
      </c>
      <c r="Q34" s="73">
        <f t="shared" si="15"/>
        <v>0</v>
      </c>
    </row>
    <row r="35" customHeight="1" spans="1:17">
      <c r="A35" s="14">
        <v>32</v>
      </c>
      <c r="B35" s="13" t="s">
        <v>123</v>
      </c>
      <c r="C35" s="11" t="s">
        <v>107</v>
      </c>
      <c r="D35" s="12" t="s">
        <v>57</v>
      </c>
      <c r="E35" s="67">
        <f t="shared" si="0"/>
        <v>58.5</v>
      </c>
      <c r="F35" s="67"/>
      <c r="G35" s="67">
        <f>工程量计算数!K52</f>
        <v>58.5</v>
      </c>
      <c r="H35" s="67"/>
      <c r="I35" s="67"/>
      <c r="J35" s="67">
        <f>J34</f>
        <v>366.1409844</v>
      </c>
      <c r="K35" s="107">
        <f t="shared" si="1"/>
        <v>0.09</v>
      </c>
      <c r="L35" s="67">
        <f t="shared" si="10"/>
        <v>399.093672996</v>
      </c>
      <c r="M35" s="67">
        <f t="shared" si="11"/>
        <v>23346.979870266</v>
      </c>
      <c r="N35" s="73">
        <f t="shared" si="12"/>
        <v>0</v>
      </c>
      <c r="O35" s="73">
        <f t="shared" si="13"/>
        <v>23346.979870266</v>
      </c>
      <c r="P35" s="73">
        <f t="shared" si="14"/>
        <v>0</v>
      </c>
      <c r="Q35" s="73">
        <f t="shared" si="15"/>
        <v>0</v>
      </c>
    </row>
    <row r="36" customHeight="1" spans="1:17">
      <c r="A36" s="14">
        <v>33</v>
      </c>
      <c r="B36" s="13" t="s">
        <v>125</v>
      </c>
      <c r="C36" s="11" t="s">
        <v>126</v>
      </c>
      <c r="D36" s="12" t="s">
        <v>64</v>
      </c>
      <c r="E36" s="67">
        <f t="shared" ref="E36:E48" si="16">SUM(F36:I36)</f>
        <v>144.76</v>
      </c>
      <c r="F36" s="67"/>
      <c r="G36" s="67">
        <f>工程量计算数!K62</f>
        <v>78.96</v>
      </c>
      <c r="H36" s="67">
        <f>工程量计算数!K91</f>
        <v>65.8</v>
      </c>
      <c r="I36" s="67"/>
      <c r="J36" s="67">
        <f>综合单价分析!H383</f>
        <v>368.1780696</v>
      </c>
      <c r="K36" s="107">
        <f t="shared" ref="K36:K46" si="17">$K$3</f>
        <v>0.09</v>
      </c>
      <c r="L36" s="67">
        <f t="shared" si="10"/>
        <v>401.314095864</v>
      </c>
      <c r="M36" s="67">
        <f t="shared" si="11"/>
        <v>58094.2285172726</v>
      </c>
      <c r="N36" s="73">
        <f t="shared" si="12"/>
        <v>0</v>
      </c>
      <c r="O36" s="73">
        <f t="shared" si="13"/>
        <v>31687.7610094214</v>
      </c>
      <c r="P36" s="73">
        <f t="shared" si="14"/>
        <v>26406.4675078512</v>
      </c>
      <c r="Q36" s="73">
        <f t="shared" si="15"/>
        <v>0</v>
      </c>
    </row>
    <row r="37" customHeight="1" spans="1:17">
      <c r="A37" s="14">
        <v>34</v>
      </c>
      <c r="B37" s="13" t="s">
        <v>127</v>
      </c>
      <c r="C37" s="11" t="s">
        <v>128</v>
      </c>
      <c r="D37" s="12" t="s">
        <v>65</v>
      </c>
      <c r="E37" s="67">
        <f t="shared" si="16"/>
        <v>253.92</v>
      </c>
      <c r="F37" s="67">
        <f>工程量计算数!K33</f>
        <v>253.92</v>
      </c>
      <c r="G37" s="67"/>
      <c r="H37" s="67"/>
      <c r="I37" s="67"/>
      <c r="J37" s="67">
        <f>综合单价分析!H349</f>
        <v>754.025597568</v>
      </c>
      <c r="K37" s="107">
        <f t="shared" si="17"/>
        <v>0.09</v>
      </c>
      <c r="L37" s="67">
        <f t="shared" si="10"/>
        <v>821.88790134912</v>
      </c>
      <c r="M37" s="67">
        <f t="shared" si="11"/>
        <v>208693.775910569</v>
      </c>
      <c r="N37" s="73">
        <f t="shared" si="12"/>
        <v>208693.775910569</v>
      </c>
      <c r="O37" s="73">
        <f t="shared" si="13"/>
        <v>0</v>
      </c>
      <c r="P37" s="73">
        <f t="shared" si="14"/>
        <v>0</v>
      </c>
      <c r="Q37" s="73">
        <f t="shared" si="15"/>
        <v>0</v>
      </c>
    </row>
    <row r="38" customHeight="1" spans="1:17">
      <c r="A38" s="14">
        <v>35</v>
      </c>
      <c r="B38" s="13" t="s">
        <v>125</v>
      </c>
      <c r="C38" s="11" t="s">
        <v>129</v>
      </c>
      <c r="D38" s="12" t="s">
        <v>64</v>
      </c>
      <c r="E38" s="67">
        <f t="shared" si="16"/>
        <v>203.04</v>
      </c>
      <c r="F38" s="67"/>
      <c r="G38" s="67">
        <f>工程量计算数!K57</f>
        <v>109.98</v>
      </c>
      <c r="H38" s="67">
        <f>工程量计算数!K86</f>
        <v>93.06</v>
      </c>
      <c r="I38" s="67"/>
      <c r="J38" s="67">
        <f>综合单价分析!H383</f>
        <v>368.1780696</v>
      </c>
      <c r="K38" s="107">
        <f t="shared" si="17"/>
        <v>0.09</v>
      </c>
      <c r="L38" s="67">
        <f t="shared" si="10"/>
        <v>401.314095864</v>
      </c>
      <c r="M38" s="67">
        <f t="shared" si="11"/>
        <v>81482.8140242266</v>
      </c>
      <c r="N38" s="73">
        <f t="shared" si="12"/>
        <v>0</v>
      </c>
      <c r="O38" s="73">
        <f t="shared" si="13"/>
        <v>44136.5242631227</v>
      </c>
      <c r="P38" s="73">
        <f t="shared" si="14"/>
        <v>37346.2897611038</v>
      </c>
      <c r="Q38" s="73">
        <f t="shared" si="15"/>
        <v>0</v>
      </c>
    </row>
    <row r="39" customHeight="1" spans="1:17">
      <c r="A39" s="14">
        <v>36</v>
      </c>
      <c r="B39" s="13" t="s">
        <v>130</v>
      </c>
      <c r="C39" s="11" t="s">
        <v>131</v>
      </c>
      <c r="D39" s="12" t="s">
        <v>67</v>
      </c>
      <c r="E39" s="67">
        <f t="shared" si="16"/>
        <v>11.52</v>
      </c>
      <c r="F39" s="67"/>
      <c r="G39" s="67">
        <f>工程量计算数!K63</f>
        <v>5.76</v>
      </c>
      <c r="H39" s="67">
        <f>工程量计算数!K92</f>
        <v>5.76</v>
      </c>
      <c r="I39" s="67"/>
      <c r="J39" s="67">
        <f>综合单价分析!H418</f>
        <v>627.183740448</v>
      </c>
      <c r="K39" s="107">
        <f t="shared" si="17"/>
        <v>0.09</v>
      </c>
      <c r="L39" s="67">
        <f t="shared" si="10"/>
        <v>683.63027708832</v>
      </c>
      <c r="M39" s="67">
        <f t="shared" si="11"/>
        <v>7875.42079205745</v>
      </c>
      <c r="N39" s="73">
        <f t="shared" si="12"/>
        <v>0</v>
      </c>
      <c r="O39" s="73">
        <f t="shared" si="13"/>
        <v>3937.71039602872</v>
      </c>
      <c r="P39" s="73">
        <f t="shared" si="14"/>
        <v>3937.71039602872</v>
      </c>
      <c r="Q39" s="73">
        <f t="shared" si="15"/>
        <v>0</v>
      </c>
    </row>
    <row r="40" customHeight="1" spans="1:17">
      <c r="A40" s="14">
        <v>37</v>
      </c>
      <c r="B40" s="13" t="s">
        <v>132</v>
      </c>
      <c r="C40" s="11" t="s">
        <v>133</v>
      </c>
      <c r="D40" s="12" t="s">
        <v>69</v>
      </c>
      <c r="E40" s="67">
        <f t="shared" si="16"/>
        <v>84.6</v>
      </c>
      <c r="F40" s="67"/>
      <c r="G40" s="67">
        <f>工程量计算数!K59</f>
        <v>45.825</v>
      </c>
      <c r="H40" s="67">
        <f>工程量计算数!K88</f>
        <v>38.775</v>
      </c>
      <c r="I40" s="67"/>
      <c r="J40" s="67">
        <f>综合单价分析!H454</f>
        <v>314.7285888</v>
      </c>
      <c r="K40" s="107">
        <f t="shared" si="17"/>
        <v>0.09</v>
      </c>
      <c r="L40" s="67">
        <f t="shared" si="10"/>
        <v>343.054161792</v>
      </c>
      <c r="M40" s="67">
        <f t="shared" si="11"/>
        <v>29022.3820876032</v>
      </c>
      <c r="N40" s="73">
        <f t="shared" si="12"/>
        <v>0</v>
      </c>
      <c r="O40" s="73">
        <f t="shared" si="13"/>
        <v>15720.4569641184</v>
      </c>
      <c r="P40" s="73">
        <f t="shared" si="14"/>
        <v>13301.9251234848</v>
      </c>
      <c r="Q40" s="73">
        <f t="shared" si="15"/>
        <v>0</v>
      </c>
    </row>
    <row r="41" customHeight="1" spans="1:17">
      <c r="A41" s="14">
        <v>38</v>
      </c>
      <c r="B41" s="13" t="s">
        <v>132</v>
      </c>
      <c r="C41" s="11" t="s">
        <v>134</v>
      </c>
      <c r="D41" s="12" t="s">
        <v>69</v>
      </c>
      <c r="E41" s="67">
        <f t="shared" si="16"/>
        <v>588.8</v>
      </c>
      <c r="F41" s="67">
        <f>工程量计算数!K31</f>
        <v>588.8</v>
      </c>
      <c r="G41" s="67"/>
      <c r="H41" s="67"/>
      <c r="I41" s="67"/>
      <c r="J41" s="67">
        <f>J40</f>
        <v>314.7285888</v>
      </c>
      <c r="K41" s="107">
        <f t="shared" si="17"/>
        <v>0.09</v>
      </c>
      <c r="L41" s="67">
        <f t="shared" si="10"/>
        <v>343.054161792</v>
      </c>
      <c r="M41" s="67">
        <f t="shared" si="11"/>
        <v>201990.29046313</v>
      </c>
      <c r="N41" s="73">
        <f t="shared" si="12"/>
        <v>201990.29046313</v>
      </c>
      <c r="O41" s="73">
        <f t="shared" si="13"/>
        <v>0</v>
      </c>
      <c r="P41" s="73">
        <f t="shared" si="14"/>
        <v>0</v>
      </c>
      <c r="Q41" s="73">
        <f t="shared" si="15"/>
        <v>0</v>
      </c>
    </row>
    <row r="42" customHeight="1" spans="1:17">
      <c r="A42" s="14">
        <v>39</v>
      </c>
      <c r="B42" s="13" t="s">
        <v>132</v>
      </c>
      <c r="C42" s="11" t="s">
        <v>135</v>
      </c>
      <c r="D42" s="12" t="s">
        <v>69</v>
      </c>
      <c r="E42" s="67">
        <f t="shared" si="16"/>
        <v>90.24</v>
      </c>
      <c r="F42" s="67"/>
      <c r="G42" s="67">
        <f>工程量计算数!K60</f>
        <v>48.88</v>
      </c>
      <c r="H42" s="67">
        <f>工程量计算数!K89</f>
        <v>41.36</v>
      </c>
      <c r="I42" s="67"/>
      <c r="J42" s="67">
        <f>J41</f>
        <v>314.7285888</v>
      </c>
      <c r="K42" s="107">
        <f t="shared" si="17"/>
        <v>0.09</v>
      </c>
      <c r="L42" s="67">
        <f t="shared" si="10"/>
        <v>343.054161792</v>
      </c>
      <c r="M42" s="67">
        <f t="shared" si="11"/>
        <v>30957.2075601101</v>
      </c>
      <c r="N42" s="73">
        <f t="shared" si="12"/>
        <v>0</v>
      </c>
      <c r="O42" s="73">
        <f t="shared" si="13"/>
        <v>16768.487428393</v>
      </c>
      <c r="P42" s="73">
        <f t="shared" si="14"/>
        <v>14188.7201317171</v>
      </c>
      <c r="Q42" s="73">
        <f t="shared" si="15"/>
        <v>0</v>
      </c>
    </row>
    <row r="43" customHeight="1" spans="1:17">
      <c r="A43" s="14">
        <v>40</v>
      </c>
      <c r="B43" s="13" t="s">
        <v>132</v>
      </c>
      <c r="C43" s="11" t="s">
        <v>136</v>
      </c>
      <c r="D43" s="12" t="s">
        <v>69</v>
      </c>
      <c r="E43" s="67">
        <f t="shared" si="16"/>
        <v>812.16</v>
      </c>
      <c r="F43" s="67"/>
      <c r="G43" s="67">
        <f>工程量计算数!K61</f>
        <v>439.92</v>
      </c>
      <c r="H43" s="67">
        <f>工程量计算数!K90</f>
        <v>372.24</v>
      </c>
      <c r="I43" s="67"/>
      <c r="J43" s="67">
        <f>J42</f>
        <v>314.7285888</v>
      </c>
      <c r="K43" s="107">
        <f t="shared" si="17"/>
        <v>0.09</v>
      </c>
      <c r="L43" s="67">
        <f t="shared" si="10"/>
        <v>343.054161792</v>
      </c>
      <c r="M43" s="67">
        <f t="shared" si="11"/>
        <v>278614.868040991</v>
      </c>
      <c r="N43" s="73">
        <f t="shared" si="12"/>
        <v>0</v>
      </c>
      <c r="O43" s="73">
        <f t="shared" si="13"/>
        <v>150916.386855537</v>
      </c>
      <c r="P43" s="73">
        <f t="shared" si="14"/>
        <v>127698.481185454</v>
      </c>
      <c r="Q43" s="73">
        <f t="shared" si="15"/>
        <v>0</v>
      </c>
    </row>
    <row r="44" customHeight="1" spans="1:17">
      <c r="A44" s="14">
        <v>41</v>
      </c>
      <c r="B44" s="13" t="s">
        <v>132</v>
      </c>
      <c r="C44" s="11" t="s">
        <v>137</v>
      </c>
      <c r="D44" s="12" t="s">
        <v>70</v>
      </c>
      <c r="E44" s="67">
        <f t="shared" si="16"/>
        <v>879.06</v>
      </c>
      <c r="F44" s="67">
        <f>工程量计算数!K32</f>
        <v>879.06</v>
      </c>
      <c r="G44" s="67"/>
      <c r="H44" s="67"/>
      <c r="I44" s="67"/>
      <c r="J44" s="67">
        <f>J43</f>
        <v>314.7285888</v>
      </c>
      <c r="K44" s="107">
        <f t="shared" si="17"/>
        <v>0.09</v>
      </c>
      <c r="L44" s="67">
        <f t="shared" si="10"/>
        <v>343.054161792</v>
      </c>
      <c r="M44" s="67">
        <f t="shared" si="11"/>
        <v>301565.191464876</v>
      </c>
      <c r="N44" s="73">
        <f t="shared" si="12"/>
        <v>301565.191464876</v>
      </c>
      <c r="O44" s="73">
        <f t="shared" si="13"/>
        <v>0</v>
      </c>
      <c r="P44" s="73">
        <f t="shared" si="14"/>
        <v>0</v>
      </c>
      <c r="Q44" s="73">
        <f t="shared" si="15"/>
        <v>0</v>
      </c>
    </row>
    <row r="45" customHeight="1" spans="1:17">
      <c r="A45" s="14">
        <v>42</v>
      </c>
      <c r="B45" s="13" t="s">
        <v>132</v>
      </c>
      <c r="C45" s="11" t="s">
        <v>138</v>
      </c>
      <c r="D45" s="12" t="s">
        <v>70</v>
      </c>
      <c r="E45" s="67">
        <f t="shared" si="16"/>
        <v>203.04</v>
      </c>
      <c r="F45" s="67"/>
      <c r="G45" s="67">
        <f>工程量计算数!K58</f>
        <v>109.98</v>
      </c>
      <c r="H45" s="67">
        <f>工程量计算数!K87</f>
        <v>93.06</v>
      </c>
      <c r="I45" s="67"/>
      <c r="J45" s="67">
        <f>J44</f>
        <v>314.7285888</v>
      </c>
      <c r="K45" s="107">
        <f t="shared" si="17"/>
        <v>0.09</v>
      </c>
      <c r="L45" s="67">
        <f t="shared" si="10"/>
        <v>343.054161792</v>
      </c>
      <c r="M45" s="67">
        <f t="shared" si="11"/>
        <v>69653.7170102477</v>
      </c>
      <c r="N45" s="73">
        <f t="shared" si="12"/>
        <v>0</v>
      </c>
      <c r="O45" s="73">
        <f t="shared" si="13"/>
        <v>37729.0967138842</v>
      </c>
      <c r="P45" s="73">
        <f t="shared" si="14"/>
        <v>31924.6202963635</v>
      </c>
      <c r="Q45" s="73">
        <f t="shared" si="15"/>
        <v>0</v>
      </c>
    </row>
    <row r="46" s="47" customFormat="1" customHeight="1" spans="1:17">
      <c r="A46" s="14">
        <v>43</v>
      </c>
      <c r="B46" s="13" t="s">
        <v>139</v>
      </c>
      <c r="C46" s="11" t="s">
        <v>140</v>
      </c>
      <c r="D46" s="99" t="s">
        <v>141</v>
      </c>
      <c r="E46" s="67">
        <f t="shared" si="16"/>
        <v>595.455</v>
      </c>
      <c r="F46" s="67">
        <f>[2]工程量计算数!K83+[2]工程量计算数!K84+[2]工程量计算数!K85</f>
        <v>227.3</v>
      </c>
      <c r="G46" s="67">
        <f>[2]工程量计算数!K114+[2]工程量计算数!K115+[2]工程量计算数!K116</f>
        <v>183.135</v>
      </c>
      <c r="H46" s="67">
        <f>[2]工程量计算数!K225+[2]工程量计算数!K226+[2]工程量计算数!K227</f>
        <v>185.02</v>
      </c>
      <c r="I46" s="67"/>
      <c r="J46" s="67">
        <f>综合单价分析!H560</f>
        <v>710.26379712</v>
      </c>
      <c r="K46" s="107">
        <f t="shared" si="17"/>
        <v>0.09</v>
      </c>
      <c r="L46" s="67">
        <f t="shared" si="10"/>
        <v>774.1875388608</v>
      </c>
      <c r="M46" s="67">
        <f t="shared" si="11"/>
        <v>460993.840952358</v>
      </c>
      <c r="N46" s="73">
        <f t="shared" si="12"/>
        <v>175972.82758306</v>
      </c>
      <c r="O46" s="73">
        <f t="shared" si="13"/>
        <v>141780.834929273</v>
      </c>
      <c r="P46" s="73">
        <f t="shared" si="14"/>
        <v>143240.178440025</v>
      </c>
      <c r="Q46" s="73">
        <f t="shared" si="15"/>
        <v>0</v>
      </c>
    </row>
    <row r="47" customHeight="1" spans="1:17">
      <c r="A47" s="14">
        <v>44</v>
      </c>
      <c r="B47" s="100" t="s">
        <v>79</v>
      </c>
      <c r="C47" s="101"/>
      <c r="D47" s="101"/>
      <c r="E47" s="102">
        <f>SUM(E4:E46)</f>
        <v>7056.485</v>
      </c>
      <c r="F47" s="102">
        <f>SUM(F4:F46)</f>
        <v>3825.19</v>
      </c>
      <c r="G47" s="102">
        <f>SUM(G4:G46)</f>
        <v>1739.895</v>
      </c>
      <c r="H47" s="102">
        <f>SUM(H4:H46)</f>
        <v>1477.9</v>
      </c>
      <c r="I47" s="102">
        <f>SUM(I4:I46)</f>
        <v>13.5</v>
      </c>
      <c r="J47" s="102"/>
      <c r="K47" s="108"/>
      <c r="L47" s="102"/>
      <c r="M47" s="102">
        <f>SUM(M4:M46)</f>
        <v>3732868.37844559</v>
      </c>
      <c r="N47" s="102">
        <f>SUM(N4:N46)</f>
        <v>2106282.29910571</v>
      </c>
      <c r="O47" s="102">
        <f>SUM(O4:O46)</f>
        <v>870104.823233214</v>
      </c>
      <c r="P47" s="102">
        <f>SUM(P4:P46)</f>
        <v>748591.52460219</v>
      </c>
      <c r="Q47" s="102">
        <f>SUM(Q4:Q46)</f>
        <v>7889.73150448152</v>
      </c>
    </row>
  </sheetData>
  <mergeCells count="11">
    <mergeCell ref="A1:Q1"/>
    <mergeCell ref="F2:I2"/>
    <mergeCell ref="N2:Q2"/>
    <mergeCell ref="A2:A3"/>
    <mergeCell ref="B2:B3"/>
    <mergeCell ref="C2:C3"/>
    <mergeCell ref="D2:D3"/>
    <mergeCell ref="E2:E3"/>
    <mergeCell ref="J2:J3"/>
    <mergeCell ref="L2:L3"/>
    <mergeCell ref="M2:M3"/>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60"/>
  <sheetViews>
    <sheetView topLeftCell="A397" workbookViewId="0">
      <selection activeCell="B405" sqref="B405:G405"/>
    </sheetView>
  </sheetViews>
  <sheetFormatPr defaultColWidth="9" defaultRowHeight="20.1" customHeight="1"/>
  <cols>
    <col min="1" max="1" width="9.25" style="60" customWidth="1"/>
    <col min="2" max="2" width="8.25" style="60" customWidth="1"/>
    <col min="3" max="3" width="16.75" style="60" customWidth="1"/>
    <col min="4" max="4" width="7.25" style="60" customWidth="1"/>
    <col min="5" max="5" width="10.6333333333333" style="47" customWidth="1"/>
    <col min="6" max="6" width="7.25" style="60" customWidth="1"/>
    <col min="7" max="7" width="12.5" style="47" customWidth="1"/>
    <col min="8" max="8" width="11.25" style="47" customWidth="1"/>
    <col min="9" max="9" width="13" style="47" customWidth="1"/>
    <col min="10" max="16384" width="9" style="47"/>
  </cols>
  <sheetData>
    <row r="1" ht="24" customHeight="1" spans="1:9">
      <c r="A1" s="66" t="s">
        <v>142</v>
      </c>
      <c r="E1" s="60"/>
      <c r="G1" s="60"/>
      <c r="H1" s="60"/>
      <c r="I1" s="60"/>
    </row>
    <row r="3" customHeight="1" spans="1:9">
      <c r="A3" s="14" t="s">
        <v>143</v>
      </c>
      <c r="B3" s="14"/>
      <c r="C3" s="14"/>
      <c r="D3" s="14"/>
      <c r="E3" s="14" t="s">
        <v>144</v>
      </c>
      <c r="F3" s="14" t="s">
        <v>92</v>
      </c>
      <c r="G3" s="14"/>
      <c r="H3" s="14" t="s">
        <v>145</v>
      </c>
      <c r="I3" s="14"/>
    </row>
    <row r="4" customHeight="1" spans="1:9">
      <c r="A4" s="14" t="s">
        <v>82</v>
      </c>
      <c r="B4" s="14"/>
      <c r="C4" s="14"/>
      <c r="D4" s="14"/>
      <c r="E4" s="14" t="s">
        <v>146</v>
      </c>
      <c r="F4" s="14" t="str">
        <f>MID(F3,7,9)</f>
        <v>外平开窗</v>
      </c>
      <c r="G4" s="14"/>
      <c r="H4" s="14"/>
      <c r="I4" s="14"/>
    </row>
    <row r="5" customHeight="1" spans="1:9">
      <c r="A5" s="13" t="s">
        <v>147</v>
      </c>
      <c r="B5" s="14">
        <v>0</v>
      </c>
      <c r="C5" s="13" t="s">
        <v>148</v>
      </c>
      <c r="D5" s="14">
        <v>0</v>
      </c>
      <c r="E5" s="14" t="s">
        <v>149</v>
      </c>
      <c r="F5" s="67"/>
      <c r="G5" s="11" t="s">
        <v>150</v>
      </c>
      <c r="H5" s="14"/>
      <c r="I5" s="14"/>
    </row>
    <row r="6" customHeight="1" spans="1:9">
      <c r="A6" s="13"/>
      <c r="B6" s="14"/>
      <c r="C6" s="13"/>
      <c r="D6" s="14"/>
      <c r="E6" s="14"/>
      <c r="F6" s="67"/>
      <c r="G6" s="12" t="s">
        <v>151</v>
      </c>
      <c r="H6" s="14"/>
      <c r="I6" s="14"/>
    </row>
    <row r="7" customHeight="1" spans="1:9">
      <c r="A7" s="14" t="s">
        <v>38</v>
      </c>
      <c r="B7" s="14" t="s">
        <v>152</v>
      </c>
      <c r="C7" s="14"/>
      <c r="D7" s="14" t="s">
        <v>153</v>
      </c>
      <c r="E7" s="14" t="s">
        <v>154</v>
      </c>
      <c r="F7" s="14" t="s">
        <v>155</v>
      </c>
      <c r="G7" s="11" t="s">
        <v>156</v>
      </c>
      <c r="H7" s="11" t="s">
        <v>157</v>
      </c>
      <c r="I7" s="12" t="s">
        <v>158</v>
      </c>
    </row>
    <row r="8" customHeight="1" spans="1:9">
      <c r="A8" s="68">
        <v>1</v>
      </c>
      <c r="B8" s="68" t="s">
        <v>159</v>
      </c>
      <c r="C8" s="68"/>
      <c r="D8" s="68"/>
      <c r="E8" s="68"/>
      <c r="F8" s="68"/>
      <c r="G8" s="68"/>
      <c r="H8" s="69">
        <f>SUM(H9:H10)</f>
        <v>165.3112015</v>
      </c>
      <c r="I8" s="86"/>
    </row>
    <row r="9" customHeight="1" spans="1:9">
      <c r="A9" s="14">
        <v>1.1</v>
      </c>
      <c r="B9" s="70" t="s">
        <v>160</v>
      </c>
      <c r="C9" s="71"/>
      <c r="D9" s="14" t="s">
        <v>161</v>
      </c>
      <c r="E9" s="67">
        <v>5.03</v>
      </c>
      <c r="F9" s="72">
        <v>0.07</v>
      </c>
      <c r="G9" s="73">
        <f>主要材料品牌单价!E$5/1000</f>
        <v>26.8</v>
      </c>
      <c r="H9" s="73">
        <f t="shared" ref="H9:H12" si="0">E9*(1+F9)*G9</f>
        <v>144.24028</v>
      </c>
      <c r="I9" s="11"/>
    </row>
    <row r="10" customHeight="1" spans="1:9">
      <c r="A10" s="14">
        <v>1.2</v>
      </c>
      <c r="B10" s="14" t="s">
        <v>162</v>
      </c>
      <c r="C10" s="14"/>
      <c r="D10" s="14" t="s">
        <v>161</v>
      </c>
      <c r="E10" s="67">
        <f>E9*0.15</f>
        <v>0.7545</v>
      </c>
      <c r="F10" s="72">
        <v>0.07</v>
      </c>
      <c r="G10" s="73">
        <f>(主要材料品牌单价!E$6-1000)/1000</f>
        <v>26.1</v>
      </c>
      <c r="H10" s="73">
        <f t="shared" si="0"/>
        <v>21.0709215</v>
      </c>
      <c r="I10" s="11"/>
    </row>
    <row r="11" customHeight="1" spans="1:9">
      <c r="A11" s="68">
        <v>2</v>
      </c>
      <c r="B11" s="68" t="s">
        <v>163</v>
      </c>
      <c r="C11" s="68"/>
      <c r="D11" s="68"/>
      <c r="E11" s="68"/>
      <c r="F11" s="68"/>
      <c r="G11" s="68"/>
      <c r="H11" s="74">
        <f>H12</f>
        <v>86.9004</v>
      </c>
      <c r="I11" s="86"/>
    </row>
    <row r="12" customHeight="1" spans="1:9">
      <c r="A12" s="14">
        <v>2.1</v>
      </c>
      <c r="B12" s="14" t="s">
        <v>164</v>
      </c>
      <c r="C12" s="14"/>
      <c r="D12" s="14" t="s">
        <v>165</v>
      </c>
      <c r="E12" s="73">
        <v>1.2</v>
      </c>
      <c r="F12" s="72">
        <v>0.01</v>
      </c>
      <c r="G12" s="73">
        <f>主要材料品牌单价!E$17</f>
        <v>71.7</v>
      </c>
      <c r="H12" s="73">
        <f>E12*(1+F12)*G12</f>
        <v>86.9004</v>
      </c>
      <c r="I12" s="11"/>
    </row>
    <row r="13" customHeight="1" spans="1:9">
      <c r="A13" s="68">
        <v>3</v>
      </c>
      <c r="B13" s="68" t="s">
        <v>166</v>
      </c>
      <c r="C13" s="68"/>
      <c r="D13" s="68"/>
      <c r="E13" s="68"/>
      <c r="F13" s="68"/>
      <c r="G13" s="68"/>
      <c r="H13" s="74">
        <f>SUM(H14:H14)</f>
        <v>43.3296</v>
      </c>
      <c r="I13" s="86"/>
    </row>
    <row r="14" customHeight="1" spans="1:9">
      <c r="A14" s="14">
        <v>3.1</v>
      </c>
      <c r="B14" s="14" t="s">
        <v>167</v>
      </c>
      <c r="C14" s="14"/>
      <c r="D14" s="14" t="s">
        <v>168</v>
      </c>
      <c r="E14" s="73">
        <v>0.9</v>
      </c>
      <c r="F14" s="72">
        <v>0.003</v>
      </c>
      <c r="G14" s="11">
        <f>主要材料品牌单价!E$29</f>
        <v>48</v>
      </c>
      <c r="H14" s="73">
        <f>E14*(1+F14)*G14</f>
        <v>43.3296</v>
      </c>
      <c r="I14" s="11"/>
    </row>
    <row r="15" customHeight="1" spans="1:9">
      <c r="A15" s="68">
        <v>4</v>
      </c>
      <c r="B15" s="68" t="s">
        <v>169</v>
      </c>
      <c r="C15" s="68"/>
      <c r="D15" s="68"/>
      <c r="E15" s="68"/>
      <c r="F15" s="68"/>
      <c r="G15" s="68"/>
      <c r="H15" s="69">
        <f>SUM(H16:H20)</f>
        <v>29.45</v>
      </c>
      <c r="I15" s="86" t="s">
        <v>170</v>
      </c>
    </row>
    <row r="16" customHeight="1" spans="1:9">
      <c r="A16" s="75">
        <v>4.1</v>
      </c>
      <c r="B16" s="14" t="s">
        <v>171</v>
      </c>
      <c r="C16" s="14"/>
      <c r="D16" s="14" t="s">
        <v>172</v>
      </c>
      <c r="E16" s="75">
        <v>0.5</v>
      </c>
      <c r="F16" s="75"/>
      <c r="G16" s="75">
        <f>主要材料品牌单价!E$44</f>
        <v>11.5</v>
      </c>
      <c r="H16" s="73">
        <f t="shared" ref="H16:H20" si="1">E16*(1+F16)*G16</f>
        <v>5.75</v>
      </c>
      <c r="I16" s="11"/>
    </row>
    <row r="17" customHeight="1" spans="1:9">
      <c r="A17" s="75">
        <v>4.2</v>
      </c>
      <c r="B17" s="70" t="s">
        <v>173</v>
      </c>
      <c r="C17" s="71"/>
      <c r="D17" s="14" t="s">
        <v>172</v>
      </c>
      <c r="E17" s="76">
        <v>0.8</v>
      </c>
      <c r="F17" s="75"/>
      <c r="G17" s="75">
        <f>主要材料品牌单价!E$43</f>
        <v>11.5</v>
      </c>
      <c r="H17" s="73">
        <f t="shared" si="1"/>
        <v>9.2</v>
      </c>
      <c r="I17" s="11"/>
    </row>
    <row r="18" customHeight="1" spans="1:9">
      <c r="A18" s="75">
        <v>4.3</v>
      </c>
      <c r="B18" s="70" t="s">
        <v>174</v>
      </c>
      <c r="C18" s="71"/>
      <c r="D18" s="14" t="s">
        <v>172</v>
      </c>
      <c r="E18" s="76">
        <v>0.2</v>
      </c>
      <c r="F18" s="75"/>
      <c r="G18" s="75">
        <f>主要材料品牌单价!E$45</f>
        <v>13.5</v>
      </c>
      <c r="H18" s="73">
        <f t="shared" si="1"/>
        <v>2.7</v>
      </c>
      <c r="I18" s="11"/>
    </row>
    <row r="19" customHeight="1" spans="1:9">
      <c r="A19" s="75">
        <v>4.4</v>
      </c>
      <c r="B19" s="77" t="s">
        <v>175</v>
      </c>
      <c r="C19" s="78"/>
      <c r="D19" s="14" t="s">
        <v>172</v>
      </c>
      <c r="E19" s="67">
        <v>0.1</v>
      </c>
      <c r="F19" s="14"/>
      <c r="G19" s="75">
        <f>主要材料品牌单价!E$46</f>
        <v>18</v>
      </c>
      <c r="H19" s="73">
        <f t="shared" si="1"/>
        <v>1.8</v>
      </c>
      <c r="I19" s="11"/>
    </row>
    <row r="20" customHeight="1" spans="1:9">
      <c r="A20" s="75">
        <v>4.5</v>
      </c>
      <c r="B20" s="79" t="s">
        <v>176</v>
      </c>
      <c r="C20" s="79"/>
      <c r="D20" s="14" t="s">
        <v>177</v>
      </c>
      <c r="E20" s="67">
        <v>1</v>
      </c>
      <c r="F20" s="14"/>
      <c r="G20" s="75">
        <v>10</v>
      </c>
      <c r="H20" s="73">
        <f t="shared" si="1"/>
        <v>10</v>
      </c>
      <c r="I20" s="11"/>
    </row>
    <row r="21" customHeight="1" spans="1:9">
      <c r="A21" s="68">
        <v>5</v>
      </c>
      <c r="B21" s="68" t="s">
        <v>178</v>
      </c>
      <c r="C21" s="68"/>
      <c r="D21" s="68"/>
      <c r="E21" s="68"/>
      <c r="F21" s="68"/>
      <c r="G21" s="68"/>
      <c r="H21" s="69">
        <f>SUM(H22:H24)</f>
        <v>7.6</v>
      </c>
      <c r="I21" s="86" t="s">
        <v>170</v>
      </c>
    </row>
    <row r="22" customHeight="1" spans="1:9">
      <c r="A22" s="75">
        <v>5.1</v>
      </c>
      <c r="B22" s="14" t="s">
        <v>179</v>
      </c>
      <c r="C22" s="14"/>
      <c r="D22" s="14" t="s">
        <v>180</v>
      </c>
      <c r="E22" s="76">
        <v>0.2</v>
      </c>
      <c r="F22" s="75"/>
      <c r="G22" s="75">
        <f>主要材料品牌单价!E48</f>
        <v>13</v>
      </c>
      <c r="H22" s="73">
        <f>E22*(1+F22)*G22</f>
        <v>2.6</v>
      </c>
      <c r="I22" s="11"/>
    </row>
    <row r="23" customHeight="1" spans="1:9">
      <c r="A23" s="75">
        <v>5.2</v>
      </c>
      <c r="B23" s="70" t="s">
        <v>181</v>
      </c>
      <c r="C23" s="71"/>
      <c r="D23" s="14" t="s">
        <v>177</v>
      </c>
      <c r="E23" s="76">
        <v>0</v>
      </c>
      <c r="F23" s="75"/>
      <c r="G23" s="75"/>
      <c r="H23" s="73">
        <f>E23*(1+F23)*G23</f>
        <v>0</v>
      </c>
      <c r="I23" s="11"/>
    </row>
    <row r="24" customHeight="1" spans="1:9">
      <c r="A24" s="75">
        <v>5.3</v>
      </c>
      <c r="B24" s="80" t="s">
        <v>182</v>
      </c>
      <c r="C24" s="81"/>
      <c r="D24" s="82" t="s">
        <v>168</v>
      </c>
      <c r="E24" s="67">
        <v>5</v>
      </c>
      <c r="F24" s="14"/>
      <c r="G24" s="75"/>
      <c r="H24" s="73">
        <f>E24</f>
        <v>5</v>
      </c>
      <c r="I24" s="11" t="s">
        <v>170</v>
      </c>
    </row>
    <row r="25" customHeight="1" spans="1:9">
      <c r="A25" s="83">
        <v>6</v>
      </c>
      <c r="B25" s="82" t="s">
        <v>183</v>
      </c>
      <c r="C25" s="82"/>
      <c r="D25" s="82" t="s">
        <v>168</v>
      </c>
      <c r="E25" s="82">
        <v>1</v>
      </c>
      <c r="F25" s="68">
        <v>0</v>
      </c>
      <c r="G25" s="75">
        <v>30</v>
      </c>
      <c r="H25" s="69">
        <f>E25*(1+F25)*G25</f>
        <v>30</v>
      </c>
      <c r="I25" s="86" t="s">
        <v>170</v>
      </c>
    </row>
    <row r="26" customHeight="1" spans="1:9">
      <c r="A26" s="68">
        <v>7</v>
      </c>
      <c r="B26" s="84" t="s">
        <v>184</v>
      </c>
      <c r="C26" s="85"/>
      <c r="D26" s="82" t="s">
        <v>168</v>
      </c>
      <c r="E26" s="82">
        <v>1</v>
      </c>
      <c r="F26" s="68">
        <v>0</v>
      </c>
      <c r="G26" s="75">
        <v>45</v>
      </c>
      <c r="H26" s="69">
        <f t="shared" ref="H25:H31" si="2">E26*(1+F26)*G26</f>
        <v>45</v>
      </c>
      <c r="I26" s="86" t="s">
        <v>170</v>
      </c>
    </row>
    <row r="27" customHeight="1" spans="1:9">
      <c r="A27" s="68">
        <v>8</v>
      </c>
      <c r="B27" s="82" t="s">
        <v>185</v>
      </c>
      <c r="C27" s="82"/>
      <c r="D27" s="82" t="s">
        <v>168</v>
      </c>
      <c r="E27" s="82">
        <v>1</v>
      </c>
      <c r="F27" s="68">
        <v>0</v>
      </c>
      <c r="G27" s="75">
        <v>3</v>
      </c>
      <c r="H27" s="69">
        <f t="shared" si="2"/>
        <v>3</v>
      </c>
      <c r="I27" s="86" t="s">
        <v>170</v>
      </c>
    </row>
    <row r="28" customHeight="1" spans="1:9">
      <c r="A28" s="82">
        <v>9</v>
      </c>
      <c r="B28" s="82" t="s">
        <v>186</v>
      </c>
      <c r="C28" s="82"/>
      <c r="D28" s="82" t="s">
        <v>168</v>
      </c>
      <c r="E28" s="82">
        <v>1</v>
      </c>
      <c r="F28" s="82">
        <v>0</v>
      </c>
      <c r="G28" s="75">
        <v>0.5</v>
      </c>
      <c r="H28" s="69">
        <f t="shared" si="2"/>
        <v>0.5</v>
      </c>
      <c r="I28" s="86" t="s">
        <v>170</v>
      </c>
    </row>
    <row r="29" customHeight="1" spans="1:9">
      <c r="A29" s="82">
        <v>10</v>
      </c>
      <c r="B29" s="82" t="s">
        <v>187</v>
      </c>
      <c r="C29" s="82"/>
      <c r="D29" s="82" t="s">
        <v>168</v>
      </c>
      <c r="E29" s="82">
        <v>1</v>
      </c>
      <c r="F29" s="82">
        <v>0</v>
      </c>
      <c r="G29" s="75">
        <v>0.5</v>
      </c>
      <c r="H29" s="69">
        <f t="shared" si="2"/>
        <v>0.5</v>
      </c>
      <c r="I29" s="86" t="s">
        <v>170</v>
      </c>
    </row>
    <row r="30" customHeight="1" spans="1:9">
      <c r="A30" s="82">
        <v>11</v>
      </c>
      <c r="B30" s="84" t="s">
        <v>188</v>
      </c>
      <c r="C30" s="85"/>
      <c r="D30" s="82" t="s">
        <v>168</v>
      </c>
      <c r="E30" s="82">
        <v>1</v>
      </c>
      <c r="F30" s="82">
        <v>0</v>
      </c>
      <c r="G30" s="75">
        <v>1</v>
      </c>
      <c r="H30" s="69">
        <f t="shared" si="2"/>
        <v>1</v>
      </c>
      <c r="I30" s="86" t="s">
        <v>170</v>
      </c>
    </row>
    <row r="31" customHeight="1" spans="1:9">
      <c r="A31" s="82">
        <v>12</v>
      </c>
      <c r="B31" s="82" t="s">
        <v>189</v>
      </c>
      <c r="C31" s="82"/>
      <c r="D31" s="82" t="s">
        <v>168</v>
      </c>
      <c r="E31" s="82">
        <v>1</v>
      </c>
      <c r="F31" s="82">
        <v>0</v>
      </c>
      <c r="G31" s="75">
        <v>0.5</v>
      </c>
      <c r="H31" s="69">
        <f t="shared" si="2"/>
        <v>0.5</v>
      </c>
      <c r="I31" s="86" t="s">
        <v>170</v>
      </c>
    </row>
    <row r="32" customHeight="1" spans="1:9">
      <c r="A32" s="82">
        <v>13</v>
      </c>
      <c r="B32" s="84" t="s">
        <v>190</v>
      </c>
      <c r="C32" s="85"/>
      <c r="D32" s="82" t="s">
        <v>6</v>
      </c>
      <c r="E32" s="84" t="s">
        <v>191</v>
      </c>
      <c r="F32" s="85"/>
      <c r="G32" s="86"/>
      <c r="H32" s="69">
        <f>H8+H11+H15+H21+H25+H26+H27+H28+H29+H31+H30+H13</f>
        <v>413.0912015</v>
      </c>
      <c r="I32" s="89" t="s">
        <v>192</v>
      </c>
    </row>
    <row r="33" customHeight="1" spans="1:9">
      <c r="A33" s="82">
        <v>14</v>
      </c>
      <c r="B33" s="84" t="s">
        <v>193</v>
      </c>
      <c r="C33" s="85"/>
      <c r="D33" s="82" t="s">
        <v>6</v>
      </c>
      <c r="E33" s="84" t="s">
        <v>194</v>
      </c>
      <c r="F33" s="85"/>
      <c r="G33" s="87">
        <v>0.08</v>
      </c>
      <c r="H33" s="69">
        <f>H32*(G33)</f>
        <v>33.04729612</v>
      </c>
      <c r="I33" s="90"/>
    </row>
    <row r="34" customHeight="1" spans="1:9">
      <c r="A34" s="82">
        <v>15</v>
      </c>
      <c r="B34" s="84" t="s">
        <v>195</v>
      </c>
      <c r="C34" s="85"/>
      <c r="D34" s="82" t="s">
        <v>6</v>
      </c>
      <c r="E34" s="84" t="s">
        <v>196</v>
      </c>
      <c r="F34" s="85"/>
      <c r="G34" s="86"/>
      <c r="H34" s="69">
        <f>H32+H33</f>
        <v>446.13849762</v>
      </c>
      <c r="I34" s="91">
        <f>H34</f>
        <v>446.13849762</v>
      </c>
    </row>
    <row r="36" customHeight="1" spans="1:9">
      <c r="A36" s="14" t="s">
        <v>143</v>
      </c>
      <c r="B36" s="88"/>
      <c r="C36" s="88"/>
      <c r="D36" s="88"/>
      <c r="E36" s="14" t="s">
        <v>144</v>
      </c>
      <c r="F36" s="14" t="s">
        <v>99</v>
      </c>
      <c r="G36" s="14"/>
      <c r="H36" s="14" t="s">
        <v>145</v>
      </c>
      <c r="I36" s="14"/>
    </row>
    <row r="37" customHeight="1" spans="1:9">
      <c r="A37" s="14" t="s">
        <v>82</v>
      </c>
      <c r="B37" s="14" t="str">
        <f>工程量清单清单!C10</f>
        <v>900*1400</v>
      </c>
      <c r="C37" s="14"/>
      <c r="D37" s="14"/>
      <c r="E37" s="14" t="s">
        <v>146</v>
      </c>
      <c r="F37" s="14" t="str">
        <f>MID(F36,7,9)</f>
        <v>固定</v>
      </c>
      <c r="G37" s="14"/>
      <c r="H37" s="14"/>
      <c r="I37" s="14"/>
    </row>
    <row r="38" customHeight="1" spans="1:9">
      <c r="A38" s="13" t="s">
        <v>147</v>
      </c>
      <c r="B38" s="14">
        <v>900</v>
      </c>
      <c r="C38" s="13" t="s">
        <v>148</v>
      </c>
      <c r="D38" s="14">
        <v>1400</v>
      </c>
      <c r="E38" s="14" t="s">
        <v>149</v>
      </c>
      <c r="F38" s="67"/>
      <c r="G38" s="11" t="s">
        <v>150</v>
      </c>
      <c r="H38" s="14"/>
      <c r="I38" s="14"/>
    </row>
    <row r="39" customHeight="1" spans="1:9">
      <c r="A39" s="13"/>
      <c r="B39" s="14"/>
      <c r="C39" s="13"/>
      <c r="D39" s="14"/>
      <c r="E39" s="14"/>
      <c r="F39" s="67"/>
      <c r="G39" s="12" t="s">
        <v>151</v>
      </c>
      <c r="H39" s="14"/>
      <c r="I39" s="14"/>
    </row>
    <row r="40" customHeight="1" spans="1:9">
      <c r="A40" s="14" t="s">
        <v>38</v>
      </c>
      <c r="B40" s="14" t="s">
        <v>152</v>
      </c>
      <c r="C40" s="14"/>
      <c r="D40" s="14" t="s">
        <v>153</v>
      </c>
      <c r="E40" s="14" t="s">
        <v>154</v>
      </c>
      <c r="F40" s="14" t="s">
        <v>155</v>
      </c>
      <c r="G40" s="11" t="s">
        <v>156</v>
      </c>
      <c r="H40" s="11" t="s">
        <v>157</v>
      </c>
      <c r="I40" s="12" t="s">
        <v>158</v>
      </c>
    </row>
    <row r="41" customHeight="1" spans="1:9">
      <c r="A41" s="68">
        <v>1</v>
      </c>
      <c r="B41" s="68" t="s">
        <v>159</v>
      </c>
      <c r="C41" s="68"/>
      <c r="D41" s="68"/>
      <c r="E41" s="68"/>
      <c r="F41" s="68"/>
      <c r="G41" s="68"/>
      <c r="H41" s="69">
        <f>SUM(H42:H43)</f>
        <v>188.9740375</v>
      </c>
      <c r="I41" s="86"/>
    </row>
    <row r="42" customHeight="1" spans="1:9">
      <c r="A42" s="14">
        <v>1.1</v>
      </c>
      <c r="B42" s="70" t="s">
        <v>160</v>
      </c>
      <c r="C42" s="71"/>
      <c r="D42" s="14" t="s">
        <v>161</v>
      </c>
      <c r="E42" s="67">
        <v>5.75</v>
      </c>
      <c r="F42" s="72">
        <v>0.07</v>
      </c>
      <c r="G42" s="73">
        <f>主要材料品牌单价!E$5/1000</f>
        <v>26.8</v>
      </c>
      <c r="H42" s="73">
        <f t="shared" ref="H42:H45" si="3">E42*(1+F42)*G42</f>
        <v>164.887</v>
      </c>
      <c r="I42" s="11"/>
    </row>
    <row r="43" customHeight="1" spans="1:9">
      <c r="A43" s="14">
        <v>1.2</v>
      </c>
      <c r="B43" s="14" t="s">
        <v>162</v>
      </c>
      <c r="C43" s="14"/>
      <c r="D43" s="14" t="s">
        <v>161</v>
      </c>
      <c r="E43" s="67">
        <f>E42*0.15</f>
        <v>0.8625</v>
      </c>
      <c r="F43" s="72">
        <v>0.07</v>
      </c>
      <c r="G43" s="73">
        <f>(主要材料品牌单价!E$6-1000)/1000</f>
        <v>26.1</v>
      </c>
      <c r="H43" s="73">
        <f t="shared" si="3"/>
        <v>24.0870375</v>
      </c>
      <c r="I43" s="11"/>
    </row>
    <row r="44" customHeight="1" spans="1:9">
      <c r="A44" s="68">
        <v>2</v>
      </c>
      <c r="B44" s="68" t="s">
        <v>163</v>
      </c>
      <c r="C44" s="68"/>
      <c r="D44" s="68"/>
      <c r="E44" s="68"/>
      <c r="F44" s="68"/>
      <c r="G44" s="68"/>
      <c r="H44" s="74">
        <f>H45</f>
        <v>0</v>
      </c>
      <c r="I44" s="86"/>
    </row>
    <row r="45" customHeight="1" spans="1:9">
      <c r="A45" s="14">
        <v>2.1</v>
      </c>
      <c r="B45" s="14" t="s">
        <v>164</v>
      </c>
      <c r="C45" s="14"/>
      <c r="D45" s="14" t="s">
        <v>165</v>
      </c>
      <c r="E45" s="73">
        <v>0</v>
      </c>
      <c r="F45" s="72">
        <v>0.01</v>
      </c>
      <c r="G45" s="73">
        <v>0</v>
      </c>
      <c r="H45" s="73">
        <f t="shared" si="3"/>
        <v>0</v>
      </c>
      <c r="I45" s="11"/>
    </row>
    <row r="46" customHeight="1" spans="1:9">
      <c r="A46" s="68">
        <v>3</v>
      </c>
      <c r="B46" s="68" t="s">
        <v>166</v>
      </c>
      <c r="C46" s="68"/>
      <c r="D46" s="68"/>
      <c r="E46" s="68"/>
      <c r="F46" s="68"/>
      <c r="G46" s="68"/>
      <c r="H46" s="74">
        <f>SUM(H47:H47)</f>
        <v>43.3296</v>
      </c>
      <c r="I46" s="86"/>
    </row>
    <row r="47" customHeight="1" spans="1:9">
      <c r="A47" s="14">
        <v>3.1</v>
      </c>
      <c r="B47" s="14" t="s">
        <v>167</v>
      </c>
      <c r="C47" s="14"/>
      <c r="D47" s="14" t="s">
        <v>168</v>
      </c>
      <c r="E47" s="73">
        <v>0.9</v>
      </c>
      <c r="F47" s="72">
        <v>0.003</v>
      </c>
      <c r="G47" s="11">
        <f>主要材料品牌单价!E$29</f>
        <v>48</v>
      </c>
      <c r="H47" s="73">
        <f t="shared" ref="H47:H53" si="4">E47*(1+F47)*G47</f>
        <v>43.3296</v>
      </c>
      <c r="I47" s="11"/>
    </row>
    <row r="48" customHeight="1" spans="1:9">
      <c r="A48" s="68">
        <v>4</v>
      </c>
      <c r="B48" s="68" t="s">
        <v>169</v>
      </c>
      <c r="C48" s="68"/>
      <c r="D48" s="68"/>
      <c r="E48" s="68"/>
      <c r="F48" s="68"/>
      <c r="G48" s="68"/>
      <c r="H48" s="69">
        <f>SUM(H49:H53)</f>
        <v>29.45</v>
      </c>
      <c r="I48" s="86" t="s">
        <v>170</v>
      </c>
    </row>
    <row r="49" customHeight="1" spans="1:9">
      <c r="A49" s="75">
        <v>4.1</v>
      </c>
      <c r="B49" s="14" t="s">
        <v>171</v>
      </c>
      <c r="C49" s="14"/>
      <c r="D49" s="14" t="s">
        <v>172</v>
      </c>
      <c r="E49" s="75">
        <v>0.5</v>
      </c>
      <c r="F49" s="75"/>
      <c r="G49" s="75">
        <f>主要材料品牌单价!E$44</f>
        <v>11.5</v>
      </c>
      <c r="H49" s="73">
        <f t="shared" si="4"/>
        <v>5.75</v>
      </c>
      <c r="I49" s="11"/>
    </row>
    <row r="50" customHeight="1" spans="1:9">
      <c r="A50" s="75">
        <v>4.2</v>
      </c>
      <c r="B50" s="70" t="s">
        <v>173</v>
      </c>
      <c r="C50" s="71"/>
      <c r="D50" s="14" t="s">
        <v>172</v>
      </c>
      <c r="E50" s="76">
        <v>0.8</v>
      </c>
      <c r="F50" s="75"/>
      <c r="G50" s="75">
        <f>主要材料品牌单价!E$43</f>
        <v>11.5</v>
      </c>
      <c r="H50" s="73">
        <f t="shared" si="4"/>
        <v>9.2</v>
      </c>
      <c r="I50" s="11"/>
    </row>
    <row r="51" customHeight="1" spans="1:9">
      <c r="A51" s="75">
        <v>4.3</v>
      </c>
      <c r="B51" s="70" t="s">
        <v>174</v>
      </c>
      <c r="C51" s="71"/>
      <c r="D51" s="14" t="s">
        <v>172</v>
      </c>
      <c r="E51" s="76">
        <v>0.2</v>
      </c>
      <c r="F51" s="75"/>
      <c r="G51" s="75">
        <f>主要材料品牌单价!E$45</f>
        <v>13.5</v>
      </c>
      <c r="H51" s="73">
        <f t="shared" si="4"/>
        <v>2.7</v>
      </c>
      <c r="I51" s="11"/>
    </row>
    <row r="52" customHeight="1" spans="1:9">
      <c r="A52" s="75">
        <v>4.4</v>
      </c>
      <c r="B52" s="77" t="s">
        <v>175</v>
      </c>
      <c r="C52" s="78"/>
      <c r="D52" s="14" t="s">
        <v>172</v>
      </c>
      <c r="E52" s="67">
        <v>0.1</v>
      </c>
      <c r="F52" s="14"/>
      <c r="G52" s="75">
        <f>主要材料品牌单价!E$46</f>
        <v>18</v>
      </c>
      <c r="H52" s="73">
        <f t="shared" si="4"/>
        <v>1.8</v>
      </c>
      <c r="I52" s="11"/>
    </row>
    <row r="53" customHeight="1" spans="1:9">
      <c r="A53" s="75">
        <v>4.5</v>
      </c>
      <c r="B53" s="79" t="s">
        <v>176</v>
      </c>
      <c r="C53" s="79"/>
      <c r="D53" s="14" t="s">
        <v>177</v>
      </c>
      <c r="E53" s="67">
        <v>1</v>
      </c>
      <c r="F53" s="14"/>
      <c r="G53" s="75">
        <v>10</v>
      </c>
      <c r="H53" s="73">
        <f t="shared" si="4"/>
        <v>10</v>
      </c>
      <c r="I53" s="11"/>
    </row>
    <row r="54" customHeight="1" spans="1:9">
      <c r="A54" s="68">
        <v>5</v>
      </c>
      <c r="B54" s="68" t="s">
        <v>178</v>
      </c>
      <c r="C54" s="68"/>
      <c r="D54" s="68"/>
      <c r="E54" s="68"/>
      <c r="F54" s="68"/>
      <c r="G54" s="68"/>
      <c r="H54" s="69">
        <f>SUM(H55:H57)</f>
        <v>5</v>
      </c>
      <c r="I54" s="86" t="s">
        <v>170</v>
      </c>
    </row>
    <row r="55" customHeight="1" spans="1:9">
      <c r="A55" s="75">
        <v>5.1</v>
      </c>
      <c r="B55" s="14" t="s">
        <v>179</v>
      </c>
      <c r="C55" s="14"/>
      <c r="D55" s="14" t="s">
        <v>180</v>
      </c>
      <c r="E55" s="76">
        <v>0</v>
      </c>
      <c r="F55" s="75"/>
      <c r="G55" s="75"/>
      <c r="H55" s="73">
        <f t="shared" ref="H55:H64" si="5">E55*(1+F55)*G55</f>
        <v>0</v>
      </c>
      <c r="I55" s="11"/>
    </row>
    <row r="56" customHeight="1" spans="1:9">
      <c r="A56" s="75">
        <v>5.2</v>
      </c>
      <c r="B56" s="70" t="s">
        <v>181</v>
      </c>
      <c r="C56" s="71"/>
      <c r="D56" s="14" t="s">
        <v>177</v>
      </c>
      <c r="E56" s="76">
        <v>0</v>
      </c>
      <c r="F56" s="75"/>
      <c r="G56" s="75"/>
      <c r="H56" s="73">
        <f t="shared" si="5"/>
        <v>0</v>
      </c>
      <c r="I56" s="11"/>
    </row>
    <row r="57" customHeight="1" spans="1:9">
      <c r="A57" s="75">
        <v>5.3</v>
      </c>
      <c r="B57" s="80" t="s">
        <v>182</v>
      </c>
      <c r="C57" s="81"/>
      <c r="D57" s="82" t="s">
        <v>168</v>
      </c>
      <c r="E57" s="67">
        <v>5</v>
      </c>
      <c r="F57" s="14"/>
      <c r="G57" s="75"/>
      <c r="H57" s="73">
        <v>5</v>
      </c>
      <c r="I57" s="11" t="s">
        <v>170</v>
      </c>
    </row>
    <row r="58" customHeight="1" spans="1:9">
      <c r="A58" s="83">
        <v>6</v>
      </c>
      <c r="B58" s="82" t="s">
        <v>183</v>
      </c>
      <c r="C58" s="82"/>
      <c r="D58" s="82" t="s">
        <v>168</v>
      </c>
      <c r="E58" s="82">
        <v>1</v>
      </c>
      <c r="F58" s="68">
        <v>0</v>
      </c>
      <c r="G58" s="75">
        <v>25</v>
      </c>
      <c r="H58" s="69">
        <f t="shared" si="5"/>
        <v>25</v>
      </c>
      <c r="I58" s="86" t="s">
        <v>170</v>
      </c>
    </row>
    <row r="59" customHeight="1" spans="1:9">
      <c r="A59" s="68">
        <v>7</v>
      </c>
      <c r="B59" s="84" t="s">
        <v>184</v>
      </c>
      <c r="C59" s="85"/>
      <c r="D59" s="82" t="s">
        <v>168</v>
      </c>
      <c r="E59" s="82">
        <v>1</v>
      </c>
      <c r="F59" s="68">
        <v>0</v>
      </c>
      <c r="G59" s="75">
        <v>45</v>
      </c>
      <c r="H59" s="69">
        <f t="shared" si="5"/>
        <v>45</v>
      </c>
      <c r="I59" s="86" t="s">
        <v>170</v>
      </c>
    </row>
    <row r="60" customHeight="1" spans="1:9">
      <c r="A60" s="68">
        <v>8</v>
      </c>
      <c r="B60" s="82" t="s">
        <v>185</v>
      </c>
      <c r="C60" s="82"/>
      <c r="D60" s="82" t="s">
        <v>168</v>
      </c>
      <c r="E60" s="82">
        <v>1</v>
      </c>
      <c r="F60" s="68">
        <v>0</v>
      </c>
      <c r="G60" s="75">
        <v>3</v>
      </c>
      <c r="H60" s="69">
        <f t="shared" si="5"/>
        <v>3</v>
      </c>
      <c r="I60" s="86" t="s">
        <v>170</v>
      </c>
    </row>
    <row r="61" customHeight="1" spans="1:9">
      <c r="A61" s="82">
        <v>9</v>
      </c>
      <c r="B61" s="82" t="s">
        <v>186</v>
      </c>
      <c r="C61" s="82"/>
      <c r="D61" s="82" t="s">
        <v>168</v>
      </c>
      <c r="E61" s="82">
        <v>1</v>
      </c>
      <c r="F61" s="82">
        <v>0</v>
      </c>
      <c r="G61" s="75">
        <v>0.5</v>
      </c>
      <c r="H61" s="69">
        <f t="shared" si="5"/>
        <v>0.5</v>
      </c>
      <c r="I61" s="86" t="s">
        <v>170</v>
      </c>
    </row>
    <row r="62" customHeight="1" spans="1:9">
      <c r="A62" s="82">
        <v>10</v>
      </c>
      <c r="B62" s="82" t="s">
        <v>187</v>
      </c>
      <c r="C62" s="82"/>
      <c r="D62" s="82" t="s">
        <v>168</v>
      </c>
      <c r="E62" s="82">
        <v>1</v>
      </c>
      <c r="F62" s="82">
        <v>0</v>
      </c>
      <c r="G62" s="75">
        <v>0.5</v>
      </c>
      <c r="H62" s="69">
        <f t="shared" si="5"/>
        <v>0.5</v>
      </c>
      <c r="I62" s="86" t="s">
        <v>170</v>
      </c>
    </row>
    <row r="63" customHeight="1" spans="1:9">
      <c r="A63" s="82">
        <v>11</v>
      </c>
      <c r="B63" s="84" t="s">
        <v>188</v>
      </c>
      <c r="C63" s="85"/>
      <c r="D63" s="82" t="s">
        <v>168</v>
      </c>
      <c r="E63" s="82">
        <v>1</v>
      </c>
      <c r="F63" s="82">
        <v>0</v>
      </c>
      <c r="G63" s="75">
        <v>1</v>
      </c>
      <c r="H63" s="69">
        <f t="shared" si="5"/>
        <v>1</v>
      </c>
      <c r="I63" s="86" t="s">
        <v>170</v>
      </c>
    </row>
    <row r="64" customHeight="1" spans="1:9">
      <c r="A64" s="82">
        <v>12</v>
      </c>
      <c r="B64" s="82" t="s">
        <v>189</v>
      </c>
      <c r="C64" s="82"/>
      <c r="D64" s="82" t="s">
        <v>168</v>
      </c>
      <c r="E64" s="82">
        <v>1</v>
      </c>
      <c r="F64" s="82">
        <v>0</v>
      </c>
      <c r="G64" s="75">
        <v>0.5</v>
      </c>
      <c r="H64" s="69">
        <f t="shared" si="5"/>
        <v>0.5</v>
      </c>
      <c r="I64" s="86" t="s">
        <v>170</v>
      </c>
    </row>
    <row r="65" customHeight="1" spans="1:9">
      <c r="A65" s="82">
        <v>13</v>
      </c>
      <c r="B65" s="84" t="s">
        <v>190</v>
      </c>
      <c r="C65" s="85"/>
      <c r="D65" s="82" t="s">
        <v>6</v>
      </c>
      <c r="E65" s="84" t="s">
        <v>191</v>
      </c>
      <c r="F65" s="85"/>
      <c r="G65" s="86"/>
      <c r="H65" s="69">
        <f>H41+H44+H48+H54+H58+H59+H60+H61+H62+H64+H63+H46</f>
        <v>342.2536375</v>
      </c>
      <c r="I65" s="89" t="s">
        <v>192</v>
      </c>
    </row>
    <row r="66" customHeight="1" spans="1:9">
      <c r="A66" s="82">
        <v>14</v>
      </c>
      <c r="B66" s="84" t="s">
        <v>193</v>
      </c>
      <c r="C66" s="85"/>
      <c r="D66" s="82" t="s">
        <v>6</v>
      </c>
      <c r="E66" s="84" t="s">
        <v>194</v>
      </c>
      <c r="F66" s="85"/>
      <c r="G66" s="87">
        <v>0.08</v>
      </c>
      <c r="H66" s="69">
        <f>H65*(G66)</f>
        <v>27.380291</v>
      </c>
      <c r="I66" s="90"/>
    </row>
    <row r="67" customHeight="1" spans="1:9">
      <c r="A67" s="82">
        <v>15</v>
      </c>
      <c r="B67" s="84" t="s">
        <v>195</v>
      </c>
      <c r="C67" s="85"/>
      <c r="D67" s="82" t="s">
        <v>6</v>
      </c>
      <c r="E67" s="84" t="s">
        <v>196</v>
      </c>
      <c r="F67" s="85"/>
      <c r="G67" s="86"/>
      <c r="H67" s="69">
        <f>H65+H66</f>
        <v>369.6339285</v>
      </c>
      <c r="I67" s="91">
        <f>H67</f>
        <v>369.6339285</v>
      </c>
    </row>
    <row r="69" customHeight="1" spans="1:9">
      <c r="A69" s="14" t="s">
        <v>143</v>
      </c>
      <c r="B69" s="88"/>
      <c r="C69" s="88"/>
      <c r="D69" s="88"/>
      <c r="E69" s="14" t="s">
        <v>144</v>
      </c>
      <c r="F69" s="14" t="s">
        <v>100</v>
      </c>
      <c r="G69" s="14"/>
      <c r="H69" s="14" t="s">
        <v>145</v>
      </c>
      <c r="I69" s="14"/>
    </row>
    <row r="70" customHeight="1" spans="1:9">
      <c r="A70" s="14" t="s">
        <v>82</v>
      </c>
      <c r="B70" s="14"/>
      <c r="C70" s="14"/>
      <c r="D70" s="14"/>
      <c r="E70" s="14" t="s">
        <v>146</v>
      </c>
      <c r="F70" s="14" t="str">
        <f>MID(F69,7,9)</f>
        <v>内开窗</v>
      </c>
      <c r="G70" s="14"/>
      <c r="H70" s="14"/>
      <c r="I70" s="14"/>
    </row>
    <row r="71" customHeight="1" spans="1:9">
      <c r="A71" s="13" t="s">
        <v>147</v>
      </c>
      <c r="B71" s="14">
        <v>0</v>
      </c>
      <c r="C71" s="13" t="s">
        <v>148</v>
      </c>
      <c r="D71" s="14">
        <v>0</v>
      </c>
      <c r="E71" s="14" t="s">
        <v>149</v>
      </c>
      <c r="F71" s="67"/>
      <c r="G71" s="11" t="s">
        <v>150</v>
      </c>
      <c r="H71" s="14"/>
      <c r="I71" s="14"/>
    </row>
    <row r="72" customHeight="1" spans="1:9">
      <c r="A72" s="13"/>
      <c r="B72" s="14"/>
      <c r="C72" s="13"/>
      <c r="D72" s="14"/>
      <c r="E72" s="14"/>
      <c r="F72" s="67"/>
      <c r="G72" s="12" t="s">
        <v>151</v>
      </c>
      <c r="H72" s="14"/>
      <c r="I72" s="14"/>
    </row>
    <row r="73" customHeight="1" spans="1:9">
      <c r="A73" s="14" t="s">
        <v>38</v>
      </c>
      <c r="B73" s="14" t="s">
        <v>152</v>
      </c>
      <c r="C73" s="14"/>
      <c r="D73" s="14" t="s">
        <v>153</v>
      </c>
      <c r="E73" s="14" t="s">
        <v>154</v>
      </c>
      <c r="F73" s="14" t="s">
        <v>155</v>
      </c>
      <c r="G73" s="11" t="s">
        <v>156</v>
      </c>
      <c r="H73" s="11" t="s">
        <v>157</v>
      </c>
      <c r="I73" s="12" t="s">
        <v>158</v>
      </c>
    </row>
    <row r="74" customHeight="1" spans="1:9">
      <c r="A74" s="68">
        <v>1</v>
      </c>
      <c r="B74" s="68" t="s">
        <v>159</v>
      </c>
      <c r="C74" s="68"/>
      <c r="D74" s="68"/>
      <c r="E74" s="68"/>
      <c r="F74" s="68"/>
      <c r="G74" s="68"/>
      <c r="H74" s="69">
        <f>SUM(H75:H76)</f>
        <v>228.4120975</v>
      </c>
      <c r="I74" s="86"/>
    </row>
    <row r="75" customHeight="1" spans="1:9">
      <c r="A75" s="14">
        <v>1.1</v>
      </c>
      <c r="B75" s="70" t="s">
        <v>160</v>
      </c>
      <c r="C75" s="71"/>
      <c r="D75" s="14" t="s">
        <v>161</v>
      </c>
      <c r="E75" s="67">
        <v>6.95</v>
      </c>
      <c r="F75" s="72">
        <v>0.07</v>
      </c>
      <c r="G75" s="73">
        <f>主要材料品牌单价!E$5/1000</f>
        <v>26.8</v>
      </c>
      <c r="H75" s="73">
        <f t="shared" ref="H75:H78" si="6">E75*(1+F75)*G75</f>
        <v>199.2982</v>
      </c>
      <c r="I75" s="11"/>
    </row>
    <row r="76" customHeight="1" spans="1:9">
      <c r="A76" s="14">
        <v>1.2</v>
      </c>
      <c r="B76" s="14" t="s">
        <v>162</v>
      </c>
      <c r="C76" s="14"/>
      <c r="D76" s="14" t="s">
        <v>161</v>
      </c>
      <c r="E76" s="67">
        <f>E75*0.15</f>
        <v>1.0425</v>
      </c>
      <c r="F76" s="72">
        <v>0.07</v>
      </c>
      <c r="G76" s="73">
        <f>(主要材料品牌单价!E$6-1000)/1000</f>
        <v>26.1</v>
      </c>
      <c r="H76" s="73">
        <f t="shared" si="6"/>
        <v>29.1138975</v>
      </c>
      <c r="I76" s="11"/>
    </row>
    <row r="77" customHeight="1" spans="1:9">
      <c r="A77" s="68">
        <v>2</v>
      </c>
      <c r="B77" s="68" t="s">
        <v>163</v>
      </c>
      <c r="C77" s="68"/>
      <c r="D77" s="68"/>
      <c r="E77" s="68"/>
      <c r="F77" s="68"/>
      <c r="G77" s="68"/>
      <c r="H77" s="74">
        <f>H78</f>
        <v>105.646</v>
      </c>
      <c r="I77" s="86"/>
    </row>
    <row r="78" customHeight="1" spans="1:9">
      <c r="A78" s="14">
        <v>2.1</v>
      </c>
      <c r="B78" s="14" t="s">
        <v>164</v>
      </c>
      <c r="C78" s="14"/>
      <c r="D78" s="14" t="s">
        <v>165</v>
      </c>
      <c r="E78" s="73">
        <v>2</v>
      </c>
      <c r="F78" s="72">
        <v>0.01</v>
      </c>
      <c r="G78" s="73">
        <f>主要材料品牌单价!E16</f>
        <v>52.3</v>
      </c>
      <c r="H78" s="73">
        <f t="shared" si="6"/>
        <v>105.646</v>
      </c>
      <c r="I78" s="11"/>
    </row>
    <row r="79" customHeight="1" spans="1:9">
      <c r="A79" s="68">
        <v>3</v>
      </c>
      <c r="B79" s="68" t="s">
        <v>166</v>
      </c>
      <c r="C79" s="68"/>
      <c r="D79" s="68"/>
      <c r="E79" s="68"/>
      <c r="F79" s="68"/>
      <c r="G79" s="68"/>
      <c r="H79" s="74">
        <f>SUM(H80:H80)</f>
        <v>49.6485</v>
      </c>
      <c r="I79" s="86"/>
    </row>
    <row r="80" customHeight="1" spans="1:9">
      <c r="A80" s="14">
        <v>3.1</v>
      </c>
      <c r="B80" s="14" t="s">
        <v>197</v>
      </c>
      <c r="C80" s="14"/>
      <c r="D80" s="14" t="s">
        <v>168</v>
      </c>
      <c r="E80" s="73">
        <v>0.9</v>
      </c>
      <c r="F80" s="72">
        <v>0.003</v>
      </c>
      <c r="G80" s="11">
        <f>主要材料品牌单价!E$30</f>
        <v>55</v>
      </c>
      <c r="H80" s="73">
        <f>E80*(1+F80)*G80</f>
        <v>49.6485</v>
      </c>
      <c r="I80" s="11"/>
    </row>
    <row r="81" customHeight="1" spans="1:9">
      <c r="A81" s="68">
        <v>4</v>
      </c>
      <c r="B81" s="68" t="s">
        <v>169</v>
      </c>
      <c r="C81" s="68"/>
      <c r="D81" s="68"/>
      <c r="E81" s="68"/>
      <c r="F81" s="68"/>
      <c r="G81" s="68"/>
      <c r="H81" s="69">
        <f>SUM(H82:H86)</f>
        <v>29.45</v>
      </c>
      <c r="I81" s="86" t="s">
        <v>170</v>
      </c>
    </row>
    <row r="82" customHeight="1" spans="1:9">
      <c r="A82" s="75">
        <v>4.1</v>
      </c>
      <c r="B82" s="14" t="s">
        <v>171</v>
      </c>
      <c r="C82" s="14"/>
      <c r="D82" s="14" t="s">
        <v>172</v>
      </c>
      <c r="E82" s="75">
        <v>0.5</v>
      </c>
      <c r="F82" s="75"/>
      <c r="G82" s="75">
        <f>主要材料品牌单价!E$44</f>
        <v>11.5</v>
      </c>
      <c r="H82" s="73">
        <f t="shared" ref="H82:H86" si="7">E82*(1+F82)*G82</f>
        <v>5.75</v>
      </c>
      <c r="I82" s="11"/>
    </row>
    <row r="83" customHeight="1" spans="1:9">
      <c r="A83" s="75">
        <v>4.2</v>
      </c>
      <c r="B83" s="70" t="s">
        <v>173</v>
      </c>
      <c r="C83" s="71"/>
      <c r="D83" s="14" t="s">
        <v>172</v>
      </c>
      <c r="E83" s="76">
        <v>0.8</v>
      </c>
      <c r="F83" s="75"/>
      <c r="G83" s="75">
        <f>主要材料品牌单价!E$43</f>
        <v>11.5</v>
      </c>
      <c r="H83" s="73">
        <f t="shared" si="7"/>
        <v>9.2</v>
      </c>
      <c r="I83" s="11"/>
    </row>
    <row r="84" customHeight="1" spans="1:9">
      <c r="A84" s="75">
        <v>4.3</v>
      </c>
      <c r="B84" s="70" t="s">
        <v>174</v>
      </c>
      <c r="C84" s="71"/>
      <c r="D84" s="14" t="s">
        <v>172</v>
      </c>
      <c r="E84" s="76">
        <v>0.2</v>
      </c>
      <c r="F84" s="75"/>
      <c r="G84" s="75">
        <f>主要材料品牌单价!E$45</f>
        <v>13.5</v>
      </c>
      <c r="H84" s="73">
        <f t="shared" si="7"/>
        <v>2.7</v>
      </c>
      <c r="I84" s="11"/>
    </row>
    <row r="85" customHeight="1" spans="1:9">
      <c r="A85" s="75">
        <v>4.4</v>
      </c>
      <c r="B85" s="77" t="s">
        <v>175</v>
      </c>
      <c r="C85" s="78"/>
      <c r="D85" s="14" t="s">
        <v>172</v>
      </c>
      <c r="E85" s="67">
        <v>0.1</v>
      </c>
      <c r="F85" s="14"/>
      <c r="G85" s="75">
        <f>主要材料品牌单价!E$46</f>
        <v>18</v>
      </c>
      <c r="H85" s="73">
        <f t="shared" si="7"/>
        <v>1.8</v>
      </c>
      <c r="I85" s="11"/>
    </row>
    <row r="86" customHeight="1" spans="1:9">
      <c r="A86" s="75">
        <v>4.5</v>
      </c>
      <c r="B86" s="79" t="s">
        <v>176</v>
      </c>
      <c r="C86" s="79"/>
      <c r="D86" s="14" t="s">
        <v>177</v>
      </c>
      <c r="E86" s="67">
        <v>1</v>
      </c>
      <c r="F86" s="14"/>
      <c r="G86" s="75">
        <v>10</v>
      </c>
      <c r="H86" s="73">
        <f t="shared" si="7"/>
        <v>10</v>
      </c>
      <c r="I86" s="11"/>
    </row>
    <row r="87" customHeight="1" spans="1:9">
      <c r="A87" s="68">
        <v>5</v>
      </c>
      <c r="B87" s="68" t="s">
        <v>178</v>
      </c>
      <c r="C87" s="68"/>
      <c r="D87" s="68"/>
      <c r="E87" s="68"/>
      <c r="F87" s="68"/>
      <c r="G87" s="68"/>
      <c r="H87" s="69">
        <f>SUM(H88:H90)</f>
        <v>10.6</v>
      </c>
      <c r="I87" s="86" t="s">
        <v>170</v>
      </c>
    </row>
    <row r="88" customHeight="1" spans="1:9">
      <c r="A88" s="75">
        <v>5.1</v>
      </c>
      <c r="B88" s="14" t="s">
        <v>179</v>
      </c>
      <c r="C88" s="14"/>
      <c r="D88" s="14" t="s">
        <v>180</v>
      </c>
      <c r="E88" s="76">
        <v>0.2</v>
      </c>
      <c r="F88" s="75"/>
      <c r="G88" s="75">
        <f>主要材料品牌单价!E48</f>
        <v>13</v>
      </c>
      <c r="H88" s="73">
        <f t="shared" ref="H88:H97" si="8">E88*(1+F88)*G88</f>
        <v>2.6</v>
      </c>
      <c r="I88" s="11"/>
    </row>
    <row r="89" customHeight="1" spans="1:9">
      <c r="A89" s="75">
        <v>5.2</v>
      </c>
      <c r="B89" s="70" t="s">
        <v>181</v>
      </c>
      <c r="C89" s="71"/>
      <c r="D89" s="14" t="s">
        <v>177</v>
      </c>
      <c r="E89" s="76">
        <v>0</v>
      </c>
      <c r="F89" s="75"/>
      <c r="G89" s="75"/>
      <c r="H89" s="73">
        <f t="shared" si="8"/>
        <v>0</v>
      </c>
      <c r="I89" s="11"/>
    </row>
    <row r="90" customHeight="1" spans="1:9">
      <c r="A90" s="75">
        <v>5.3</v>
      </c>
      <c r="B90" s="80" t="s">
        <v>182</v>
      </c>
      <c r="C90" s="81"/>
      <c r="D90" s="82" t="s">
        <v>168</v>
      </c>
      <c r="E90" s="67">
        <v>8</v>
      </c>
      <c r="F90" s="14"/>
      <c r="G90" s="75"/>
      <c r="H90" s="73">
        <v>8</v>
      </c>
      <c r="I90" s="11" t="s">
        <v>170</v>
      </c>
    </row>
    <row r="91" customHeight="1" spans="1:9">
      <c r="A91" s="83">
        <v>6</v>
      </c>
      <c r="B91" s="82" t="s">
        <v>183</v>
      </c>
      <c r="C91" s="82"/>
      <c r="D91" s="82" t="s">
        <v>168</v>
      </c>
      <c r="E91" s="82">
        <v>1</v>
      </c>
      <c r="F91" s="68">
        <v>0</v>
      </c>
      <c r="G91" s="75">
        <v>30</v>
      </c>
      <c r="H91" s="69">
        <f t="shared" si="8"/>
        <v>30</v>
      </c>
      <c r="I91" s="86" t="s">
        <v>170</v>
      </c>
    </row>
    <row r="92" customHeight="1" spans="1:9">
      <c r="A92" s="68">
        <v>7</v>
      </c>
      <c r="B92" s="84" t="s">
        <v>184</v>
      </c>
      <c r="C92" s="85"/>
      <c r="D92" s="82" t="s">
        <v>168</v>
      </c>
      <c r="E92" s="82">
        <v>1</v>
      </c>
      <c r="F92" s="68">
        <v>0</v>
      </c>
      <c r="G92" s="75">
        <v>45</v>
      </c>
      <c r="H92" s="69">
        <f t="shared" si="8"/>
        <v>45</v>
      </c>
      <c r="I92" s="86" t="s">
        <v>170</v>
      </c>
    </row>
    <row r="93" customHeight="1" spans="1:9">
      <c r="A93" s="68">
        <v>8</v>
      </c>
      <c r="B93" s="82" t="s">
        <v>185</v>
      </c>
      <c r="C93" s="82"/>
      <c r="D93" s="82" t="s">
        <v>168</v>
      </c>
      <c r="E93" s="82">
        <v>1</v>
      </c>
      <c r="F93" s="68">
        <v>0</v>
      </c>
      <c r="G93" s="75">
        <v>3</v>
      </c>
      <c r="H93" s="69">
        <f t="shared" si="8"/>
        <v>3</v>
      </c>
      <c r="I93" s="86" t="s">
        <v>170</v>
      </c>
    </row>
    <row r="94" customHeight="1" spans="1:9">
      <c r="A94" s="82">
        <v>9</v>
      </c>
      <c r="B94" s="82" t="s">
        <v>186</v>
      </c>
      <c r="C94" s="82"/>
      <c r="D94" s="82" t="s">
        <v>168</v>
      </c>
      <c r="E94" s="82">
        <v>1</v>
      </c>
      <c r="F94" s="82">
        <v>0</v>
      </c>
      <c r="G94" s="75">
        <v>0.5</v>
      </c>
      <c r="H94" s="69">
        <f t="shared" si="8"/>
        <v>0.5</v>
      </c>
      <c r="I94" s="86" t="s">
        <v>170</v>
      </c>
    </row>
    <row r="95" customHeight="1" spans="1:9">
      <c r="A95" s="82">
        <v>10</v>
      </c>
      <c r="B95" s="82" t="s">
        <v>187</v>
      </c>
      <c r="C95" s="82"/>
      <c r="D95" s="82" t="s">
        <v>168</v>
      </c>
      <c r="E95" s="82">
        <v>1</v>
      </c>
      <c r="F95" s="82">
        <v>0</v>
      </c>
      <c r="G95" s="75">
        <v>0.5</v>
      </c>
      <c r="H95" s="69">
        <f t="shared" si="8"/>
        <v>0.5</v>
      </c>
      <c r="I95" s="86" t="s">
        <v>170</v>
      </c>
    </row>
    <row r="96" customHeight="1" spans="1:9">
      <c r="A96" s="82">
        <v>11</v>
      </c>
      <c r="B96" s="84" t="s">
        <v>188</v>
      </c>
      <c r="C96" s="85"/>
      <c r="D96" s="82" t="s">
        <v>168</v>
      </c>
      <c r="E96" s="82">
        <v>1</v>
      </c>
      <c r="F96" s="82">
        <v>0</v>
      </c>
      <c r="G96" s="75">
        <v>1</v>
      </c>
      <c r="H96" s="69">
        <f t="shared" si="8"/>
        <v>1</v>
      </c>
      <c r="I96" s="86" t="s">
        <v>170</v>
      </c>
    </row>
    <row r="97" customHeight="1" spans="1:9">
      <c r="A97" s="82">
        <v>12</v>
      </c>
      <c r="B97" s="82" t="s">
        <v>189</v>
      </c>
      <c r="C97" s="82"/>
      <c r="D97" s="82" t="s">
        <v>168</v>
      </c>
      <c r="E97" s="82">
        <v>1</v>
      </c>
      <c r="F97" s="82">
        <v>0</v>
      </c>
      <c r="G97" s="75">
        <v>0.5</v>
      </c>
      <c r="H97" s="69">
        <f t="shared" si="8"/>
        <v>0.5</v>
      </c>
      <c r="I97" s="86" t="s">
        <v>170</v>
      </c>
    </row>
    <row r="98" customHeight="1" spans="1:9">
      <c r="A98" s="82">
        <v>13</v>
      </c>
      <c r="B98" s="84" t="s">
        <v>190</v>
      </c>
      <c r="C98" s="85"/>
      <c r="D98" s="82" t="s">
        <v>6</v>
      </c>
      <c r="E98" s="84" t="s">
        <v>191</v>
      </c>
      <c r="F98" s="85"/>
      <c r="G98" s="86"/>
      <c r="H98" s="69">
        <f>H74+H77+H81+H87+H91+H92+H93+H94+H95+H97+H96+H79</f>
        <v>504.2565975</v>
      </c>
      <c r="I98" s="89" t="s">
        <v>192</v>
      </c>
    </row>
    <row r="99" customHeight="1" spans="1:9">
      <c r="A99" s="82">
        <v>14</v>
      </c>
      <c r="B99" s="84" t="s">
        <v>193</v>
      </c>
      <c r="C99" s="85"/>
      <c r="D99" s="82" t="s">
        <v>6</v>
      </c>
      <c r="E99" s="84" t="s">
        <v>194</v>
      </c>
      <c r="F99" s="85"/>
      <c r="G99" s="87">
        <v>0.08</v>
      </c>
      <c r="H99" s="69">
        <f>H98*(G99)</f>
        <v>40.3405278</v>
      </c>
      <c r="I99" s="90"/>
    </row>
    <row r="100" customHeight="1" spans="1:9">
      <c r="A100" s="82">
        <v>15</v>
      </c>
      <c r="B100" s="84" t="s">
        <v>195</v>
      </c>
      <c r="C100" s="85"/>
      <c r="D100" s="82" t="s">
        <v>6</v>
      </c>
      <c r="E100" s="84" t="s">
        <v>196</v>
      </c>
      <c r="F100" s="85"/>
      <c r="G100" s="86"/>
      <c r="H100" s="69">
        <f>H98+H99</f>
        <v>544.5971253</v>
      </c>
      <c r="I100" s="91">
        <f>H100</f>
        <v>544.5971253</v>
      </c>
    </row>
    <row r="103" customHeight="1" spans="1:9">
      <c r="A103" s="66" t="s">
        <v>198</v>
      </c>
      <c r="E103" s="60"/>
      <c r="G103" s="60"/>
      <c r="H103" s="60"/>
      <c r="I103" s="60"/>
    </row>
    <row r="104" customHeight="1" spans="1:9">
      <c r="A104" s="14" t="s">
        <v>143</v>
      </c>
      <c r="B104" s="88"/>
      <c r="C104" s="88"/>
      <c r="D104" s="88"/>
      <c r="E104" s="14" t="s">
        <v>144</v>
      </c>
      <c r="F104" s="14" t="s">
        <v>199</v>
      </c>
      <c r="G104" s="14"/>
      <c r="H104" s="14" t="s">
        <v>145</v>
      </c>
      <c r="I104" s="14"/>
    </row>
    <row r="105" customHeight="1" spans="1:9">
      <c r="A105" s="14" t="s">
        <v>82</v>
      </c>
      <c r="B105" s="14"/>
      <c r="C105" s="14"/>
      <c r="D105" s="14"/>
      <c r="E105" s="14" t="s">
        <v>146</v>
      </c>
      <c r="F105" s="14"/>
      <c r="G105" s="14"/>
      <c r="H105" s="14"/>
      <c r="I105" s="14"/>
    </row>
    <row r="106" customHeight="1" spans="1:9">
      <c r="A106" s="13" t="s">
        <v>147</v>
      </c>
      <c r="B106" s="14">
        <v>0</v>
      </c>
      <c r="C106" s="13" t="s">
        <v>148</v>
      </c>
      <c r="D106" s="14">
        <v>0</v>
      </c>
      <c r="E106" s="14" t="s">
        <v>149</v>
      </c>
      <c r="F106" s="67">
        <v>0</v>
      </c>
      <c r="G106" s="11" t="s">
        <v>150</v>
      </c>
      <c r="H106" s="14"/>
      <c r="I106" s="14"/>
    </row>
    <row r="107" customHeight="1" spans="1:9">
      <c r="A107" s="13"/>
      <c r="B107" s="14"/>
      <c r="C107" s="13"/>
      <c r="D107" s="14"/>
      <c r="E107" s="14"/>
      <c r="F107" s="67">
        <v>0</v>
      </c>
      <c r="G107" s="12" t="s">
        <v>151</v>
      </c>
      <c r="H107" s="14"/>
      <c r="I107" s="14"/>
    </row>
    <row r="108" customHeight="1" spans="1:9">
      <c r="A108" s="14" t="s">
        <v>38</v>
      </c>
      <c r="B108" s="14" t="s">
        <v>152</v>
      </c>
      <c r="C108" s="14"/>
      <c r="D108" s="14" t="s">
        <v>153</v>
      </c>
      <c r="E108" s="14" t="s">
        <v>154</v>
      </c>
      <c r="F108" s="14" t="s">
        <v>155</v>
      </c>
      <c r="G108" s="11" t="s">
        <v>156</v>
      </c>
      <c r="H108" s="11" t="s">
        <v>157</v>
      </c>
      <c r="I108" s="12" t="s">
        <v>158</v>
      </c>
    </row>
    <row r="109" customHeight="1" spans="1:9">
      <c r="A109" s="68">
        <v>1</v>
      </c>
      <c r="B109" s="68" t="s">
        <v>159</v>
      </c>
      <c r="C109" s="68"/>
      <c r="D109" s="68"/>
      <c r="E109" s="68"/>
      <c r="F109" s="68"/>
      <c r="G109" s="68"/>
      <c r="H109" s="69">
        <f>SUM(H110:H112)</f>
        <v>203.6658116</v>
      </c>
      <c r="I109" s="86"/>
    </row>
    <row r="110" customHeight="1" spans="1:9">
      <c r="A110" s="14">
        <v>1.1</v>
      </c>
      <c r="B110" s="70" t="s">
        <v>200</v>
      </c>
      <c r="C110" s="71"/>
      <c r="D110" s="14" t="s">
        <v>161</v>
      </c>
      <c r="E110" s="67">
        <v>5.69</v>
      </c>
      <c r="F110" s="72">
        <v>0.07</v>
      </c>
      <c r="G110" s="73">
        <f>主要材料品牌单价!E$6/1000</f>
        <v>27.1</v>
      </c>
      <c r="H110" s="73">
        <f t="shared" ref="H110:H114" si="9">E110*(1+F110)*G110</f>
        <v>164.99293</v>
      </c>
      <c r="I110" s="11"/>
    </row>
    <row r="111" customHeight="1" spans="1:9">
      <c r="A111" s="14">
        <v>1.2</v>
      </c>
      <c r="B111" s="70" t="s">
        <v>160</v>
      </c>
      <c r="C111" s="71"/>
      <c r="D111" s="14" t="s">
        <v>161</v>
      </c>
      <c r="E111" s="67">
        <f>E110*0.16</f>
        <v>0.9104</v>
      </c>
      <c r="F111" s="72">
        <v>0.07</v>
      </c>
      <c r="G111" s="73">
        <f>主要材料品牌单价!E$5/1000</f>
        <v>26.8</v>
      </c>
      <c r="H111" s="73">
        <f t="shared" si="9"/>
        <v>26.1066304</v>
      </c>
      <c r="I111" s="11"/>
    </row>
    <row r="112" customHeight="1" spans="1:9">
      <c r="A112" s="14">
        <v>1.3</v>
      </c>
      <c r="B112" s="14" t="s">
        <v>162</v>
      </c>
      <c r="C112" s="14"/>
      <c r="D112" s="14" t="s">
        <v>161</v>
      </c>
      <c r="E112" s="67">
        <f>E110*0.08</f>
        <v>0.4552</v>
      </c>
      <c r="F112" s="72">
        <v>0.07</v>
      </c>
      <c r="G112" s="73">
        <f>(主要材料品牌单价!E$5-1000)/1000</f>
        <v>25.8</v>
      </c>
      <c r="H112" s="73">
        <f t="shared" si="9"/>
        <v>12.5662512</v>
      </c>
      <c r="I112" s="11"/>
    </row>
    <row r="113" customHeight="1" spans="1:9">
      <c r="A113" s="68">
        <v>2</v>
      </c>
      <c r="B113" s="68" t="s">
        <v>163</v>
      </c>
      <c r="C113" s="68"/>
      <c r="D113" s="68"/>
      <c r="E113" s="68"/>
      <c r="F113" s="68"/>
      <c r="G113" s="68"/>
      <c r="H113" s="74">
        <f>H114</f>
        <v>20.27676</v>
      </c>
      <c r="I113" s="86"/>
    </row>
    <row r="114" customHeight="1" spans="1:9">
      <c r="A114" s="14">
        <v>2.1</v>
      </c>
      <c r="B114" s="14" t="s">
        <v>164</v>
      </c>
      <c r="C114" s="14"/>
      <c r="D114" s="14" t="s">
        <v>165</v>
      </c>
      <c r="E114" s="73">
        <v>0.28</v>
      </c>
      <c r="F114" s="72">
        <v>0.01</v>
      </c>
      <c r="G114" s="73">
        <f>主要材料品牌单价!E14</f>
        <v>71.7</v>
      </c>
      <c r="H114" s="73">
        <f t="shared" si="9"/>
        <v>20.27676</v>
      </c>
      <c r="I114" s="11"/>
    </row>
    <row r="115" customHeight="1" spans="1:9">
      <c r="A115" s="68">
        <v>3</v>
      </c>
      <c r="B115" s="68" t="s">
        <v>166</v>
      </c>
      <c r="C115" s="68"/>
      <c r="D115" s="68"/>
      <c r="E115" s="68"/>
      <c r="F115" s="68"/>
      <c r="G115" s="68"/>
      <c r="H115" s="69">
        <f>SUM(H116:H118)</f>
        <v>153.9605</v>
      </c>
      <c r="I115" s="86"/>
    </row>
    <row r="116" customHeight="1" spans="1:9">
      <c r="A116" s="14">
        <v>3.1</v>
      </c>
      <c r="B116" s="14" t="s">
        <v>201</v>
      </c>
      <c r="C116" s="14"/>
      <c r="D116" s="14" t="s">
        <v>168</v>
      </c>
      <c r="E116" s="73">
        <v>0.73</v>
      </c>
      <c r="F116" s="72">
        <v>0.003</v>
      </c>
      <c r="G116" s="11">
        <f>主要材料品牌单价!E37</f>
        <v>165</v>
      </c>
      <c r="H116" s="73">
        <f>E116*(1+F116)*G116</f>
        <v>120.81135</v>
      </c>
      <c r="I116" s="11"/>
    </row>
    <row r="117" customHeight="1" spans="1:9">
      <c r="A117" s="14">
        <v>3.2</v>
      </c>
      <c r="B117" s="14" t="s">
        <v>202</v>
      </c>
      <c r="C117" s="14"/>
      <c r="D117" s="14" t="s">
        <v>168</v>
      </c>
      <c r="E117" s="73">
        <v>0.15</v>
      </c>
      <c r="F117" s="72">
        <v>0.003</v>
      </c>
      <c r="G117" s="11">
        <f>主要材料品牌单价!E38</f>
        <v>185</v>
      </c>
      <c r="H117" s="73">
        <f>E117*(1+F117)*G117</f>
        <v>27.83325</v>
      </c>
      <c r="I117" s="11"/>
    </row>
    <row r="118" customHeight="1" spans="1:9">
      <c r="A118" s="14">
        <v>3.3</v>
      </c>
      <c r="B118" s="14" t="s">
        <v>203</v>
      </c>
      <c r="C118" s="14"/>
      <c r="D118" s="14" t="s">
        <v>168</v>
      </c>
      <c r="E118" s="73">
        <v>0.02</v>
      </c>
      <c r="F118" s="72">
        <v>0.003</v>
      </c>
      <c r="G118" s="11">
        <f>主要材料品牌单价!E39</f>
        <v>265</v>
      </c>
      <c r="H118" s="73">
        <f>E118*(1+F118)*G118</f>
        <v>5.3159</v>
      </c>
      <c r="I118" s="11"/>
    </row>
    <row r="119" customHeight="1" spans="1:9">
      <c r="A119" s="68">
        <v>4</v>
      </c>
      <c r="B119" s="68" t="s">
        <v>169</v>
      </c>
      <c r="C119" s="68"/>
      <c r="D119" s="68"/>
      <c r="E119" s="68"/>
      <c r="F119" s="68"/>
      <c r="G119" s="68"/>
      <c r="H119" s="69">
        <f>SUM(H120:H124)</f>
        <v>27.45</v>
      </c>
      <c r="I119" s="86" t="s">
        <v>170</v>
      </c>
    </row>
    <row r="120" customHeight="1" spans="1:9">
      <c r="A120" s="75">
        <v>4.1</v>
      </c>
      <c r="B120" s="14" t="s">
        <v>171</v>
      </c>
      <c r="C120" s="14"/>
      <c r="D120" s="14" t="s">
        <v>172</v>
      </c>
      <c r="E120" s="75">
        <v>0.5</v>
      </c>
      <c r="F120" s="75"/>
      <c r="G120" s="75">
        <f>主要材料品牌单价!E$44</f>
        <v>11.5</v>
      </c>
      <c r="H120" s="73">
        <f t="shared" ref="H120:H124" si="10">E120*(1+F120)*G120</f>
        <v>5.75</v>
      </c>
      <c r="I120" s="11"/>
    </row>
    <row r="121" customHeight="1" spans="1:9">
      <c r="A121" s="75">
        <v>4.2</v>
      </c>
      <c r="B121" s="70" t="s">
        <v>173</v>
      </c>
      <c r="C121" s="71"/>
      <c r="D121" s="14" t="s">
        <v>172</v>
      </c>
      <c r="E121" s="76">
        <v>0.8</v>
      </c>
      <c r="F121" s="75"/>
      <c r="G121" s="75">
        <f>主要材料品牌单价!E$43</f>
        <v>11.5</v>
      </c>
      <c r="H121" s="73">
        <f t="shared" si="10"/>
        <v>9.2</v>
      </c>
      <c r="I121" s="11"/>
    </row>
    <row r="122" customHeight="1" spans="1:9">
      <c r="A122" s="75">
        <v>4.3</v>
      </c>
      <c r="B122" s="70" t="s">
        <v>174</v>
      </c>
      <c r="C122" s="71"/>
      <c r="D122" s="14" t="s">
        <v>172</v>
      </c>
      <c r="E122" s="76">
        <v>0.2</v>
      </c>
      <c r="F122" s="75"/>
      <c r="G122" s="75">
        <f>主要材料品牌单价!E$45</f>
        <v>13.5</v>
      </c>
      <c r="H122" s="73">
        <f t="shared" si="10"/>
        <v>2.7</v>
      </c>
      <c r="I122" s="11"/>
    </row>
    <row r="123" customHeight="1" spans="1:9">
      <c r="A123" s="75">
        <v>4.4</v>
      </c>
      <c r="B123" s="77" t="s">
        <v>175</v>
      </c>
      <c r="C123" s="78"/>
      <c r="D123" s="14" t="s">
        <v>172</v>
      </c>
      <c r="E123" s="67">
        <v>0.1</v>
      </c>
      <c r="F123" s="14"/>
      <c r="G123" s="75">
        <f>主要材料品牌单价!E$46</f>
        <v>18</v>
      </c>
      <c r="H123" s="73">
        <f t="shared" si="10"/>
        <v>1.8</v>
      </c>
      <c r="I123" s="11"/>
    </row>
    <row r="124" customHeight="1" spans="1:9">
      <c r="A124" s="75">
        <v>4.5</v>
      </c>
      <c r="B124" s="79" t="s">
        <v>176</v>
      </c>
      <c r="C124" s="79"/>
      <c r="D124" s="14" t="s">
        <v>177</v>
      </c>
      <c r="E124" s="67">
        <v>1</v>
      </c>
      <c r="F124" s="14"/>
      <c r="G124" s="75">
        <v>8</v>
      </c>
      <c r="H124" s="73">
        <f t="shared" si="10"/>
        <v>8</v>
      </c>
      <c r="I124" s="11"/>
    </row>
    <row r="125" customHeight="1" spans="1:9">
      <c r="A125" s="68">
        <v>5</v>
      </c>
      <c r="B125" s="68" t="s">
        <v>178</v>
      </c>
      <c r="C125" s="68"/>
      <c r="D125" s="68"/>
      <c r="E125" s="68"/>
      <c r="F125" s="68"/>
      <c r="G125" s="68"/>
      <c r="H125" s="69">
        <f>SUM(H126:H128)</f>
        <v>10.6</v>
      </c>
      <c r="I125" s="86" t="s">
        <v>170</v>
      </c>
    </row>
    <row r="126" customHeight="1" spans="1:9">
      <c r="A126" s="75">
        <v>5.1</v>
      </c>
      <c r="B126" s="14" t="s">
        <v>179</v>
      </c>
      <c r="C126" s="14"/>
      <c r="D126" s="14" t="s">
        <v>180</v>
      </c>
      <c r="E126" s="76">
        <v>0.2</v>
      </c>
      <c r="F126" s="75"/>
      <c r="G126" s="75">
        <f>主要材料品牌单价!E48</f>
        <v>13</v>
      </c>
      <c r="H126" s="73">
        <f>E126*(1+F126)*G126</f>
        <v>2.6</v>
      </c>
      <c r="I126" s="11"/>
    </row>
    <row r="127" customHeight="1" spans="1:9">
      <c r="A127" s="75">
        <v>5.2</v>
      </c>
      <c r="B127" s="70" t="s">
        <v>181</v>
      </c>
      <c r="C127" s="71"/>
      <c r="D127" s="14" t="s">
        <v>177</v>
      </c>
      <c r="E127" s="76">
        <v>0</v>
      </c>
      <c r="F127" s="75"/>
      <c r="G127" s="75"/>
      <c r="H127" s="73">
        <f>E127*(1+F127)*G127</f>
        <v>0</v>
      </c>
      <c r="I127" s="11"/>
    </row>
    <row r="128" customHeight="1" spans="1:9">
      <c r="A128" s="75">
        <v>5.3</v>
      </c>
      <c r="B128" s="80" t="s">
        <v>182</v>
      </c>
      <c r="C128" s="81"/>
      <c r="D128" s="82" t="s">
        <v>168</v>
      </c>
      <c r="E128" s="67">
        <v>5</v>
      </c>
      <c r="F128" s="14"/>
      <c r="G128" s="75"/>
      <c r="H128" s="73">
        <v>8</v>
      </c>
      <c r="I128" s="11"/>
    </row>
    <row r="129" customHeight="1" spans="1:9">
      <c r="A129" s="83">
        <v>6</v>
      </c>
      <c r="B129" s="82" t="s">
        <v>183</v>
      </c>
      <c r="C129" s="82"/>
      <c r="D129" s="82" t="s">
        <v>168</v>
      </c>
      <c r="E129" s="82">
        <v>1</v>
      </c>
      <c r="F129" s="68">
        <v>0</v>
      </c>
      <c r="G129" s="75">
        <v>30</v>
      </c>
      <c r="H129" s="69">
        <f t="shared" ref="H128:H135" si="11">E129*(1+F129)*G129</f>
        <v>30</v>
      </c>
      <c r="I129" s="86" t="s">
        <v>170</v>
      </c>
    </row>
    <row r="130" customHeight="1" spans="1:9">
      <c r="A130" s="68">
        <v>7</v>
      </c>
      <c r="B130" s="84" t="s">
        <v>184</v>
      </c>
      <c r="C130" s="85"/>
      <c r="D130" s="82" t="s">
        <v>168</v>
      </c>
      <c r="E130" s="82">
        <v>1</v>
      </c>
      <c r="F130" s="68">
        <v>0</v>
      </c>
      <c r="G130" s="75">
        <v>45</v>
      </c>
      <c r="H130" s="69">
        <f t="shared" si="11"/>
        <v>45</v>
      </c>
      <c r="I130" s="86" t="s">
        <v>170</v>
      </c>
    </row>
    <row r="131" customHeight="1" spans="1:9">
      <c r="A131" s="68">
        <v>8</v>
      </c>
      <c r="B131" s="82" t="s">
        <v>185</v>
      </c>
      <c r="C131" s="82"/>
      <c r="D131" s="82" t="s">
        <v>168</v>
      </c>
      <c r="E131" s="82">
        <v>1</v>
      </c>
      <c r="F131" s="68">
        <v>0</v>
      </c>
      <c r="G131" s="75">
        <v>3</v>
      </c>
      <c r="H131" s="69">
        <f t="shared" si="11"/>
        <v>3</v>
      </c>
      <c r="I131" s="86" t="s">
        <v>170</v>
      </c>
    </row>
    <row r="132" customHeight="1" spans="1:9">
      <c r="A132" s="82">
        <v>9</v>
      </c>
      <c r="B132" s="82" t="s">
        <v>186</v>
      </c>
      <c r="C132" s="82"/>
      <c r="D132" s="82" t="s">
        <v>168</v>
      </c>
      <c r="E132" s="82">
        <v>1</v>
      </c>
      <c r="F132" s="82">
        <v>0</v>
      </c>
      <c r="G132" s="75">
        <v>0.5</v>
      </c>
      <c r="H132" s="69">
        <f t="shared" si="11"/>
        <v>0.5</v>
      </c>
      <c r="I132" s="86" t="s">
        <v>170</v>
      </c>
    </row>
    <row r="133" customHeight="1" spans="1:9">
      <c r="A133" s="82">
        <v>10</v>
      </c>
      <c r="B133" s="82" t="s">
        <v>187</v>
      </c>
      <c r="C133" s="82"/>
      <c r="D133" s="82" t="s">
        <v>168</v>
      </c>
      <c r="E133" s="82">
        <v>1</v>
      </c>
      <c r="F133" s="82">
        <v>0</v>
      </c>
      <c r="G133" s="75">
        <v>0.5</v>
      </c>
      <c r="H133" s="69">
        <f t="shared" si="11"/>
        <v>0.5</v>
      </c>
      <c r="I133" s="86" t="s">
        <v>170</v>
      </c>
    </row>
    <row r="134" customHeight="1" spans="1:9">
      <c r="A134" s="82">
        <v>11</v>
      </c>
      <c r="B134" s="84" t="s">
        <v>188</v>
      </c>
      <c r="C134" s="85"/>
      <c r="D134" s="82" t="s">
        <v>168</v>
      </c>
      <c r="E134" s="82">
        <v>1</v>
      </c>
      <c r="F134" s="82">
        <v>0</v>
      </c>
      <c r="G134" s="75">
        <v>1</v>
      </c>
      <c r="H134" s="69">
        <f t="shared" si="11"/>
        <v>1</v>
      </c>
      <c r="I134" s="86" t="s">
        <v>170</v>
      </c>
    </row>
    <row r="135" customHeight="1" spans="1:9">
      <c r="A135" s="82">
        <v>12</v>
      </c>
      <c r="B135" s="82" t="s">
        <v>189</v>
      </c>
      <c r="C135" s="82"/>
      <c r="D135" s="82" t="s">
        <v>168</v>
      </c>
      <c r="E135" s="82">
        <v>1</v>
      </c>
      <c r="F135" s="82">
        <v>0</v>
      </c>
      <c r="G135" s="75">
        <v>0.5</v>
      </c>
      <c r="H135" s="69">
        <f t="shared" si="11"/>
        <v>0.5</v>
      </c>
      <c r="I135" s="86" t="s">
        <v>170</v>
      </c>
    </row>
    <row r="136" customHeight="1" spans="1:9">
      <c r="A136" s="82">
        <v>13</v>
      </c>
      <c r="B136" s="84" t="s">
        <v>190</v>
      </c>
      <c r="C136" s="85"/>
      <c r="D136" s="82" t="s">
        <v>6</v>
      </c>
      <c r="E136" s="84" t="s">
        <v>191</v>
      </c>
      <c r="F136" s="85"/>
      <c r="G136" s="86"/>
      <c r="H136" s="69">
        <f>H109+H113+H119+H125+H129+H130+H131+H132+H133+H135+H134+H115</f>
        <v>496.4530716</v>
      </c>
      <c r="I136" s="89" t="s">
        <v>192</v>
      </c>
    </row>
    <row r="137" customHeight="1" spans="1:9">
      <c r="A137" s="82">
        <v>14</v>
      </c>
      <c r="B137" s="84" t="s">
        <v>193</v>
      </c>
      <c r="C137" s="85"/>
      <c r="D137" s="82" t="s">
        <v>6</v>
      </c>
      <c r="E137" s="84" t="s">
        <v>194</v>
      </c>
      <c r="F137" s="85"/>
      <c r="G137" s="87">
        <v>0.08</v>
      </c>
      <c r="H137" s="69">
        <f>H136*(G137)</f>
        <v>39.716245728</v>
      </c>
      <c r="I137" s="90"/>
    </row>
    <row r="138" customHeight="1" spans="1:9">
      <c r="A138" s="82">
        <v>15</v>
      </c>
      <c r="B138" s="84" t="s">
        <v>195</v>
      </c>
      <c r="C138" s="85"/>
      <c r="D138" s="82" t="s">
        <v>6</v>
      </c>
      <c r="E138" s="84" t="s">
        <v>196</v>
      </c>
      <c r="F138" s="85"/>
      <c r="G138" s="86"/>
      <c r="H138" s="69">
        <f>H136+H137</f>
        <v>536.169317328</v>
      </c>
      <c r="I138" s="91">
        <f>H138</f>
        <v>536.169317328</v>
      </c>
    </row>
    <row r="140" customHeight="1" spans="1:9">
      <c r="A140" s="66" t="s">
        <v>198</v>
      </c>
      <c r="E140" s="60"/>
      <c r="G140" s="60"/>
      <c r="H140" s="60"/>
      <c r="I140" s="60"/>
    </row>
    <row r="141" customHeight="1" spans="1:9">
      <c r="A141" s="14" t="s">
        <v>143</v>
      </c>
      <c r="B141" s="88"/>
      <c r="C141" s="88"/>
      <c r="D141" s="88"/>
      <c r="E141" s="14" t="s">
        <v>144</v>
      </c>
      <c r="F141" s="14" t="s">
        <v>114</v>
      </c>
      <c r="G141" s="14"/>
      <c r="H141" s="14" t="s">
        <v>145</v>
      </c>
      <c r="I141" s="14"/>
    </row>
    <row r="142" customHeight="1" spans="1:9">
      <c r="A142" s="14" t="s">
        <v>82</v>
      </c>
      <c r="B142" s="14"/>
      <c r="C142" s="14"/>
      <c r="D142" s="14"/>
      <c r="E142" s="14" t="s">
        <v>146</v>
      </c>
      <c r="F142" s="14"/>
      <c r="G142" s="14"/>
      <c r="H142" s="14"/>
      <c r="I142" s="14"/>
    </row>
    <row r="143" customHeight="1" spans="1:9">
      <c r="A143" s="13" t="s">
        <v>147</v>
      </c>
      <c r="B143" s="14">
        <v>0</v>
      </c>
      <c r="C143" s="13" t="s">
        <v>148</v>
      </c>
      <c r="D143" s="14">
        <v>0</v>
      </c>
      <c r="E143" s="14" t="s">
        <v>149</v>
      </c>
      <c r="F143" s="67">
        <v>0</v>
      </c>
      <c r="G143" s="11" t="s">
        <v>150</v>
      </c>
      <c r="H143" s="14"/>
      <c r="I143" s="14"/>
    </row>
    <row r="144" customHeight="1" spans="1:9">
      <c r="A144" s="13"/>
      <c r="B144" s="14"/>
      <c r="C144" s="13"/>
      <c r="D144" s="14"/>
      <c r="E144" s="14"/>
      <c r="F144" s="67">
        <v>0</v>
      </c>
      <c r="G144" s="12" t="s">
        <v>151</v>
      </c>
      <c r="H144" s="14"/>
      <c r="I144" s="14"/>
    </row>
    <row r="145" customHeight="1" spans="1:9">
      <c r="A145" s="14" t="s">
        <v>38</v>
      </c>
      <c r="B145" s="14" t="s">
        <v>152</v>
      </c>
      <c r="C145" s="14"/>
      <c r="D145" s="14" t="s">
        <v>153</v>
      </c>
      <c r="E145" s="14" t="s">
        <v>154</v>
      </c>
      <c r="F145" s="14" t="s">
        <v>155</v>
      </c>
      <c r="G145" s="11" t="s">
        <v>156</v>
      </c>
      <c r="H145" s="11" t="s">
        <v>157</v>
      </c>
      <c r="I145" s="12" t="s">
        <v>158</v>
      </c>
    </row>
    <row r="146" customHeight="1" spans="1:9">
      <c r="A146" s="68">
        <v>1</v>
      </c>
      <c r="B146" s="68" t="s">
        <v>159</v>
      </c>
      <c r="C146" s="68"/>
      <c r="D146" s="68"/>
      <c r="E146" s="68"/>
      <c r="F146" s="68"/>
      <c r="G146" s="68"/>
      <c r="H146" s="69">
        <f>SUM(H147:H149)</f>
        <v>280.980074</v>
      </c>
      <c r="I146" s="86"/>
    </row>
    <row r="147" customHeight="1" spans="1:9">
      <c r="A147" s="14">
        <v>1.1</v>
      </c>
      <c r="B147" s="70" t="s">
        <v>200</v>
      </c>
      <c r="C147" s="71"/>
      <c r="D147" s="14" t="s">
        <v>161</v>
      </c>
      <c r="E147" s="67">
        <v>7.85</v>
      </c>
      <c r="F147" s="72">
        <v>0.07</v>
      </c>
      <c r="G147" s="73">
        <f>主要材料品牌单价!E$6/1000</f>
        <v>27.1</v>
      </c>
      <c r="H147" s="73">
        <f t="shared" ref="H147:H151" si="12">E147*(1+F147)*G147</f>
        <v>227.62645</v>
      </c>
      <c r="I147" s="11"/>
    </row>
    <row r="148" customHeight="1" spans="1:9">
      <c r="A148" s="14">
        <v>1.2</v>
      </c>
      <c r="B148" s="70" t="s">
        <v>160</v>
      </c>
      <c r="C148" s="71"/>
      <c r="D148" s="14" t="s">
        <v>161</v>
      </c>
      <c r="E148" s="67">
        <f>E147*0.16</f>
        <v>1.256</v>
      </c>
      <c r="F148" s="72">
        <v>0.07</v>
      </c>
      <c r="G148" s="73">
        <f>主要材料品牌单价!E$5/1000</f>
        <v>26.8</v>
      </c>
      <c r="H148" s="73">
        <f t="shared" si="12"/>
        <v>36.017056</v>
      </c>
      <c r="I148" s="11"/>
    </row>
    <row r="149" customHeight="1" spans="1:9">
      <c r="A149" s="14">
        <v>1.3</v>
      </c>
      <c r="B149" s="14" t="s">
        <v>162</v>
      </c>
      <c r="C149" s="14"/>
      <c r="D149" s="14" t="s">
        <v>161</v>
      </c>
      <c r="E149" s="67">
        <f>E147*0.08</f>
        <v>0.628</v>
      </c>
      <c r="F149" s="72">
        <v>0.07</v>
      </c>
      <c r="G149" s="73">
        <f>(主要材料品牌单价!E$5-1000)/1000</f>
        <v>25.8</v>
      </c>
      <c r="H149" s="73">
        <f t="shared" si="12"/>
        <v>17.336568</v>
      </c>
      <c r="I149" s="11"/>
    </row>
    <row r="150" customHeight="1" spans="1:9">
      <c r="A150" s="68">
        <v>2</v>
      </c>
      <c r="B150" s="68" t="s">
        <v>163</v>
      </c>
      <c r="C150" s="68"/>
      <c r="D150" s="68"/>
      <c r="E150" s="68"/>
      <c r="F150" s="68"/>
      <c r="G150" s="68"/>
      <c r="H150" s="74">
        <f>H151</f>
        <v>86.64083</v>
      </c>
      <c r="I150" s="86"/>
    </row>
    <row r="151" customHeight="1" spans="1:9">
      <c r="A151" s="14">
        <v>2.1</v>
      </c>
      <c r="B151" s="14" t="s">
        <v>164</v>
      </c>
      <c r="C151" s="14"/>
      <c r="D151" s="14" t="s">
        <v>165</v>
      </c>
      <c r="E151" s="73">
        <v>1.09</v>
      </c>
      <c r="F151" s="72">
        <v>0.01</v>
      </c>
      <c r="G151" s="73">
        <f>主要材料品牌单价!E15</f>
        <v>78.7</v>
      </c>
      <c r="H151" s="73">
        <f t="shared" si="12"/>
        <v>86.64083</v>
      </c>
      <c r="I151" s="11"/>
    </row>
    <row r="152" customHeight="1" spans="1:9">
      <c r="A152" s="68">
        <v>3</v>
      </c>
      <c r="B152" s="68" t="s">
        <v>166</v>
      </c>
      <c r="C152" s="68"/>
      <c r="D152" s="68"/>
      <c r="E152" s="68"/>
      <c r="F152" s="68"/>
      <c r="G152" s="68"/>
      <c r="H152" s="74">
        <f>H153+H154</f>
        <v>171.513</v>
      </c>
      <c r="I152" s="86"/>
    </row>
    <row r="153" customHeight="1" spans="1:9">
      <c r="A153" s="14">
        <v>3.1</v>
      </c>
      <c r="B153" s="14" t="s">
        <v>201</v>
      </c>
      <c r="C153" s="14"/>
      <c r="D153" s="14" t="s">
        <v>168</v>
      </c>
      <c r="E153" s="73">
        <v>0.7</v>
      </c>
      <c r="F153" s="72">
        <v>0.003</v>
      </c>
      <c r="G153" s="11">
        <f>主要材料品牌单价!E37</f>
        <v>165</v>
      </c>
      <c r="H153" s="73">
        <f>E153*(1+F153)*G153</f>
        <v>115.8465</v>
      </c>
      <c r="I153" s="11"/>
    </row>
    <row r="154" customHeight="1" spans="1:9">
      <c r="A154" s="14">
        <v>3.2</v>
      </c>
      <c r="B154" s="14" t="s">
        <v>202</v>
      </c>
      <c r="C154" s="14"/>
      <c r="D154" s="14" t="s">
        <v>168</v>
      </c>
      <c r="E154" s="73">
        <v>0.3</v>
      </c>
      <c r="F154" s="72">
        <v>0.003</v>
      </c>
      <c r="G154" s="11">
        <f>主要材料品牌单价!E38</f>
        <v>185</v>
      </c>
      <c r="H154" s="73">
        <f>E154*(1+F154)*G154</f>
        <v>55.6665</v>
      </c>
      <c r="I154" s="11"/>
    </row>
    <row r="155" customHeight="1" spans="1:9">
      <c r="A155" s="68">
        <v>4</v>
      </c>
      <c r="B155" s="68" t="s">
        <v>169</v>
      </c>
      <c r="C155" s="68"/>
      <c r="D155" s="68"/>
      <c r="E155" s="68"/>
      <c r="F155" s="68"/>
      <c r="G155" s="68"/>
      <c r="H155" s="69">
        <f>SUM(H156:H160)</f>
        <v>27.45</v>
      </c>
      <c r="I155" s="86" t="s">
        <v>170</v>
      </c>
    </row>
    <row r="156" customHeight="1" spans="1:9">
      <c r="A156" s="75">
        <v>4.1</v>
      </c>
      <c r="B156" s="14" t="s">
        <v>171</v>
      </c>
      <c r="C156" s="14"/>
      <c r="D156" s="14" t="s">
        <v>172</v>
      </c>
      <c r="E156" s="75">
        <v>0.5</v>
      </c>
      <c r="F156" s="75"/>
      <c r="G156" s="75">
        <f>主要材料品牌单价!E$44</f>
        <v>11.5</v>
      </c>
      <c r="H156" s="73">
        <f t="shared" ref="H156:H160" si="13">E156*(1+F156)*G156</f>
        <v>5.75</v>
      </c>
      <c r="I156" s="11"/>
    </row>
    <row r="157" customHeight="1" spans="1:9">
      <c r="A157" s="75">
        <v>4.2</v>
      </c>
      <c r="B157" s="70" t="s">
        <v>173</v>
      </c>
      <c r="C157" s="71"/>
      <c r="D157" s="14" t="s">
        <v>172</v>
      </c>
      <c r="E157" s="76">
        <v>0.8</v>
      </c>
      <c r="F157" s="75"/>
      <c r="G157" s="75">
        <f>主要材料品牌单价!E$43</f>
        <v>11.5</v>
      </c>
      <c r="H157" s="73">
        <f t="shared" si="13"/>
        <v>9.2</v>
      </c>
      <c r="I157" s="11"/>
    </row>
    <row r="158" customHeight="1" spans="1:9">
      <c r="A158" s="75">
        <v>4.3</v>
      </c>
      <c r="B158" s="70" t="s">
        <v>174</v>
      </c>
      <c r="C158" s="71"/>
      <c r="D158" s="14" t="s">
        <v>172</v>
      </c>
      <c r="E158" s="76">
        <v>0.2</v>
      </c>
      <c r="F158" s="75"/>
      <c r="G158" s="75">
        <f>主要材料品牌单价!E$45</f>
        <v>13.5</v>
      </c>
      <c r="H158" s="73">
        <f t="shared" si="13"/>
        <v>2.7</v>
      </c>
      <c r="I158" s="11"/>
    </row>
    <row r="159" customHeight="1" spans="1:9">
      <c r="A159" s="75">
        <v>4.4</v>
      </c>
      <c r="B159" s="77" t="s">
        <v>175</v>
      </c>
      <c r="C159" s="78"/>
      <c r="D159" s="14" t="s">
        <v>172</v>
      </c>
      <c r="E159" s="67">
        <v>0.1</v>
      </c>
      <c r="F159" s="14"/>
      <c r="G159" s="75">
        <f>主要材料品牌单价!E$46</f>
        <v>18</v>
      </c>
      <c r="H159" s="73">
        <f t="shared" si="13"/>
        <v>1.8</v>
      </c>
      <c r="I159" s="11"/>
    </row>
    <row r="160" customHeight="1" spans="1:9">
      <c r="A160" s="75">
        <v>4.5</v>
      </c>
      <c r="B160" s="79" t="s">
        <v>176</v>
      </c>
      <c r="C160" s="79"/>
      <c r="D160" s="14" t="s">
        <v>177</v>
      </c>
      <c r="E160" s="67">
        <v>1</v>
      </c>
      <c r="F160" s="14"/>
      <c r="G160" s="75">
        <v>8</v>
      </c>
      <c r="H160" s="73">
        <f t="shared" si="13"/>
        <v>8</v>
      </c>
      <c r="I160" s="11"/>
    </row>
    <row r="161" customHeight="1" spans="1:9">
      <c r="A161" s="68">
        <v>5</v>
      </c>
      <c r="B161" s="68" t="s">
        <v>178</v>
      </c>
      <c r="C161" s="68"/>
      <c r="D161" s="68"/>
      <c r="E161" s="68"/>
      <c r="F161" s="68"/>
      <c r="G161" s="68"/>
      <c r="H161" s="69">
        <f>SUM(H162:H164)</f>
        <v>9.6</v>
      </c>
      <c r="I161" s="86" t="s">
        <v>170</v>
      </c>
    </row>
    <row r="162" customHeight="1" spans="1:9">
      <c r="A162" s="75">
        <v>5.1</v>
      </c>
      <c r="B162" s="14" t="s">
        <v>179</v>
      </c>
      <c r="C162" s="14"/>
      <c r="D162" s="14" t="s">
        <v>180</v>
      </c>
      <c r="E162" s="76">
        <v>0.2</v>
      </c>
      <c r="F162" s="75"/>
      <c r="G162" s="75">
        <f>主要材料品牌单价!E48</f>
        <v>13</v>
      </c>
      <c r="H162" s="73">
        <f t="shared" ref="H162:H171" si="14">E162*(1+F162)*G162</f>
        <v>2.6</v>
      </c>
      <c r="I162" s="11"/>
    </row>
    <row r="163" customHeight="1" spans="1:9">
      <c r="A163" s="75">
        <v>5.2</v>
      </c>
      <c r="B163" s="70" t="s">
        <v>181</v>
      </c>
      <c r="C163" s="71"/>
      <c r="D163" s="14" t="s">
        <v>177</v>
      </c>
      <c r="E163" s="76">
        <v>0</v>
      </c>
      <c r="F163" s="75"/>
      <c r="G163" s="75"/>
      <c r="H163" s="73">
        <f t="shared" si="14"/>
        <v>0</v>
      </c>
      <c r="I163" s="11"/>
    </row>
    <row r="164" customHeight="1" spans="1:9">
      <c r="A164" s="75">
        <v>5.3</v>
      </c>
      <c r="B164" s="80" t="s">
        <v>182</v>
      </c>
      <c r="C164" s="81"/>
      <c r="D164" s="82" t="s">
        <v>168</v>
      </c>
      <c r="E164" s="67">
        <v>7</v>
      </c>
      <c r="F164" s="14"/>
      <c r="G164" s="75"/>
      <c r="H164" s="73">
        <v>7</v>
      </c>
      <c r="I164" s="11"/>
    </row>
    <row r="165" customHeight="1" spans="1:9">
      <c r="A165" s="83">
        <v>6</v>
      </c>
      <c r="B165" s="82" t="s">
        <v>183</v>
      </c>
      <c r="C165" s="82"/>
      <c r="D165" s="82" t="s">
        <v>168</v>
      </c>
      <c r="E165" s="82">
        <v>1</v>
      </c>
      <c r="F165" s="68">
        <v>0</v>
      </c>
      <c r="G165" s="75">
        <v>35</v>
      </c>
      <c r="H165" s="69">
        <f t="shared" si="14"/>
        <v>35</v>
      </c>
      <c r="I165" s="86" t="s">
        <v>170</v>
      </c>
    </row>
    <row r="166" customHeight="1" spans="1:9">
      <c r="A166" s="68">
        <v>7</v>
      </c>
      <c r="B166" s="84" t="s">
        <v>184</v>
      </c>
      <c r="C166" s="85"/>
      <c r="D166" s="82" t="s">
        <v>168</v>
      </c>
      <c r="E166" s="82">
        <v>1</v>
      </c>
      <c r="F166" s="68">
        <v>0</v>
      </c>
      <c r="G166" s="75">
        <v>45</v>
      </c>
      <c r="H166" s="69">
        <f t="shared" si="14"/>
        <v>45</v>
      </c>
      <c r="I166" s="86" t="s">
        <v>170</v>
      </c>
    </row>
    <row r="167" customHeight="1" spans="1:9">
      <c r="A167" s="68">
        <v>8</v>
      </c>
      <c r="B167" s="82" t="s">
        <v>185</v>
      </c>
      <c r="C167" s="82"/>
      <c r="D167" s="82" t="s">
        <v>168</v>
      </c>
      <c r="E167" s="82">
        <v>1</v>
      </c>
      <c r="F167" s="68">
        <v>0</v>
      </c>
      <c r="G167" s="75">
        <v>3</v>
      </c>
      <c r="H167" s="69">
        <f t="shared" si="14"/>
        <v>3</v>
      </c>
      <c r="I167" s="86" t="s">
        <v>170</v>
      </c>
    </row>
    <row r="168" customHeight="1" spans="1:9">
      <c r="A168" s="82">
        <v>9</v>
      </c>
      <c r="B168" s="82" t="s">
        <v>186</v>
      </c>
      <c r="C168" s="82"/>
      <c r="D168" s="82" t="s">
        <v>168</v>
      </c>
      <c r="E168" s="82">
        <v>1</v>
      </c>
      <c r="F168" s="82">
        <v>0</v>
      </c>
      <c r="G168" s="75">
        <v>0.5</v>
      </c>
      <c r="H168" s="69">
        <f t="shared" si="14"/>
        <v>0.5</v>
      </c>
      <c r="I168" s="86" t="s">
        <v>170</v>
      </c>
    </row>
    <row r="169" customHeight="1" spans="1:9">
      <c r="A169" s="82">
        <v>10</v>
      </c>
      <c r="B169" s="82" t="s">
        <v>187</v>
      </c>
      <c r="C169" s="82"/>
      <c r="D169" s="82" t="s">
        <v>168</v>
      </c>
      <c r="E169" s="82">
        <v>1</v>
      </c>
      <c r="F169" s="82">
        <v>0</v>
      </c>
      <c r="G169" s="75">
        <v>0.5</v>
      </c>
      <c r="H169" s="69">
        <f t="shared" si="14"/>
        <v>0.5</v>
      </c>
      <c r="I169" s="86" t="s">
        <v>170</v>
      </c>
    </row>
    <row r="170" customHeight="1" spans="1:9">
      <c r="A170" s="82">
        <v>11</v>
      </c>
      <c r="B170" s="84" t="s">
        <v>188</v>
      </c>
      <c r="C170" s="85"/>
      <c r="D170" s="82" t="s">
        <v>168</v>
      </c>
      <c r="E170" s="82">
        <v>1</v>
      </c>
      <c r="F170" s="82">
        <v>0</v>
      </c>
      <c r="G170" s="75">
        <v>1</v>
      </c>
      <c r="H170" s="69">
        <f t="shared" si="14"/>
        <v>1</v>
      </c>
      <c r="I170" s="86" t="s">
        <v>170</v>
      </c>
    </row>
    <row r="171" customHeight="1" spans="1:9">
      <c r="A171" s="82">
        <v>12</v>
      </c>
      <c r="B171" s="82" t="s">
        <v>189</v>
      </c>
      <c r="C171" s="82"/>
      <c r="D171" s="82" t="s">
        <v>168</v>
      </c>
      <c r="E171" s="82">
        <v>1</v>
      </c>
      <c r="F171" s="82">
        <v>0</v>
      </c>
      <c r="G171" s="75">
        <v>0.5</v>
      </c>
      <c r="H171" s="69">
        <f t="shared" si="14"/>
        <v>0.5</v>
      </c>
      <c r="I171" s="86" t="s">
        <v>170</v>
      </c>
    </row>
    <row r="172" customHeight="1" spans="1:9">
      <c r="A172" s="82">
        <v>13</v>
      </c>
      <c r="B172" s="84" t="s">
        <v>190</v>
      </c>
      <c r="C172" s="85"/>
      <c r="D172" s="82" t="s">
        <v>6</v>
      </c>
      <c r="E172" s="84" t="s">
        <v>191</v>
      </c>
      <c r="F172" s="85"/>
      <c r="G172" s="86"/>
      <c r="H172" s="69">
        <f>H146+H150+H155+H161+H165+H166+H167+H168+H169+H171+H170+H152</f>
        <v>661.683904</v>
      </c>
      <c r="I172" s="89" t="s">
        <v>192</v>
      </c>
    </row>
    <row r="173" customHeight="1" spans="1:9">
      <c r="A173" s="82">
        <v>14</v>
      </c>
      <c r="B173" s="84" t="s">
        <v>193</v>
      </c>
      <c r="C173" s="85"/>
      <c r="D173" s="82" t="s">
        <v>6</v>
      </c>
      <c r="E173" s="84" t="s">
        <v>194</v>
      </c>
      <c r="F173" s="85"/>
      <c r="G173" s="87">
        <v>0.08</v>
      </c>
      <c r="H173" s="69">
        <f>H172*(G173)</f>
        <v>52.93471232</v>
      </c>
      <c r="I173" s="90"/>
    </row>
    <row r="174" customHeight="1" spans="1:9">
      <c r="A174" s="82">
        <v>15</v>
      </c>
      <c r="B174" s="84" t="s">
        <v>195</v>
      </c>
      <c r="C174" s="85"/>
      <c r="D174" s="82" t="s">
        <v>6</v>
      </c>
      <c r="E174" s="84" t="s">
        <v>196</v>
      </c>
      <c r="F174" s="85"/>
      <c r="G174" s="86"/>
      <c r="H174" s="69">
        <f>H172+H173</f>
        <v>714.61861632</v>
      </c>
      <c r="I174" s="91">
        <f>H174</f>
        <v>714.61861632</v>
      </c>
    </row>
    <row r="176" customHeight="1" spans="1:9">
      <c r="A176" s="66" t="s">
        <v>198</v>
      </c>
      <c r="E176" s="60"/>
      <c r="G176" s="60"/>
      <c r="H176" s="60"/>
      <c r="I176" s="60"/>
    </row>
    <row r="177" customHeight="1" spans="1:9">
      <c r="A177" s="14" t="s">
        <v>143</v>
      </c>
      <c r="B177" s="88"/>
      <c r="C177" s="88"/>
      <c r="D177" s="88"/>
      <c r="E177" s="14" t="s">
        <v>144</v>
      </c>
      <c r="F177" s="14" t="s">
        <v>204</v>
      </c>
      <c r="G177" s="14"/>
      <c r="H177" s="14" t="s">
        <v>145</v>
      </c>
      <c r="I177" s="14"/>
    </row>
    <row r="178" customHeight="1" spans="1:9">
      <c r="A178" s="14" t="s">
        <v>82</v>
      </c>
      <c r="B178" s="14"/>
      <c r="C178" s="14"/>
      <c r="D178" s="14"/>
      <c r="E178" s="14" t="s">
        <v>146</v>
      </c>
      <c r="F178" s="14"/>
      <c r="G178" s="14"/>
      <c r="H178" s="14"/>
      <c r="I178" s="14"/>
    </row>
    <row r="179" customHeight="1" spans="1:9">
      <c r="A179" s="13" t="s">
        <v>147</v>
      </c>
      <c r="B179" s="14" t="e">
        <f>VLOOKUP(J178,[1]工程量清单清单!A:AD,29,FALSE)</f>
        <v>#N/A</v>
      </c>
      <c r="C179" s="13" t="s">
        <v>148</v>
      </c>
      <c r="D179" s="14" t="e">
        <f>VLOOKUP(J178,[1]工程量清单清单!A:ZC,30,FALSE)</f>
        <v>#N/A</v>
      </c>
      <c r="E179" s="14" t="s">
        <v>149</v>
      </c>
      <c r="F179" s="67">
        <v>0</v>
      </c>
      <c r="G179" s="11" t="s">
        <v>150</v>
      </c>
      <c r="H179" s="14"/>
      <c r="I179" s="14"/>
    </row>
    <row r="180" customHeight="1" spans="1:9">
      <c r="A180" s="13"/>
      <c r="B180" s="14"/>
      <c r="C180" s="13"/>
      <c r="D180" s="14"/>
      <c r="E180" s="14"/>
      <c r="F180" s="67">
        <v>0</v>
      </c>
      <c r="G180" s="12" t="s">
        <v>151</v>
      </c>
      <c r="H180" s="14"/>
      <c r="I180" s="14"/>
    </row>
    <row r="181" customHeight="1" spans="1:9">
      <c r="A181" s="14" t="s">
        <v>38</v>
      </c>
      <c r="B181" s="14" t="s">
        <v>152</v>
      </c>
      <c r="C181" s="14"/>
      <c r="D181" s="14" t="s">
        <v>153</v>
      </c>
      <c r="E181" s="14" t="s">
        <v>154</v>
      </c>
      <c r="F181" s="14" t="s">
        <v>155</v>
      </c>
      <c r="G181" s="11" t="s">
        <v>156</v>
      </c>
      <c r="H181" s="11" t="s">
        <v>157</v>
      </c>
      <c r="I181" s="12" t="s">
        <v>158</v>
      </c>
    </row>
    <row r="182" customHeight="1" spans="1:9">
      <c r="A182" s="68">
        <v>1</v>
      </c>
      <c r="B182" s="68" t="s">
        <v>159</v>
      </c>
      <c r="C182" s="68"/>
      <c r="D182" s="68"/>
      <c r="E182" s="68"/>
      <c r="F182" s="68"/>
      <c r="G182" s="68"/>
      <c r="H182" s="69">
        <f>SUM(H183:H185)</f>
        <v>202.234066</v>
      </c>
      <c r="I182" s="86"/>
    </row>
    <row r="183" customHeight="1" spans="1:9">
      <c r="A183" s="14">
        <v>1.1</v>
      </c>
      <c r="B183" s="70" t="s">
        <v>200</v>
      </c>
      <c r="C183" s="71"/>
      <c r="D183" s="14" t="s">
        <v>161</v>
      </c>
      <c r="E183" s="67">
        <v>5.65</v>
      </c>
      <c r="F183" s="72">
        <v>0.07</v>
      </c>
      <c r="G183" s="73">
        <f>主要材料品牌单价!E$6/1000</f>
        <v>27.1</v>
      </c>
      <c r="H183" s="73">
        <f t="shared" ref="H183:H187" si="15">E183*(1+F183)*G183</f>
        <v>163.83305</v>
      </c>
      <c r="I183" s="11"/>
    </row>
    <row r="184" customHeight="1" spans="1:9">
      <c r="A184" s="14">
        <v>1.2</v>
      </c>
      <c r="B184" s="70" t="s">
        <v>160</v>
      </c>
      <c r="C184" s="71"/>
      <c r="D184" s="14" t="s">
        <v>161</v>
      </c>
      <c r="E184" s="67">
        <f>E183*0.16</f>
        <v>0.904</v>
      </c>
      <c r="F184" s="72">
        <v>0.07</v>
      </c>
      <c r="G184" s="73">
        <f>主要材料品牌单价!E$5/1000</f>
        <v>26.8</v>
      </c>
      <c r="H184" s="73">
        <f t="shared" si="15"/>
        <v>25.923104</v>
      </c>
      <c r="I184" s="11"/>
    </row>
    <row r="185" customHeight="1" spans="1:9">
      <c r="A185" s="14">
        <v>1.3</v>
      </c>
      <c r="B185" s="14" t="s">
        <v>162</v>
      </c>
      <c r="C185" s="14"/>
      <c r="D185" s="14" t="s">
        <v>161</v>
      </c>
      <c r="E185" s="67">
        <f>E183*0.08</f>
        <v>0.452</v>
      </c>
      <c r="F185" s="72">
        <v>0.07</v>
      </c>
      <c r="G185" s="73">
        <f>(主要材料品牌单价!E$5-1000)/1000</f>
        <v>25.8</v>
      </c>
      <c r="H185" s="73">
        <f t="shared" si="15"/>
        <v>12.477912</v>
      </c>
      <c r="I185" s="11"/>
    </row>
    <row r="186" customHeight="1" spans="1:9">
      <c r="A186" s="68">
        <v>2</v>
      </c>
      <c r="B186" s="68" t="s">
        <v>163</v>
      </c>
      <c r="C186" s="68"/>
      <c r="D186" s="68"/>
      <c r="E186" s="68"/>
      <c r="F186" s="68"/>
      <c r="G186" s="68"/>
      <c r="H186" s="74">
        <f>H187</f>
        <v>28.9668</v>
      </c>
      <c r="I186" s="86"/>
    </row>
    <row r="187" customHeight="1" spans="1:9">
      <c r="A187" s="14">
        <v>2.1</v>
      </c>
      <c r="B187" s="14" t="s">
        <v>164</v>
      </c>
      <c r="C187" s="14"/>
      <c r="D187" s="14" t="s">
        <v>165</v>
      </c>
      <c r="E187" s="73">
        <v>0.4</v>
      </c>
      <c r="F187" s="72">
        <v>0.01</v>
      </c>
      <c r="G187" s="73">
        <f>主要材料品牌单价!E14</f>
        <v>71.7</v>
      </c>
      <c r="H187" s="73">
        <f t="shared" si="15"/>
        <v>28.9668</v>
      </c>
      <c r="I187" s="11"/>
    </row>
    <row r="188" customHeight="1" spans="1:9">
      <c r="A188" s="68">
        <v>3</v>
      </c>
      <c r="B188" s="68" t="s">
        <v>166</v>
      </c>
      <c r="C188" s="68"/>
      <c r="D188" s="68"/>
      <c r="E188" s="68"/>
      <c r="F188" s="68"/>
      <c r="G188" s="68"/>
      <c r="H188" s="74">
        <f>H189</f>
        <v>112.8375</v>
      </c>
      <c r="I188" s="86"/>
    </row>
    <row r="189" customHeight="1" spans="1:9">
      <c r="A189" s="14">
        <v>3.1</v>
      </c>
      <c r="B189" s="14" t="s">
        <v>205</v>
      </c>
      <c r="C189" s="14"/>
      <c r="D189" s="14" t="s">
        <v>168</v>
      </c>
      <c r="E189" s="73">
        <v>0.9</v>
      </c>
      <c r="F189" s="72">
        <v>0.003</v>
      </c>
      <c r="G189" s="11">
        <f>主要材料品牌单价!E35</f>
        <v>125</v>
      </c>
      <c r="H189" s="73">
        <f>E189*(1+F189)*G189</f>
        <v>112.8375</v>
      </c>
      <c r="I189" s="11"/>
    </row>
    <row r="190" customHeight="1" spans="1:9">
      <c r="A190" s="68">
        <v>4</v>
      </c>
      <c r="B190" s="68" t="s">
        <v>169</v>
      </c>
      <c r="C190" s="68"/>
      <c r="D190" s="68"/>
      <c r="E190" s="68"/>
      <c r="F190" s="68"/>
      <c r="G190" s="68"/>
      <c r="H190" s="69">
        <f>SUM(H191:H195)</f>
        <v>27.45</v>
      </c>
      <c r="I190" s="86" t="s">
        <v>170</v>
      </c>
    </row>
    <row r="191" customHeight="1" spans="1:9">
      <c r="A191" s="75">
        <v>4.1</v>
      </c>
      <c r="B191" s="14" t="s">
        <v>171</v>
      </c>
      <c r="C191" s="14"/>
      <c r="D191" s="14" t="s">
        <v>172</v>
      </c>
      <c r="E191" s="75">
        <v>0.5</v>
      </c>
      <c r="F191" s="75"/>
      <c r="G191" s="75">
        <f>主要材料品牌单价!E$44</f>
        <v>11.5</v>
      </c>
      <c r="H191" s="73">
        <f t="shared" ref="H191:H195" si="16">E191*(1+F191)*G191</f>
        <v>5.75</v>
      </c>
      <c r="I191" s="11"/>
    </row>
    <row r="192" customHeight="1" spans="1:9">
      <c r="A192" s="75">
        <v>4.2</v>
      </c>
      <c r="B192" s="70" t="s">
        <v>173</v>
      </c>
      <c r="C192" s="71"/>
      <c r="D192" s="14" t="s">
        <v>172</v>
      </c>
      <c r="E192" s="76">
        <v>0.8</v>
      </c>
      <c r="F192" s="75"/>
      <c r="G192" s="75">
        <f>主要材料品牌单价!E$43</f>
        <v>11.5</v>
      </c>
      <c r="H192" s="73">
        <f t="shared" si="16"/>
        <v>9.2</v>
      </c>
      <c r="I192" s="11"/>
    </row>
    <row r="193" customHeight="1" spans="1:9">
      <c r="A193" s="75">
        <v>4.3</v>
      </c>
      <c r="B193" s="70" t="s">
        <v>174</v>
      </c>
      <c r="C193" s="71"/>
      <c r="D193" s="14" t="s">
        <v>172</v>
      </c>
      <c r="E193" s="76">
        <v>0.2</v>
      </c>
      <c r="F193" s="75"/>
      <c r="G193" s="75">
        <f>主要材料品牌单价!E$45</f>
        <v>13.5</v>
      </c>
      <c r="H193" s="73">
        <f t="shared" si="16"/>
        <v>2.7</v>
      </c>
      <c r="I193" s="11"/>
    </row>
    <row r="194" customHeight="1" spans="1:9">
      <c r="A194" s="75">
        <v>4.4</v>
      </c>
      <c r="B194" s="77" t="s">
        <v>175</v>
      </c>
      <c r="C194" s="78"/>
      <c r="D194" s="14" t="s">
        <v>172</v>
      </c>
      <c r="E194" s="67">
        <v>0.1</v>
      </c>
      <c r="F194" s="14"/>
      <c r="G194" s="75">
        <f>主要材料品牌单价!E$46</f>
        <v>18</v>
      </c>
      <c r="H194" s="73">
        <f t="shared" si="16"/>
        <v>1.8</v>
      </c>
      <c r="I194" s="11"/>
    </row>
    <row r="195" customHeight="1" spans="1:9">
      <c r="A195" s="75">
        <v>4.5</v>
      </c>
      <c r="B195" s="79" t="s">
        <v>176</v>
      </c>
      <c r="C195" s="79"/>
      <c r="D195" s="14" t="s">
        <v>177</v>
      </c>
      <c r="E195" s="67">
        <v>1</v>
      </c>
      <c r="F195" s="14"/>
      <c r="G195" s="75">
        <v>8</v>
      </c>
      <c r="H195" s="73">
        <f t="shared" si="16"/>
        <v>8</v>
      </c>
      <c r="I195" s="11"/>
    </row>
    <row r="196" customHeight="1" spans="1:9">
      <c r="A196" s="68">
        <v>5</v>
      </c>
      <c r="B196" s="68" t="s">
        <v>178</v>
      </c>
      <c r="C196" s="68"/>
      <c r="D196" s="68"/>
      <c r="E196" s="68"/>
      <c r="F196" s="68"/>
      <c r="G196" s="68"/>
      <c r="H196" s="69">
        <f>SUM(H197:H199)</f>
        <v>9.3</v>
      </c>
      <c r="I196" s="86" t="s">
        <v>170</v>
      </c>
    </row>
    <row r="197" customHeight="1" spans="1:9">
      <c r="A197" s="75">
        <v>5.1</v>
      </c>
      <c r="B197" s="14" t="s">
        <v>179</v>
      </c>
      <c r="C197" s="14"/>
      <c r="D197" s="14" t="s">
        <v>180</v>
      </c>
      <c r="E197" s="76">
        <v>0.1</v>
      </c>
      <c r="F197" s="75"/>
      <c r="G197" s="75">
        <f>主要材料品牌单价!E$48</f>
        <v>13</v>
      </c>
      <c r="H197" s="73">
        <f t="shared" ref="H197:H206" si="17">E197*(1+F197)*G197</f>
        <v>1.3</v>
      </c>
      <c r="I197" s="11"/>
    </row>
    <row r="198" customHeight="1" spans="1:9">
      <c r="A198" s="75">
        <v>5.2</v>
      </c>
      <c r="B198" s="70" t="s">
        <v>181</v>
      </c>
      <c r="C198" s="71"/>
      <c r="D198" s="14" t="s">
        <v>177</v>
      </c>
      <c r="E198" s="76">
        <v>0</v>
      </c>
      <c r="F198" s="75"/>
      <c r="G198" s="75"/>
      <c r="H198" s="73">
        <f t="shared" si="17"/>
        <v>0</v>
      </c>
      <c r="I198" s="11"/>
    </row>
    <row r="199" customHeight="1" spans="1:9">
      <c r="A199" s="75">
        <v>5.3</v>
      </c>
      <c r="B199" s="80" t="s">
        <v>182</v>
      </c>
      <c r="C199" s="81"/>
      <c r="D199" s="82" t="s">
        <v>168</v>
      </c>
      <c r="E199" s="67">
        <v>8</v>
      </c>
      <c r="F199" s="14"/>
      <c r="G199" s="75"/>
      <c r="H199" s="73">
        <v>8</v>
      </c>
      <c r="I199" s="11"/>
    </row>
    <row r="200" customHeight="1" spans="1:9">
      <c r="A200" s="83">
        <v>6</v>
      </c>
      <c r="B200" s="82" t="s">
        <v>183</v>
      </c>
      <c r="C200" s="82"/>
      <c r="D200" s="82" t="s">
        <v>168</v>
      </c>
      <c r="E200" s="82">
        <v>1</v>
      </c>
      <c r="F200" s="68">
        <v>0</v>
      </c>
      <c r="G200" s="75">
        <v>35</v>
      </c>
      <c r="H200" s="69">
        <f t="shared" si="17"/>
        <v>35</v>
      </c>
      <c r="I200" s="86" t="s">
        <v>170</v>
      </c>
    </row>
    <row r="201" customHeight="1" spans="1:9">
      <c r="A201" s="68">
        <v>7</v>
      </c>
      <c r="B201" s="84" t="s">
        <v>184</v>
      </c>
      <c r="C201" s="85"/>
      <c r="D201" s="82" t="s">
        <v>168</v>
      </c>
      <c r="E201" s="82">
        <v>1</v>
      </c>
      <c r="F201" s="68">
        <v>0</v>
      </c>
      <c r="G201" s="75">
        <v>50</v>
      </c>
      <c r="H201" s="69">
        <f t="shared" si="17"/>
        <v>50</v>
      </c>
      <c r="I201" s="86" t="s">
        <v>170</v>
      </c>
    </row>
    <row r="202" customHeight="1" spans="1:9">
      <c r="A202" s="68">
        <v>8</v>
      </c>
      <c r="B202" s="82" t="s">
        <v>185</v>
      </c>
      <c r="C202" s="82"/>
      <c r="D202" s="82" t="s">
        <v>168</v>
      </c>
      <c r="E202" s="82">
        <v>1</v>
      </c>
      <c r="F202" s="68">
        <v>0</v>
      </c>
      <c r="G202" s="75">
        <v>3</v>
      </c>
      <c r="H202" s="69">
        <f t="shared" si="17"/>
        <v>3</v>
      </c>
      <c r="I202" s="86" t="s">
        <v>170</v>
      </c>
    </row>
    <row r="203" customHeight="1" spans="1:9">
      <c r="A203" s="82">
        <v>9</v>
      </c>
      <c r="B203" s="82" t="s">
        <v>186</v>
      </c>
      <c r="C203" s="82"/>
      <c r="D203" s="82" t="s">
        <v>168</v>
      </c>
      <c r="E203" s="82">
        <v>1</v>
      </c>
      <c r="F203" s="82">
        <v>0</v>
      </c>
      <c r="G203" s="75">
        <v>0.5</v>
      </c>
      <c r="H203" s="69">
        <f t="shared" si="17"/>
        <v>0.5</v>
      </c>
      <c r="I203" s="86" t="s">
        <v>170</v>
      </c>
    </row>
    <row r="204" customHeight="1" spans="1:9">
      <c r="A204" s="82">
        <v>10</v>
      </c>
      <c r="B204" s="82" t="s">
        <v>187</v>
      </c>
      <c r="C204" s="82"/>
      <c r="D204" s="82" t="s">
        <v>168</v>
      </c>
      <c r="E204" s="82">
        <v>1</v>
      </c>
      <c r="F204" s="82">
        <v>0</v>
      </c>
      <c r="G204" s="75">
        <v>0.5</v>
      </c>
      <c r="H204" s="69">
        <f t="shared" si="17"/>
        <v>0.5</v>
      </c>
      <c r="I204" s="86" t="s">
        <v>170</v>
      </c>
    </row>
    <row r="205" customHeight="1" spans="1:9">
      <c r="A205" s="82">
        <v>11</v>
      </c>
      <c r="B205" s="84" t="s">
        <v>188</v>
      </c>
      <c r="C205" s="85"/>
      <c r="D205" s="82" t="s">
        <v>168</v>
      </c>
      <c r="E205" s="82">
        <v>1</v>
      </c>
      <c r="F205" s="82">
        <v>0</v>
      </c>
      <c r="G205" s="75">
        <v>1</v>
      </c>
      <c r="H205" s="69">
        <f t="shared" si="17"/>
        <v>1</v>
      </c>
      <c r="I205" s="86" t="s">
        <v>170</v>
      </c>
    </row>
    <row r="206" customHeight="1" spans="1:9">
      <c r="A206" s="82">
        <v>12</v>
      </c>
      <c r="B206" s="82" t="s">
        <v>189</v>
      </c>
      <c r="C206" s="82"/>
      <c r="D206" s="82" t="s">
        <v>168</v>
      </c>
      <c r="E206" s="82">
        <v>1</v>
      </c>
      <c r="F206" s="82">
        <v>0</v>
      </c>
      <c r="G206" s="75">
        <v>0.5</v>
      </c>
      <c r="H206" s="69">
        <f t="shared" si="17"/>
        <v>0.5</v>
      </c>
      <c r="I206" s="86" t="s">
        <v>170</v>
      </c>
    </row>
    <row r="207" customHeight="1" spans="1:9">
      <c r="A207" s="82">
        <v>13</v>
      </c>
      <c r="B207" s="84" t="s">
        <v>190</v>
      </c>
      <c r="C207" s="85"/>
      <c r="D207" s="82" t="s">
        <v>6</v>
      </c>
      <c r="E207" s="84" t="s">
        <v>191</v>
      </c>
      <c r="F207" s="85"/>
      <c r="G207" s="86"/>
      <c r="H207" s="69">
        <f>H182+H186+H190+H196+H200+H201+H202+H203+H204+H206+H205+H188</f>
        <v>471.288366</v>
      </c>
      <c r="I207" s="89" t="s">
        <v>192</v>
      </c>
    </row>
    <row r="208" customHeight="1" spans="1:9">
      <c r="A208" s="82">
        <v>14</v>
      </c>
      <c r="B208" s="84" t="s">
        <v>193</v>
      </c>
      <c r="C208" s="85"/>
      <c r="D208" s="82" t="s">
        <v>6</v>
      </c>
      <c r="E208" s="84" t="s">
        <v>194</v>
      </c>
      <c r="F208" s="85"/>
      <c r="G208" s="87">
        <v>0.08</v>
      </c>
      <c r="H208" s="69">
        <f>H207*(G208)</f>
        <v>37.70306928</v>
      </c>
      <c r="I208" s="90"/>
    </row>
    <row r="209" customHeight="1" spans="1:9">
      <c r="A209" s="82">
        <v>15</v>
      </c>
      <c r="B209" s="84" t="s">
        <v>195</v>
      </c>
      <c r="C209" s="85"/>
      <c r="D209" s="82" t="s">
        <v>6</v>
      </c>
      <c r="E209" s="84" t="s">
        <v>196</v>
      </c>
      <c r="F209" s="85"/>
      <c r="G209" s="86"/>
      <c r="H209" s="69">
        <f>H207+H208</f>
        <v>508.99143528</v>
      </c>
      <c r="I209" s="91">
        <f>H209</f>
        <v>508.99143528</v>
      </c>
    </row>
    <row r="211" customHeight="1" spans="1:9">
      <c r="A211" s="66" t="s">
        <v>198</v>
      </c>
      <c r="E211" s="60"/>
      <c r="G211" s="60"/>
      <c r="H211" s="60"/>
      <c r="I211" s="60"/>
    </row>
    <row r="212" customHeight="1" spans="1:9">
      <c r="A212" s="14" t="s">
        <v>143</v>
      </c>
      <c r="B212" s="88"/>
      <c r="C212" s="88"/>
      <c r="D212" s="88"/>
      <c r="E212" s="14" t="s">
        <v>144</v>
      </c>
      <c r="F212" s="14" t="s">
        <v>119</v>
      </c>
      <c r="G212" s="14"/>
      <c r="H212" s="14" t="s">
        <v>145</v>
      </c>
      <c r="I212" s="14"/>
    </row>
    <row r="213" customHeight="1" spans="1:9">
      <c r="A213" s="14" t="s">
        <v>82</v>
      </c>
      <c r="B213" s="14"/>
      <c r="C213" s="14"/>
      <c r="D213" s="14"/>
      <c r="E213" s="14" t="s">
        <v>146</v>
      </c>
      <c r="F213" s="14"/>
      <c r="G213" s="14"/>
      <c r="H213" s="14"/>
      <c r="I213" s="14"/>
    </row>
    <row r="214" customHeight="1" spans="1:9">
      <c r="A214" s="13" t="s">
        <v>147</v>
      </c>
      <c r="B214" s="14" t="e">
        <f>VLOOKUP(J213,[1]工程量清单清单!A:AD,29,FALSE)</f>
        <v>#N/A</v>
      </c>
      <c r="C214" s="13" t="s">
        <v>148</v>
      </c>
      <c r="D214" s="14" t="e">
        <f>VLOOKUP(J213,[1]工程量清单清单!A:ZC,30,FALSE)</f>
        <v>#N/A</v>
      </c>
      <c r="E214" s="14" t="s">
        <v>149</v>
      </c>
      <c r="F214" s="67">
        <v>0</v>
      </c>
      <c r="G214" s="11" t="s">
        <v>150</v>
      </c>
      <c r="H214" s="14"/>
      <c r="I214" s="14"/>
    </row>
    <row r="215" customHeight="1" spans="1:9">
      <c r="A215" s="13"/>
      <c r="B215" s="14"/>
      <c r="C215" s="13"/>
      <c r="D215" s="14"/>
      <c r="E215" s="14"/>
      <c r="F215" s="67">
        <v>0</v>
      </c>
      <c r="G215" s="12" t="s">
        <v>151</v>
      </c>
      <c r="H215" s="14"/>
      <c r="I215" s="14"/>
    </row>
    <row r="216" customHeight="1" spans="1:9">
      <c r="A216" s="14" t="s">
        <v>38</v>
      </c>
      <c r="B216" s="14" t="s">
        <v>152</v>
      </c>
      <c r="C216" s="14"/>
      <c r="D216" s="14" t="s">
        <v>153</v>
      </c>
      <c r="E216" s="14" t="s">
        <v>154</v>
      </c>
      <c r="F216" s="14" t="s">
        <v>155</v>
      </c>
      <c r="G216" s="11" t="s">
        <v>156</v>
      </c>
      <c r="H216" s="11" t="s">
        <v>157</v>
      </c>
      <c r="I216" s="12" t="s">
        <v>158</v>
      </c>
    </row>
    <row r="217" customHeight="1" spans="1:9">
      <c r="A217" s="68">
        <v>1</v>
      </c>
      <c r="B217" s="68" t="s">
        <v>159</v>
      </c>
      <c r="C217" s="68"/>
      <c r="D217" s="68"/>
      <c r="E217" s="68"/>
      <c r="F217" s="68"/>
      <c r="G217" s="68"/>
      <c r="H217" s="69">
        <f>SUM(H218:H220)</f>
        <v>245.9023068</v>
      </c>
      <c r="I217" s="86"/>
    </row>
    <row r="218" customHeight="1" spans="1:9">
      <c r="A218" s="14">
        <v>1.1</v>
      </c>
      <c r="B218" s="70" t="s">
        <v>200</v>
      </c>
      <c r="C218" s="71"/>
      <c r="D218" s="14" t="s">
        <v>161</v>
      </c>
      <c r="E218" s="67">
        <v>6.87</v>
      </c>
      <c r="F218" s="72">
        <v>0.07</v>
      </c>
      <c r="G218" s="73">
        <f>主要材料品牌单价!E$6/1000</f>
        <v>27.1</v>
      </c>
      <c r="H218" s="73">
        <f t="shared" ref="H218:H220" si="18">E218*(1+F218)*G218</f>
        <v>199.20939</v>
      </c>
      <c r="I218" s="11"/>
    </row>
    <row r="219" customHeight="1" spans="1:9">
      <c r="A219" s="14">
        <v>1.2</v>
      </c>
      <c r="B219" s="70" t="s">
        <v>160</v>
      </c>
      <c r="C219" s="71"/>
      <c r="D219" s="14" t="s">
        <v>161</v>
      </c>
      <c r="E219" s="67">
        <f>E218*0.16</f>
        <v>1.0992</v>
      </c>
      <c r="F219" s="72">
        <v>0.07</v>
      </c>
      <c r="G219" s="73">
        <f>主要材料品牌单价!E$5/1000</f>
        <v>26.8</v>
      </c>
      <c r="H219" s="73">
        <f t="shared" si="18"/>
        <v>31.5206592</v>
      </c>
      <c r="I219" s="11"/>
    </row>
    <row r="220" customHeight="1" spans="1:9">
      <c r="A220" s="14">
        <v>1.3</v>
      </c>
      <c r="B220" s="14" t="s">
        <v>162</v>
      </c>
      <c r="C220" s="14"/>
      <c r="D220" s="14" t="s">
        <v>161</v>
      </c>
      <c r="E220" s="67">
        <f>E218*0.08</f>
        <v>0.5496</v>
      </c>
      <c r="F220" s="72">
        <v>0.07</v>
      </c>
      <c r="G220" s="73">
        <f>(主要材料品牌单价!E$5-1000)/1000</f>
        <v>25.8</v>
      </c>
      <c r="H220" s="73">
        <f t="shared" si="18"/>
        <v>15.1722576</v>
      </c>
      <c r="I220" s="11"/>
    </row>
    <row r="221" customHeight="1" spans="1:9">
      <c r="A221" s="68">
        <v>2</v>
      </c>
      <c r="B221" s="68" t="s">
        <v>163</v>
      </c>
      <c r="C221" s="68"/>
      <c r="D221" s="68"/>
      <c r="E221" s="68"/>
      <c r="F221" s="68"/>
      <c r="G221" s="68"/>
      <c r="H221" s="74">
        <f>H222</f>
        <v>42.2685</v>
      </c>
      <c r="I221" s="86"/>
    </row>
    <row r="222" customHeight="1" spans="1:9">
      <c r="A222" s="14">
        <v>2.1</v>
      </c>
      <c r="B222" s="14" t="s">
        <v>164</v>
      </c>
      <c r="C222" s="14"/>
      <c r="D222" s="14" t="s">
        <v>165</v>
      </c>
      <c r="E222" s="73">
        <v>0.31</v>
      </c>
      <c r="F222" s="72">
        <v>0.01</v>
      </c>
      <c r="G222" s="73">
        <f>主要材料品牌单价!E26</f>
        <v>135</v>
      </c>
      <c r="H222" s="73">
        <f>E222*(1+F222)*G222</f>
        <v>42.2685</v>
      </c>
      <c r="I222" s="11"/>
    </row>
    <row r="223" customHeight="1" spans="1:9">
      <c r="A223" s="68">
        <v>3</v>
      </c>
      <c r="B223" s="68" t="s">
        <v>166</v>
      </c>
      <c r="C223" s="68"/>
      <c r="D223" s="68"/>
      <c r="E223" s="68"/>
      <c r="F223" s="68"/>
      <c r="G223" s="68"/>
      <c r="H223" s="74">
        <f>H224+H225</f>
        <v>172.23516</v>
      </c>
      <c r="I223" s="86"/>
    </row>
    <row r="224" ht="26" customHeight="1" spans="1:9">
      <c r="A224" s="14">
        <v>3.1</v>
      </c>
      <c r="B224" s="13" t="s">
        <v>206</v>
      </c>
      <c r="C224" s="13"/>
      <c r="D224" s="14" t="s">
        <v>168</v>
      </c>
      <c r="E224" s="73">
        <v>0.72</v>
      </c>
      <c r="F224" s="72">
        <v>0.003</v>
      </c>
      <c r="G224" s="11">
        <f>主要材料品牌单价!E40</f>
        <v>187</v>
      </c>
      <c r="H224" s="73">
        <f>E224*(1+F224)*G224</f>
        <v>135.04392</v>
      </c>
      <c r="I224" s="11"/>
    </row>
    <row r="225" ht="26" customHeight="1" spans="1:9">
      <c r="A225" s="14">
        <v>3.2</v>
      </c>
      <c r="B225" s="92" t="s">
        <v>207</v>
      </c>
      <c r="C225" s="93"/>
      <c r="D225" s="14" t="s">
        <v>168</v>
      </c>
      <c r="E225" s="73">
        <v>0.18</v>
      </c>
      <c r="F225" s="72">
        <v>0.003</v>
      </c>
      <c r="G225" s="11">
        <f>主要材料品牌单价!E41</f>
        <v>206</v>
      </c>
      <c r="H225" s="73">
        <f>E225*(1+F225)*G225</f>
        <v>37.19124</v>
      </c>
      <c r="I225" s="11"/>
    </row>
    <row r="226" customHeight="1" spans="1:9">
      <c r="A226" s="68">
        <v>4</v>
      </c>
      <c r="B226" s="68" t="s">
        <v>169</v>
      </c>
      <c r="C226" s="68"/>
      <c r="D226" s="68"/>
      <c r="E226" s="68"/>
      <c r="F226" s="68"/>
      <c r="G226" s="68"/>
      <c r="H226" s="69">
        <f>SUM(H227:H231)</f>
        <v>35.9</v>
      </c>
      <c r="I226" s="86" t="s">
        <v>170</v>
      </c>
    </row>
    <row r="227" customHeight="1" spans="1:9">
      <c r="A227" s="75">
        <v>4.1</v>
      </c>
      <c r="B227" s="14" t="s">
        <v>171</v>
      </c>
      <c r="C227" s="14"/>
      <c r="D227" s="14" t="s">
        <v>172</v>
      </c>
      <c r="E227" s="75">
        <v>1</v>
      </c>
      <c r="F227" s="75"/>
      <c r="G227" s="75">
        <f>主要材料品牌单价!E$44</f>
        <v>11.5</v>
      </c>
      <c r="H227" s="73">
        <f t="shared" ref="H226:H231" si="19">E227*(1+F227)*G227</f>
        <v>11.5</v>
      </c>
      <c r="I227" s="11"/>
    </row>
    <row r="228" customHeight="1" spans="1:9">
      <c r="A228" s="75">
        <v>4.2</v>
      </c>
      <c r="B228" s="70" t="s">
        <v>173</v>
      </c>
      <c r="C228" s="71"/>
      <c r="D228" s="14" t="s">
        <v>172</v>
      </c>
      <c r="E228" s="76">
        <v>0.8</v>
      </c>
      <c r="F228" s="75"/>
      <c r="G228" s="75">
        <f>主要材料品牌单价!E$43</f>
        <v>11.5</v>
      </c>
      <c r="H228" s="73">
        <f t="shared" si="19"/>
        <v>9.2</v>
      </c>
      <c r="I228" s="11"/>
    </row>
    <row r="229" customHeight="1" spans="1:9">
      <c r="A229" s="75">
        <v>4.3</v>
      </c>
      <c r="B229" s="70" t="s">
        <v>174</v>
      </c>
      <c r="C229" s="71"/>
      <c r="D229" s="14" t="s">
        <v>172</v>
      </c>
      <c r="E229" s="76">
        <v>0.4</v>
      </c>
      <c r="F229" s="75"/>
      <c r="G229" s="75">
        <f>主要材料品牌单价!E$45</f>
        <v>13.5</v>
      </c>
      <c r="H229" s="73">
        <f t="shared" si="19"/>
        <v>5.4</v>
      </c>
      <c r="I229" s="11"/>
    </row>
    <row r="230" customHeight="1" spans="1:9">
      <c r="A230" s="75">
        <v>4.4</v>
      </c>
      <c r="B230" s="77" t="s">
        <v>175</v>
      </c>
      <c r="C230" s="78"/>
      <c r="D230" s="14" t="s">
        <v>172</v>
      </c>
      <c r="E230" s="67">
        <v>0.1</v>
      </c>
      <c r="F230" s="14"/>
      <c r="G230" s="75">
        <f>主要材料品牌单价!E$46</f>
        <v>18</v>
      </c>
      <c r="H230" s="73">
        <f t="shared" si="19"/>
        <v>1.8</v>
      </c>
      <c r="I230" s="11"/>
    </row>
    <row r="231" customHeight="1" spans="1:9">
      <c r="A231" s="75">
        <v>4.5</v>
      </c>
      <c r="B231" s="79" t="s">
        <v>176</v>
      </c>
      <c r="C231" s="79"/>
      <c r="D231" s="14" t="s">
        <v>177</v>
      </c>
      <c r="E231" s="67">
        <v>1</v>
      </c>
      <c r="F231" s="14"/>
      <c r="G231" s="75">
        <v>8</v>
      </c>
      <c r="H231" s="73">
        <f t="shared" si="19"/>
        <v>8</v>
      </c>
      <c r="I231" s="11"/>
    </row>
    <row r="232" customHeight="1" spans="1:9">
      <c r="A232" s="68">
        <v>5</v>
      </c>
      <c r="B232" s="68" t="s">
        <v>178</v>
      </c>
      <c r="C232" s="68"/>
      <c r="D232" s="68"/>
      <c r="E232" s="68"/>
      <c r="F232" s="68"/>
      <c r="G232" s="68"/>
      <c r="H232" s="69">
        <f>SUM(H233:H235)</f>
        <v>19.3</v>
      </c>
      <c r="I232" s="86" t="s">
        <v>170</v>
      </c>
    </row>
    <row r="233" customHeight="1" spans="1:9">
      <c r="A233" s="75">
        <v>5.1</v>
      </c>
      <c r="B233" s="14" t="s">
        <v>179</v>
      </c>
      <c r="C233" s="14"/>
      <c r="D233" s="14" t="s">
        <v>180</v>
      </c>
      <c r="E233" s="76">
        <v>0.1</v>
      </c>
      <c r="F233" s="75"/>
      <c r="G233" s="75">
        <f>主要材料品牌单价!E$48</f>
        <v>13</v>
      </c>
      <c r="H233" s="73">
        <f t="shared" ref="H233:H242" si="20">E233*(1+F233)*G233</f>
        <v>1.3</v>
      </c>
      <c r="I233" s="11"/>
    </row>
    <row r="234" customHeight="1" spans="1:9">
      <c r="A234" s="75">
        <v>5.2</v>
      </c>
      <c r="B234" s="70" t="s">
        <v>181</v>
      </c>
      <c r="C234" s="71"/>
      <c r="D234" s="14" t="s">
        <v>177</v>
      </c>
      <c r="E234" s="76">
        <v>0</v>
      </c>
      <c r="F234" s="75"/>
      <c r="G234" s="75"/>
      <c r="H234" s="73">
        <f t="shared" si="20"/>
        <v>0</v>
      </c>
      <c r="I234" s="11"/>
    </row>
    <row r="235" customHeight="1" spans="1:9">
      <c r="A235" s="75">
        <v>5.3</v>
      </c>
      <c r="B235" s="80" t="s">
        <v>182</v>
      </c>
      <c r="C235" s="81"/>
      <c r="D235" s="82" t="s">
        <v>168</v>
      </c>
      <c r="E235" s="67">
        <v>18</v>
      </c>
      <c r="F235" s="14"/>
      <c r="G235" s="75"/>
      <c r="H235" s="73">
        <f>E235</f>
        <v>18</v>
      </c>
      <c r="I235" s="11"/>
    </row>
    <row r="236" customHeight="1" spans="1:9">
      <c r="A236" s="83">
        <v>6</v>
      </c>
      <c r="B236" s="82" t="s">
        <v>183</v>
      </c>
      <c r="C236" s="82"/>
      <c r="D236" s="82" t="s">
        <v>168</v>
      </c>
      <c r="E236" s="82">
        <v>1</v>
      </c>
      <c r="F236" s="68">
        <v>0</v>
      </c>
      <c r="G236" s="75">
        <v>50</v>
      </c>
      <c r="H236" s="69">
        <f t="shared" si="20"/>
        <v>50</v>
      </c>
      <c r="I236" s="86" t="s">
        <v>170</v>
      </c>
    </row>
    <row r="237" customHeight="1" spans="1:9">
      <c r="A237" s="68">
        <v>7</v>
      </c>
      <c r="B237" s="84" t="s">
        <v>184</v>
      </c>
      <c r="C237" s="85"/>
      <c r="D237" s="82" t="s">
        <v>168</v>
      </c>
      <c r="E237" s="82">
        <v>1</v>
      </c>
      <c r="F237" s="68">
        <v>0</v>
      </c>
      <c r="G237" s="75">
        <v>60</v>
      </c>
      <c r="H237" s="69">
        <f t="shared" si="20"/>
        <v>60</v>
      </c>
      <c r="I237" s="86" t="s">
        <v>170</v>
      </c>
    </row>
    <row r="238" customHeight="1" spans="1:9">
      <c r="A238" s="68">
        <v>8</v>
      </c>
      <c r="B238" s="82" t="s">
        <v>185</v>
      </c>
      <c r="C238" s="82"/>
      <c r="D238" s="82" t="s">
        <v>168</v>
      </c>
      <c r="E238" s="82">
        <v>1</v>
      </c>
      <c r="F238" s="68">
        <v>0</v>
      </c>
      <c r="G238" s="75">
        <v>3</v>
      </c>
      <c r="H238" s="69">
        <f t="shared" si="20"/>
        <v>3</v>
      </c>
      <c r="I238" s="86" t="s">
        <v>170</v>
      </c>
    </row>
    <row r="239" customHeight="1" spans="1:9">
      <c r="A239" s="82">
        <v>9</v>
      </c>
      <c r="B239" s="82" t="s">
        <v>186</v>
      </c>
      <c r="C239" s="82"/>
      <c r="D239" s="82" t="s">
        <v>168</v>
      </c>
      <c r="E239" s="82">
        <v>1</v>
      </c>
      <c r="F239" s="82">
        <v>0</v>
      </c>
      <c r="G239" s="75">
        <v>0.5</v>
      </c>
      <c r="H239" s="69">
        <f t="shared" si="20"/>
        <v>0.5</v>
      </c>
      <c r="I239" s="86" t="s">
        <v>170</v>
      </c>
    </row>
    <row r="240" customHeight="1" spans="1:9">
      <c r="A240" s="82">
        <v>10</v>
      </c>
      <c r="B240" s="82" t="s">
        <v>187</v>
      </c>
      <c r="C240" s="82"/>
      <c r="D240" s="82" t="s">
        <v>168</v>
      </c>
      <c r="E240" s="82">
        <v>1</v>
      </c>
      <c r="F240" s="82">
        <v>0</v>
      </c>
      <c r="G240" s="75">
        <v>0.5</v>
      </c>
      <c r="H240" s="69">
        <f t="shared" si="20"/>
        <v>0.5</v>
      </c>
      <c r="I240" s="86" t="s">
        <v>170</v>
      </c>
    </row>
    <row r="241" customHeight="1" spans="1:9">
      <c r="A241" s="82">
        <v>11</v>
      </c>
      <c r="B241" s="84" t="s">
        <v>188</v>
      </c>
      <c r="C241" s="85"/>
      <c r="D241" s="82" t="s">
        <v>168</v>
      </c>
      <c r="E241" s="82">
        <v>1</v>
      </c>
      <c r="F241" s="82">
        <v>0</v>
      </c>
      <c r="G241" s="75">
        <v>1</v>
      </c>
      <c r="H241" s="69">
        <f t="shared" si="20"/>
        <v>1</v>
      </c>
      <c r="I241" s="86" t="s">
        <v>170</v>
      </c>
    </row>
    <row r="242" customHeight="1" spans="1:9">
      <c r="A242" s="82">
        <v>12</v>
      </c>
      <c r="B242" s="82" t="s">
        <v>189</v>
      </c>
      <c r="C242" s="82"/>
      <c r="D242" s="82" t="s">
        <v>168</v>
      </c>
      <c r="E242" s="82">
        <v>1</v>
      </c>
      <c r="F242" s="82">
        <v>0</v>
      </c>
      <c r="G242" s="75">
        <v>0.5</v>
      </c>
      <c r="H242" s="69">
        <f t="shared" si="20"/>
        <v>0.5</v>
      </c>
      <c r="I242" s="86" t="s">
        <v>170</v>
      </c>
    </row>
    <row r="243" customHeight="1" spans="1:9">
      <c r="A243" s="82">
        <v>13</v>
      </c>
      <c r="B243" s="84" t="s">
        <v>190</v>
      </c>
      <c r="C243" s="85"/>
      <c r="D243" s="82" t="s">
        <v>6</v>
      </c>
      <c r="E243" s="84" t="s">
        <v>191</v>
      </c>
      <c r="F243" s="85"/>
      <c r="G243" s="86"/>
      <c r="H243" s="69">
        <f>H217+H221+H226+H232+H236+H237+H238+H239+H240+H242+H241+H223</f>
        <v>631.1059668</v>
      </c>
      <c r="I243" s="89" t="s">
        <v>192</v>
      </c>
    </row>
    <row r="244" customHeight="1" spans="1:9">
      <c r="A244" s="82">
        <v>14</v>
      </c>
      <c r="B244" s="84" t="s">
        <v>193</v>
      </c>
      <c r="C244" s="85"/>
      <c r="D244" s="82" t="s">
        <v>6</v>
      </c>
      <c r="E244" s="84" t="s">
        <v>194</v>
      </c>
      <c r="F244" s="85"/>
      <c r="G244" s="87">
        <v>0.08</v>
      </c>
      <c r="H244" s="69">
        <f>H243*(G244)</f>
        <v>50.488477344</v>
      </c>
      <c r="I244" s="90"/>
    </row>
    <row r="245" customHeight="1" spans="1:9">
      <c r="A245" s="82">
        <v>15</v>
      </c>
      <c r="B245" s="84" t="s">
        <v>195</v>
      </c>
      <c r="C245" s="85"/>
      <c r="D245" s="82" t="s">
        <v>6</v>
      </c>
      <c r="E245" s="84" t="s">
        <v>196</v>
      </c>
      <c r="F245" s="85"/>
      <c r="G245" s="86"/>
      <c r="H245" s="69">
        <f>H243+H244</f>
        <v>681.594444144</v>
      </c>
      <c r="I245" s="91">
        <f>H245</f>
        <v>681.594444144</v>
      </c>
    </row>
    <row r="247" customHeight="1" spans="1:9">
      <c r="A247" s="66" t="s">
        <v>198</v>
      </c>
      <c r="E247" s="60"/>
      <c r="G247" s="60"/>
      <c r="H247" s="60"/>
      <c r="I247" s="60"/>
    </row>
    <row r="248" customHeight="1" spans="1:9">
      <c r="A248" s="14" t="s">
        <v>143</v>
      </c>
      <c r="B248" s="88"/>
      <c r="C248" s="88"/>
      <c r="D248" s="88"/>
      <c r="E248" s="14" t="s">
        <v>144</v>
      </c>
      <c r="F248" s="14" t="s">
        <v>123</v>
      </c>
      <c r="G248" s="14"/>
      <c r="H248" s="14" t="s">
        <v>145</v>
      </c>
      <c r="I248" s="14"/>
    </row>
    <row r="249" customHeight="1" spans="1:9">
      <c r="A249" s="14" t="s">
        <v>82</v>
      </c>
      <c r="B249" s="14"/>
      <c r="C249" s="14"/>
      <c r="D249" s="14"/>
      <c r="E249" s="14" t="s">
        <v>146</v>
      </c>
      <c r="F249" s="14"/>
      <c r="G249" s="14"/>
      <c r="H249" s="14"/>
      <c r="I249" s="14"/>
    </row>
    <row r="250" customHeight="1" spans="1:9">
      <c r="A250" s="13" t="s">
        <v>147</v>
      </c>
      <c r="B250" s="14"/>
      <c r="C250" s="13" t="s">
        <v>148</v>
      </c>
      <c r="D250" s="14"/>
      <c r="E250" s="14" t="s">
        <v>149</v>
      </c>
      <c r="F250" s="67">
        <v>0</v>
      </c>
      <c r="G250" s="11" t="s">
        <v>150</v>
      </c>
      <c r="H250" s="14"/>
      <c r="I250" s="14"/>
    </row>
    <row r="251" customHeight="1" spans="1:9">
      <c r="A251" s="13"/>
      <c r="B251" s="14"/>
      <c r="C251" s="13"/>
      <c r="D251" s="14"/>
      <c r="E251" s="14"/>
      <c r="F251" s="67">
        <v>0</v>
      </c>
      <c r="G251" s="12" t="s">
        <v>151</v>
      </c>
      <c r="H251" s="14"/>
      <c r="I251" s="14"/>
    </row>
    <row r="252" customHeight="1" spans="1:9">
      <c r="A252" s="14" t="s">
        <v>38</v>
      </c>
      <c r="B252" s="14" t="s">
        <v>152</v>
      </c>
      <c r="C252" s="14"/>
      <c r="D252" s="14" t="s">
        <v>153</v>
      </c>
      <c r="E252" s="14" t="s">
        <v>154</v>
      </c>
      <c r="F252" s="14" t="s">
        <v>155</v>
      </c>
      <c r="G252" s="11" t="s">
        <v>156</v>
      </c>
      <c r="H252" s="11" t="s">
        <v>157</v>
      </c>
      <c r="I252" s="12" t="s">
        <v>158</v>
      </c>
    </row>
    <row r="253" customHeight="1" spans="1:9">
      <c r="A253" s="68">
        <v>1</v>
      </c>
      <c r="B253" s="68" t="s">
        <v>159</v>
      </c>
      <c r="C253" s="68"/>
      <c r="D253" s="68"/>
      <c r="E253" s="68"/>
      <c r="F253" s="68"/>
      <c r="G253" s="68"/>
      <c r="H253" s="69">
        <f>SUM(H254:H255)</f>
        <v>174.35008</v>
      </c>
      <c r="I253" s="86"/>
    </row>
    <row r="254" customHeight="1" spans="1:9">
      <c r="A254" s="14">
        <v>1.1</v>
      </c>
      <c r="B254" s="70" t="s">
        <v>160</v>
      </c>
      <c r="C254" s="71"/>
      <c r="D254" s="14" t="s">
        <v>161</v>
      </c>
      <c r="E254" s="67">
        <v>6.08</v>
      </c>
      <c r="F254" s="72">
        <v>0.07</v>
      </c>
      <c r="G254" s="73">
        <f>主要材料品牌单价!E$5/1000</f>
        <v>26.8</v>
      </c>
      <c r="H254" s="73">
        <f t="shared" ref="H254:H257" si="21">E254*(1+F254)*G254</f>
        <v>174.35008</v>
      </c>
      <c r="I254" s="11"/>
    </row>
    <row r="255" customHeight="1" spans="1:9">
      <c r="A255" s="14">
        <v>1.2</v>
      </c>
      <c r="B255" s="14" t="s">
        <v>162</v>
      </c>
      <c r="C255" s="14"/>
      <c r="D255" s="14" t="s">
        <v>161</v>
      </c>
      <c r="E255" s="67">
        <v>0</v>
      </c>
      <c r="F255" s="72">
        <v>0.07</v>
      </c>
      <c r="G255" s="73">
        <f>(主要材料品牌单价!E$6-1000)/1000</f>
        <v>26.1</v>
      </c>
      <c r="H255" s="73">
        <f t="shared" si="21"/>
        <v>0</v>
      </c>
      <c r="I255" s="11"/>
    </row>
    <row r="256" customHeight="1" spans="1:9">
      <c r="A256" s="68">
        <v>2</v>
      </c>
      <c r="B256" s="68" t="s">
        <v>163</v>
      </c>
      <c r="C256" s="68"/>
      <c r="D256" s="68"/>
      <c r="E256" s="68"/>
      <c r="F256" s="68"/>
      <c r="G256" s="68"/>
      <c r="H256" s="74">
        <f>H257</f>
        <v>11.58975</v>
      </c>
      <c r="I256" s="86"/>
    </row>
    <row r="257" customHeight="1" spans="1:9">
      <c r="A257" s="14">
        <v>2.1</v>
      </c>
      <c r="B257" s="14" t="s">
        <v>164</v>
      </c>
      <c r="C257" s="14"/>
      <c r="D257" s="14" t="s">
        <v>165</v>
      </c>
      <c r="E257" s="73">
        <v>0.45</v>
      </c>
      <c r="F257" s="72">
        <v>0.01</v>
      </c>
      <c r="G257" s="73">
        <f>主要材料品牌单价!E19</f>
        <v>25.5</v>
      </c>
      <c r="H257" s="73">
        <f t="shared" si="21"/>
        <v>11.58975</v>
      </c>
      <c r="I257" s="11"/>
    </row>
    <row r="258" customHeight="1" spans="1:9">
      <c r="A258" s="68">
        <v>3</v>
      </c>
      <c r="B258" s="68" t="s">
        <v>166</v>
      </c>
      <c r="C258" s="68"/>
      <c r="D258" s="68"/>
      <c r="E258" s="68"/>
      <c r="F258" s="68"/>
      <c r="G258" s="68"/>
      <c r="H258" s="74">
        <f>H259</f>
        <v>43.3296</v>
      </c>
      <c r="I258" s="86"/>
    </row>
    <row r="259" customHeight="1" spans="1:9">
      <c r="A259" s="14">
        <v>3.1</v>
      </c>
      <c r="B259" s="14" t="s">
        <v>167</v>
      </c>
      <c r="C259" s="14"/>
      <c r="D259" s="14" t="s">
        <v>168</v>
      </c>
      <c r="E259" s="73">
        <v>0.9</v>
      </c>
      <c r="F259" s="72">
        <v>0.003</v>
      </c>
      <c r="G259" s="11">
        <f>主要材料品牌单价!E$29</f>
        <v>48</v>
      </c>
      <c r="H259" s="73">
        <f>E259*(1+F259)*G259</f>
        <v>43.3296</v>
      </c>
      <c r="I259" s="11"/>
    </row>
    <row r="260" customHeight="1" spans="1:9">
      <c r="A260" s="68">
        <v>4</v>
      </c>
      <c r="B260" s="68" t="s">
        <v>169</v>
      </c>
      <c r="C260" s="68"/>
      <c r="D260" s="68"/>
      <c r="E260" s="68"/>
      <c r="F260" s="68"/>
      <c r="G260" s="68"/>
      <c r="H260" s="69">
        <f>SUM(H261:H265)</f>
        <v>27.65</v>
      </c>
      <c r="I260" s="86" t="s">
        <v>170</v>
      </c>
    </row>
    <row r="261" customHeight="1" spans="1:9">
      <c r="A261" s="75">
        <v>4.1</v>
      </c>
      <c r="B261" s="14" t="s">
        <v>171</v>
      </c>
      <c r="C261" s="14"/>
      <c r="D261" s="14" t="s">
        <v>172</v>
      </c>
      <c r="E261" s="75">
        <v>0.5</v>
      </c>
      <c r="F261" s="75"/>
      <c r="G261" s="75">
        <f>主要材料品牌单价!E$44</f>
        <v>11.5</v>
      </c>
      <c r="H261" s="73">
        <f t="shared" ref="H260:H265" si="22">E261*(1+F261)*G261</f>
        <v>5.75</v>
      </c>
      <c r="I261" s="11"/>
    </row>
    <row r="262" customHeight="1" spans="1:9">
      <c r="A262" s="75">
        <v>4.2</v>
      </c>
      <c r="B262" s="70" t="s">
        <v>173</v>
      </c>
      <c r="C262" s="71"/>
      <c r="D262" s="14" t="s">
        <v>172</v>
      </c>
      <c r="E262" s="76">
        <v>0.8</v>
      </c>
      <c r="F262" s="75"/>
      <c r="G262" s="75">
        <f>主要材料品牌单价!E$43</f>
        <v>11.5</v>
      </c>
      <c r="H262" s="73">
        <f t="shared" si="22"/>
        <v>9.2</v>
      </c>
      <c r="I262" s="11"/>
    </row>
    <row r="263" customHeight="1" spans="1:9">
      <c r="A263" s="75">
        <v>4.3</v>
      </c>
      <c r="B263" s="70" t="s">
        <v>174</v>
      </c>
      <c r="C263" s="71"/>
      <c r="D263" s="14" t="s">
        <v>172</v>
      </c>
      <c r="E263" s="76">
        <v>0.2</v>
      </c>
      <c r="F263" s="75"/>
      <c r="G263" s="75">
        <f>主要材料品牌单价!E$45</f>
        <v>13.5</v>
      </c>
      <c r="H263" s="73">
        <f t="shared" si="22"/>
        <v>2.7</v>
      </c>
      <c r="I263" s="11"/>
    </row>
    <row r="264" customHeight="1" spans="1:9">
      <c r="A264" s="75">
        <v>4.4</v>
      </c>
      <c r="B264" s="77" t="s">
        <v>175</v>
      </c>
      <c r="C264" s="78"/>
      <c r="D264" s="14" t="s">
        <v>172</v>
      </c>
      <c r="E264" s="67">
        <v>0</v>
      </c>
      <c r="F264" s="14"/>
      <c r="G264" s="75">
        <f>主要材料品牌单价!E$46</f>
        <v>18</v>
      </c>
      <c r="H264" s="73">
        <f t="shared" si="22"/>
        <v>0</v>
      </c>
      <c r="I264" s="11"/>
    </row>
    <row r="265" customHeight="1" spans="1:9">
      <c r="A265" s="75">
        <v>4.5</v>
      </c>
      <c r="B265" s="79" t="s">
        <v>176</v>
      </c>
      <c r="C265" s="79"/>
      <c r="D265" s="14" t="s">
        <v>177</v>
      </c>
      <c r="E265" s="67">
        <v>1</v>
      </c>
      <c r="F265" s="14"/>
      <c r="G265" s="75">
        <v>10</v>
      </c>
      <c r="H265" s="73">
        <f t="shared" si="22"/>
        <v>10</v>
      </c>
      <c r="I265" s="11"/>
    </row>
    <row r="266" customHeight="1" spans="1:9">
      <c r="A266" s="68">
        <v>5</v>
      </c>
      <c r="B266" s="68" t="s">
        <v>178</v>
      </c>
      <c r="C266" s="68"/>
      <c r="D266" s="68"/>
      <c r="E266" s="68"/>
      <c r="F266" s="68"/>
      <c r="G266" s="68"/>
      <c r="H266" s="69">
        <f>SUM(H267:H269)</f>
        <v>8.6</v>
      </c>
      <c r="I266" s="86" t="s">
        <v>170</v>
      </c>
    </row>
    <row r="267" customHeight="1" spans="1:9">
      <c r="A267" s="75">
        <v>5.1</v>
      </c>
      <c r="B267" s="14" t="s">
        <v>179</v>
      </c>
      <c r="C267" s="14"/>
      <c r="D267" s="14" t="s">
        <v>180</v>
      </c>
      <c r="E267" s="76">
        <v>0</v>
      </c>
      <c r="F267" s="75"/>
      <c r="G267" s="75">
        <f>主要材料品牌单价!E48</f>
        <v>13</v>
      </c>
      <c r="H267" s="73">
        <f t="shared" ref="H267:H276" si="23">E267*(1+F267)*G267</f>
        <v>0</v>
      </c>
      <c r="I267" s="11"/>
    </row>
    <row r="268" customHeight="1" spans="1:9">
      <c r="A268" s="75">
        <v>5.2</v>
      </c>
      <c r="B268" s="70" t="s">
        <v>181</v>
      </c>
      <c r="C268" s="71"/>
      <c r="D268" s="14" t="s">
        <v>177</v>
      </c>
      <c r="E268" s="76">
        <v>8</v>
      </c>
      <c r="F268" s="75"/>
      <c r="G268" s="75">
        <f>主要材料品牌单价!E49</f>
        <v>0.45</v>
      </c>
      <c r="H268" s="73">
        <f t="shared" si="23"/>
        <v>3.6</v>
      </c>
      <c r="I268" s="11"/>
    </row>
    <row r="269" customHeight="1" spans="1:9">
      <c r="A269" s="75">
        <v>5.3</v>
      </c>
      <c r="B269" s="80" t="s">
        <v>182</v>
      </c>
      <c r="C269" s="81"/>
      <c r="D269" s="82" t="s">
        <v>168</v>
      </c>
      <c r="E269" s="67">
        <v>5</v>
      </c>
      <c r="F269" s="14"/>
      <c r="G269" s="75"/>
      <c r="H269" s="73">
        <v>5</v>
      </c>
      <c r="I269" s="11"/>
    </row>
    <row r="270" customHeight="1" spans="1:9">
      <c r="A270" s="83">
        <v>6</v>
      </c>
      <c r="B270" s="82" t="s">
        <v>183</v>
      </c>
      <c r="C270" s="82"/>
      <c r="D270" s="82" t="s">
        <v>168</v>
      </c>
      <c r="E270" s="82">
        <v>1</v>
      </c>
      <c r="F270" s="68">
        <v>0</v>
      </c>
      <c r="G270" s="75">
        <v>28</v>
      </c>
      <c r="H270" s="69">
        <f t="shared" si="23"/>
        <v>28</v>
      </c>
      <c r="I270" s="86" t="s">
        <v>170</v>
      </c>
    </row>
    <row r="271" customHeight="1" spans="1:9">
      <c r="A271" s="68">
        <v>7</v>
      </c>
      <c r="B271" s="84" t="s">
        <v>184</v>
      </c>
      <c r="C271" s="85"/>
      <c r="D271" s="82" t="s">
        <v>168</v>
      </c>
      <c r="E271" s="82">
        <v>1</v>
      </c>
      <c r="F271" s="68">
        <v>0</v>
      </c>
      <c r="G271" s="75">
        <v>40</v>
      </c>
      <c r="H271" s="69">
        <f t="shared" si="23"/>
        <v>40</v>
      </c>
      <c r="I271" s="86" t="s">
        <v>170</v>
      </c>
    </row>
    <row r="272" customHeight="1" spans="1:9">
      <c r="A272" s="68">
        <v>8</v>
      </c>
      <c r="B272" s="82" t="s">
        <v>185</v>
      </c>
      <c r="C272" s="82"/>
      <c r="D272" s="82" t="s">
        <v>168</v>
      </c>
      <c r="E272" s="82">
        <v>1</v>
      </c>
      <c r="F272" s="68">
        <v>0</v>
      </c>
      <c r="G272" s="75">
        <v>3</v>
      </c>
      <c r="H272" s="69">
        <f t="shared" si="23"/>
        <v>3</v>
      </c>
      <c r="I272" s="86" t="s">
        <v>170</v>
      </c>
    </row>
    <row r="273" customHeight="1" spans="1:9">
      <c r="A273" s="82">
        <v>9</v>
      </c>
      <c r="B273" s="82" t="s">
        <v>186</v>
      </c>
      <c r="C273" s="82"/>
      <c r="D273" s="82" t="s">
        <v>168</v>
      </c>
      <c r="E273" s="82">
        <v>1</v>
      </c>
      <c r="F273" s="82">
        <v>0</v>
      </c>
      <c r="G273" s="75">
        <v>0.5</v>
      </c>
      <c r="H273" s="69">
        <f t="shared" si="23"/>
        <v>0.5</v>
      </c>
      <c r="I273" s="86" t="s">
        <v>170</v>
      </c>
    </row>
    <row r="274" customHeight="1" spans="1:9">
      <c r="A274" s="82">
        <v>10</v>
      </c>
      <c r="B274" s="82" t="s">
        <v>187</v>
      </c>
      <c r="C274" s="82"/>
      <c r="D274" s="82" t="s">
        <v>168</v>
      </c>
      <c r="E274" s="82">
        <v>1</v>
      </c>
      <c r="F274" s="82">
        <v>0</v>
      </c>
      <c r="G274" s="75">
        <v>0.5</v>
      </c>
      <c r="H274" s="69">
        <f t="shared" si="23"/>
        <v>0.5</v>
      </c>
      <c r="I274" s="86" t="s">
        <v>170</v>
      </c>
    </row>
    <row r="275" customHeight="1" spans="1:9">
      <c r="A275" s="82">
        <v>11</v>
      </c>
      <c r="B275" s="84" t="s">
        <v>188</v>
      </c>
      <c r="C275" s="85"/>
      <c r="D275" s="82" t="s">
        <v>168</v>
      </c>
      <c r="E275" s="82">
        <v>1</v>
      </c>
      <c r="F275" s="82">
        <v>0</v>
      </c>
      <c r="G275" s="75">
        <v>1</v>
      </c>
      <c r="H275" s="69">
        <f t="shared" si="23"/>
        <v>1</v>
      </c>
      <c r="I275" s="86" t="s">
        <v>170</v>
      </c>
    </row>
    <row r="276" customHeight="1" spans="1:9">
      <c r="A276" s="82">
        <v>12</v>
      </c>
      <c r="B276" s="82" t="s">
        <v>189</v>
      </c>
      <c r="C276" s="82"/>
      <c r="D276" s="82" t="s">
        <v>168</v>
      </c>
      <c r="E276" s="82">
        <v>1</v>
      </c>
      <c r="F276" s="82">
        <v>0</v>
      </c>
      <c r="G276" s="75">
        <v>0.5</v>
      </c>
      <c r="H276" s="69">
        <f t="shared" si="23"/>
        <v>0.5</v>
      </c>
      <c r="I276" s="86" t="s">
        <v>170</v>
      </c>
    </row>
    <row r="277" customHeight="1" spans="1:9">
      <c r="A277" s="82">
        <v>13</v>
      </c>
      <c r="B277" s="84" t="s">
        <v>190</v>
      </c>
      <c r="C277" s="85"/>
      <c r="D277" s="82" t="s">
        <v>6</v>
      </c>
      <c r="E277" s="84" t="s">
        <v>191</v>
      </c>
      <c r="F277" s="85"/>
      <c r="G277" s="86"/>
      <c r="H277" s="69">
        <f>H253+H256+H260+H266+H270+H271+H272+H273+H274+H276+H275+H258</f>
        <v>339.01943</v>
      </c>
      <c r="I277" s="89" t="s">
        <v>192</v>
      </c>
    </row>
    <row r="278" customHeight="1" spans="1:9">
      <c r="A278" s="82">
        <v>14</v>
      </c>
      <c r="B278" s="84" t="s">
        <v>193</v>
      </c>
      <c r="C278" s="85"/>
      <c r="D278" s="82" t="s">
        <v>6</v>
      </c>
      <c r="E278" s="84" t="s">
        <v>194</v>
      </c>
      <c r="F278" s="85"/>
      <c r="G278" s="87">
        <v>0.08</v>
      </c>
      <c r="H278" s="69">
        <f>H277*(G278)</f>
        <v>27.1215544</v>
      </c>
      <c r="I278" s="90"/>
    </row>
    <row r="279" customHeight="1" spans="1:9">
      <c r="A279" s="82">
        <v>15</v>
      </c>
      <c r="B279" s="84" t="s">
        <v>195</v>
      </c>
      <c r="C279" s="85"/>
      <c r="D279" s="82" t="s">
        <v>6</v>
      </c>
      <c r="E279" s="84" t="s">
        <v>196</v>
      </c>
      <c r="F279" s="85"/>
      <c r="G279" s="86"/>
      <c r="H279" s="69">
        <f>H277+H278</f>
        <v>366.1409844</v>
      </c>
      <c r="I279" s="91">
        <f>H279</f>
        <v>366.1409844</v>
      </c>
    </row>
    <row r="281" customHeight="1" spans="1:9">
      <c r="A281" s="66" t="s">
        <v>198</v>
      </c>
      <c r="E281" s="60"/>
      <c r="G281" s="60"/>
      <c r="H281" s="60"/>
      <c r="I281" s="60"/>
    </row>
    <row r="282" customHeight="1" spans="1:9">
      <c r="A282" s="14" t="s">
        <v>143</v>
      </c>
      <c r="B282" s="88"/>
      <c r="C282" s="88"/>
      <c r="D282" s="88"/>
      <c r="E282" s="14" t="s">
        <v>144</v>
      </c>
      <c r="F282" s="14" t="s">
        <v>208</v>
      </c>
      <c r="G282" s="14"/>
      <c r="H282" s="14" t="s">
        <v>145</v>
      </c>
      <c r="I282" s="14"/>
    </row>
    <row r="283" customHeight="1" spans="1:9">
      <c r="A283" s="14" t="s">
        <v>82</v>
      </c>
      <c r="B283" s="14"/>
      <c r="C283" s="14"/>
      <c r="D283" s="14"/>
      <c r="E283" s="14" t="s">
        <v>146</v>
      </c>
      <c r="F283" s="14"/>
      <c r="G283" s="14"/>
      <c r="H283" s="14"/>
      <c r="I283" s="14"/>
    </row>
    <row r="284" customHeight="1" spans="1:9">
      <c r="A284" s="13" t="s">
        <v>147</v>
      </c>
      <c r="B284" s="14"/>
      <c r="C284" s="13" t="s">
        <v>148</v>
      </c>
      <c r="D284" s="14"/>
      <c r="E284" s="14" t="s">
        <v>149</v>
      </c>
      <c r="F284" s="67">
        <v>0</v>
      </c>
      <c r="G284" s="11" t="s">
        <v>150</v>
      </c>
      <c r="H284" s="14"/>
      <c r="I284" s="14"/>
    </row>
    <row r="285" customHeight="1" spans="1:9">
      <c r="A285" s="13"/>
      <c r="B285" s="14"/>
      <c r="C285" s="13"/>
      <c r="D285" s="14"/>
      <c r="E285" s="14"/>
      <c r="F285" s="67">
        <v>0</v>
      </c>
      <c r="G285" s="12" t="s">
        <v>151</v>
      </c>
      <c r="H285" s="14"/>
      <c r="I285" s="14"/>
    </row>
    <row r="286" customHeight="1" spans="1:9">
      <c r="A286" s="14" t="s">
        <v>38</v>
      </c>
      <c r="B286" s="14" t="s">
        <v>152</v>
      </c>
      <c r="C286" s="14"/>
      <c r="D286" s="14" t="s">
        <v>153</v>
      </c>
      <c r="E286" s="14" t="s">
        <v>154</v>
      </c>
      <c r="F286" s="14" t="s">
        <v>155</v>
      </c>
      <c r="G286" s="11" t="s">
        <v>156</v>
      </c>
      <c r="H286" s="11" t="s">
        <v>157</v>
      </c>
      <c r="I286" s="12" t="s">
        <v>158</v>
      </c>
    </row>
    <row r="287" customHeight="1" spans="1:9">
      <c r="A287" s="68">
        <v>1</v>
      </c>
      <c r="B287" s="68" t="s">
        <v>159</v>
      </c>
      <c r="C287" s="68"/>
      <c r="D287" s="68"/>
      <c r="E287" s="68"/>
      <c r="F287" s="68"/>
      <c r="G287" s="68"/>
      <c r="H287" s="69">
        <f>SUM(H288:H290)</f>
        <v>218.8781728</v>
      </c>
      <c r="I287" s="86"/>
    </row>
    <row r="288" customHeight="1" spans="1:9">
      <c r="A288" s="14">
        <v>1.1</v>
      </c>
      <c r="B288" s="70" t="s">
        <v>160</v>
      </c>
      <c r="C288" s="71"/>
      <c r="D288" s="14" t="s">
        <v>161</v>
      </c>
      <c r="E288" s="67">
        <v>6.58</v>
      </c>
      <c r="F288" s="72">
        <v>0.07</v>
      </c>
      <c r="G288" s="73">
        <f>主要材料品牌单价!E$5/1000</f>
        <v>26.8</v>
      </c>
      <c r="H288" s="73">
        <f t="shared" ref="H288:H292" si="24">E288*(1+F288)*G288</f>
        <v>188.68808</v>
      </c>
      <c r="I288" s="11"/>
    </row>
    <row r="289" customHeight="1" spans="1:9">
      <c r="A289" s="14">
        <v>1.2</v>
      </c>
      <c r="B289" s="70" t="s">
        <v>160</v>
      </c>
      <c r="C289" s="71"/>
      <c r="D289" s="14" t="s">
        <v>161</v>
      </c>
      <c r="E289" s="67">
        <f>E288*0.16</f>
        <v>1.0528</v>
      </c>
      <c r="F289" s="72">
        <v>0.07</v>
      </c>
      <c r="G289" s="73">
        <f>主要材料品牌单价!E$5/1000</f>
        <v>26.8</v>
      </c>
      <c r="H289" s="73">
        <f t="shared" si="24"/>
        <v>30.1900928</v>
      </c>
      <c r="I289" s="11"/>
    </row>
    <row r="290" customHeight="1" spans="1:9">
      <c r="A290" s="14">
        <v>1.3</v>
      </c>
      <c r="B290" s="14" t="s">
        <v>162</v>
      </c>
      <c r="C290" s="14"/>
      <c r="D290" s="14" t="s">
        <v>161</v>
      </c>
      <c r="E290" s="67"/>
      <c r="F290" s="72"/>
      <c r="G290" s="73"/>
      <c r="H290" s="73">
        <f t="shared" si="24"/>
        <v>0</v>
      </c>
      <c r="I290" s="11"/>
    </row>
    <row r="291" customHeight="1" spans="1:9">
      <c r="A291" s="68">
        <v>2</v>
      </c>
      <c r="B291" s="68" t="s">
        <v>163</v>
      </c>
      <c r="C291" s="68"/>
      <c r="D291" s="68"/>
      <c r="E291" s="68"/>
      <c r="F291" s="68"/>
      <c r="G291" s="68"/>
      <c r="H291" s="74">
        <f>H292</f>
        <v>11.58975</v>
      </c>
      <c r="I291" s="86"/>
    </row>
    <row r="292" customHeight="1" spans="1:9">
      <c r="A292" s="14">
        <v>2.1</v>
      </c>
      <c r="B292" s="14" t="s">
        <v>164</v>
      </c>
      <c r="C292" s="14"/>
      <c r="D292" s="14" t="s">
        <v>165</v>
      </c>
      <c r="E292" s="73">
        <v>0.45</v>
      </c>
      <c r="F292" s="72">
        <v>0.01</v>
      </c>
      <c r="G292" s="73">
        <f>主要材料品牌单价!E20</f>
        <v>25.5</v>
      </c>
      <c r="H292" s="73">
        <f t="shared" si="24"/>
        <v>11.58975</v>
      </c>
      <c r="I292" s="11"/>
    </row>
    <row r="293" customHeight="1" spans="1:9">
      <c r="A293" s="68">
        <v>3</v>
      </c>
      <c r="B293" s="68" t="s">
        <v>166</v>
      </c>
      <c r="C293" s="68"/>
      <c r="D293" s="68"/>
      <c r="E293" s="68"/>
      <c r="F293" s="68"/>
      <c r="G293" s="68"/>
      <c r="H293" s="74">
        <f>H294</f>
        <v>103.8105</v>
      </c>
      <c r="I293" s="86"/>
    </row>
    <row r="294" customHeight="1" spans="1:9">
      <c r="A294" s="14">
        <v>3.1</v>
      </c>
      <c r="B294" s="13" t="s">
        <v>209</v>
      </c>
      <c r="C294" s="13"/>
      <c r="D294" s="14" t="s">
        <v>168</v>
      </c>
      <c r="E294" s="73">
        <v>0.9</v>
      </c>
      <c r="F294" s="72">
        <v>0.003</v>
      </c>
      <c r="G294" s="11">
        <f>主要材料品牌单价!E34</f>
        <v>115</v>
      </c>
      <c r="H294" s="73">
        <f>E294*(1+F294)*G294</f>
        <v>103.8105</v>
      </c>
      <c r="I294" s="11"/>
    </row>
    <row r="295" customHeight="1" spans="1:9">
      <c r="A295" s="68">
        <v>4</v>
      </c>
      <c r="B295" s="68" t="s">
        <v>169</v>
      </c>
      <c r="C295" s="68"/>
      <c r="D295" s="68"/>
      <c r="E295" s="68"/>
      <c r="F295" s="68"/>
      <c r="G295" s="68"/>
      <c r="H295" s="69">
        <f>SUM(H296:H300)</f>
        <v>27.65</v>
      </c>
      <c r="I295" s="86" t="s">
        <v>170</v>
      </c>
    </row>
    <row r="296" customHeight="1" spans="1:9">
      <c r="A296" s="75">
        <v>4.1</v>
      </c>
      <c r="B296" s="14" t="s">
        <v>171</v>
      </c>
      <c r="C296" s="14"/>
      <c r="D296" s="14" t="s">
        <v>172</v>
      </c>
      <c r="E296" s="75">
        <v>0.5</v>
      </c>
      <c r="F296" s="75"/>
      <c r="G296" s="75">
        <f>主要材料品牌单价!E$44</f>
        <v>11.5</v>
      </c>
      <c r="H296" s="73">
        <f t="shared" ref="H296:H300" si="25">E296*(1+F296)*G296</f>
        <v>5.75</v>
      </c>
      <c r="I296" s="11"/>
    </row>
    <row r="297" customHeight="1" spans="1:9">
      <c r="A297" s="75">
        <v>4.2</v>
      </c>
      <c r="B297" s="70" t="s">
        <v>173</v>
      </c>
      <c r="C297" s="71"/>
      <c r="D297" s="14" t="s">
        <v>172</v>
      </c>
      <c r="E297" s="76">
        <v>0.8</v>
      </c>
      <c r="F297" s="75"/>
      <c r="G297" s="75">
        <f>主要材料品牌单价!E$43</f>
        <v>11.5</v>
      </c>
      <c r="H297" s="73">
        <f t="shared" si="25"/>
        <v>9.2</v>
      </c>
      <c r="I297" s="11"/>
    </row>
    <row r="298" customHeight="1" spans="1:9">
      <c r="A298" s="75">
        <v>4.3</v>
      </c>
      <c r="B298" s="70" t="s">
        <v>174</v>
      </c>
      <c r="C298" s="71"/>
      <c r="D298" s="14" t="s">
        <v>172</v>
      </c>
      <c r="E298" s="76">
        <v>0.2</v>
      </c>
      <c r="F298" s="75"/>
      <c r="G298" s="75">
        <f>主要材料品牌单价!E$45</f>
        <v>13.5</v>
      </c>
      <c r="H298" s="73">
        <f t="shared" si="25"/>
        <v>2.7</v>
      </c>
      <c r="I298" s="11"/>
    </row>
    <row r="299" customHeight="1" spans="1:9">
      <c r="A299" s="75">
        <v>4.4</v>
      </c>
      <c r="B299" s="77" t="s">
        <v>175</v>
      </c>
      <c r="C299" s="78"/>
      <c r="D299" s="14" t="s">
        <v>172</v>
      </c>
      <c r="E299" s="67">
        <v>0</v>
      </c>
      <c r="F299" s="14"/>
      <c r="G299" s="75">
        <f>主要材料品牌单价!E$46</f>
        <v>18</v>
      </c>
      <c r="H299" s="73">
        <f t="shared" si="25"/>
        <v>0</v>
      </c>
      <c r="I299" s="11"/>
    </row>
    <row r="300" customHeight="1" spans="1:9">
      <c r="A300" s="75">
        <v>4.5</v>
      </c>
      <c r="B300" s="79" t="s">
        <v>176</v>
      </c>
      <c r="C300" s="79"/>
      <c r="D300" s="14" t="s">
        <v>177</v>
      </c>
      <c r="E300" s="67">
        <v>1</v>
      </c>
      <c r="F300" s="14"/>
      <c r="G300" s="75">
        <v>10</v>
      </c>
      <c r="H300" s="73">
        <f t="shared" si="25"/>
        <v>10</v>
      </c>
      <c r="I300" s="11"/>
    </row>
    <row r="301" customHeight="1" spans="1:9">
      <c r="A301" s="68">
        <v>5</v>
      </c>
      <c r="B301" s="68" t="s">
        <v>178</v>
      </c>
      <c r="C301" s="68"/>
      <c r="D301" s="68"/>
      <c r="E301" s="68"/>
      <c r="F301" s="68"/>
      <c r="G301" s="68"/>
      <c r="H301" s="69">
        <f>SUM(H302:H304)</f>
        <v>8.6</v>
      </c>
      <c r="I301" s="86" t="s">
        <v>170</v>
      </c>
    </row>
    <row r="302" customHeight="1" spans="1:9">
      <c r="A302" s="75">
        <v>5.1</v>
      </c>
      <c r="B302" s="14" t="s">
        <v>179</v>
      </c>
      <c r="C302" s="14"/>
      <c r="D302" s="14" t="s">
        <v>180</v>
      </c>
      <c r="E302" s="76">
        <v>0</v>
      </c>
      <c r="F302" s="75"/>
      <c r="G302" s="75">
        <v>0</v>
      </c>
      <c r="H302" s="73">
        <f t="shared" ref="H302:H311" si="26">E302*(1+F302)*G302</f>
        <v>0</v>
      </c>
      <c r="I302" s="11"/>
    </row>
    <row r="303" customHeight="1" spans="1:9">
      <c r="A303" s="75">
        <v>5.2</v>
      </c>
      <c r="B303" s="70" t="s">
        <v>181</v>
      </c>
      <c r="C303" s="71"/>
      <c r="D303" s="14" t="s">
        <v>177</v>
      </c>
      <c r="E303" s="76">
        <v>8</v>
      </c>
      <c r="F303" s="75"/>
      <c r="G303" s="75">
        <f>主要材料品牌单价!E49</f>
        <v>0.45</v>
      </c>
      <c r="H303" s="73">
        <f t="shared" si="26"/>
        <v>3.6</v>
      </c>
      <c r="I303" s="11"/>
    </row>
    <row r="304" customHeight="1" spans="1:9">
      <c r="A304" s="75">
        <v>5.3</v>
      </c>
      <c r="B304" s="80" t="s">
        <v>182</v>
      </c>
      <c r="C304" s="81"/>
      <c r="D304" s="82" t="s">
        <v>168</v>
      </c>
      <c r="E304" s="67">
        <v>5</v>
      </c>
      <c r="F304" s="14"/>
      <c r="G304" s="75"/>
      <c r="H304" s="73">
        <v>5</v>
      </c>
      <c r="I304" s="11"/>
    </row>
    <row r="305" customHeight="1" spans="1:9">
      <c r="A305" s="83">
        <v>6</v>
      </c>
      <c r="B305" s="82" t="s">
        <v>183</v>
      </c>
      <c r="C305" s="82"/>
      <c r="D305" s="82" t="s">
        <v>168</v>
      </c>
      <c r="E305" s="82">
        <v>1</v>
      </c>
      <c r="F305" s="68">
        <v>0</v>
      </c>
      <c r="G305" s="75">
        <v>30</v>
      </c>
      <c r="H305" s="69">
        <f t="shared" si="26"/>
        <v>30</v>
      </c>
      <c r="I305" s="86" t="s">
        <v>170</v>
      </c>
    </row>
    <row r="306" customHeight="1" spans="1:9">
      <c r="A306" s="68">
        <v>7</v>
      </c>
      <c r="B306" s="84" t="s">
        <v>184</v>
      </c>
      <c r="C306" s="85"/>
      <c r="D306" s="82" t="s">
        <v>168</v>
      </c>
      <c r="E306" s="82">
        <v>1</v>
      </c>
      <c r="F306" s="68">
        <v>0</v>
      </c>
      <c r="G306" s="75">
        <v>45</v>
      </c>
      <c r="H306" s="69">
        <f t="shared" si="26"/>
        <v>45</v>
      </c>
      <c r="I306" s="86" t="s">
        <v>170</v>
      </c>
    </row>
    <row r="307" customHeight="1" spans="1:9">
      <c r="A307" s="68">
        <v>8</v>
      </c>
      <c r="B307" s="82" t="s">
        <v>185</v>
      </c>
      <c r="C307" s="82"/>
      <c r="D307" s="82" t="s">
        <v>168</v>
      </c>
      <c r="E307" s="82">
        <v>1</v>
      </c>
      <c r="F307" s="68">
        <v>0</v>
      </c>
      <c r="G307" s="75">
        <v>3</v>
      </c>
      <c r="H307" s="69">
        <f t="shared" si="26"/>
        <v>3</v>
      </c>
      <c r="I307" s="86" t="s">
        <v>170</v>
      </c>
    </row>
    <row r="308" customHeight="1" spans="1:9">
      <c r="A308" s="82">
        <v>9</v>
      </c>
      <c r="B308" s="82" t="s">
        <v>186</v>
      </c>
      <c r="C308" s="82"/>
      <c r="D308" s="82" t="s">
        <v>168</v>
      </c>
      <c r="E308" s="82">
        <v>1</v>
      </c>
      <c r="F308" s="82">
        <v>0</v>
      </c>
      <c r="G308" s="75">
        <v>0.5</v>
      </c>
      <c r="H308" s="69">
        <f t="shared" si="26"/>
        <v>0.5</v>
      </c>
      <c r="I308" s="86" t="s">
        <v>170</v>
      </c>
    </row>
    <row r="309" customHeight="1" spans="1:9">
      <c r="A309" s="82">
        <v>10</v>
      </c>
      <c r="B309" s="82" t="s">
        <v>187</v>
      </c>
      <c r="C309" s="82"/>
      <c r="D309" s="82" t="s">
        <v>168</v>
      </c>
      <c r="E309" s="82">
        <v>1</v>
      </c>
      <c r="F309" s="82">
        <v>0</v>
      </c>
      <c r="G309" s="75">
        <v>0.5</v>
      </c>
      <c r="H309" s="69">
        <f t="shared" si="26"/>
        <v>0.5</v>
      </c>
      <c r="I309" s="86" t="s">
        <v>170</v>
      </c>
    </row>
    <row r="310" customHeight="1" spans="1:9">
      <c r="A310" s="82">
        <v>11</v>
      </c>
      <c r="B310" s="84" t="s">
        <v>188</v>
      </c>
      <c r="C310" s="85"/>
      <c r="D310" s="82" t="s">
        <v>168</v>
      </c>
      <c r="E310" s="82">
        <v>1</v>
      </c>
      <c r="F310" s="82">
        <v>0</v>
      </c>
      <c r="G310" s="75">
        <v>1</v>
      </c>
      <c r="H310" s="69">
        <f t="shared" si="26"/>
        <v>1</v>
      </c>
      <c r="I310" s="86" t="s">
        <v>170</v>
      </c>
    </row>
    <row r="311" customHeight="1" spans="1:9">
      <c r="A311" s="82">
        <v>12</v>
      </c>
      <c r="B311" s="82" t="s">
        <v>189</v>
      </c>
      <c r="C311" s="82"/>
      <c r="D311" s="82" t="s">
        <v>168</v>
      </c>
      <c r="E311" s="82">
        <v>1</v>
      </c>
      <c r="F311" s="82">
        <v>0</v>
      </c>
      <c r="G311" s="75">
        <v>0.5</v>
      </c>
      <c r="H311" s="69">
        <f t="shared" si="26"/>
        <v>0.5</v>
      </c>
      <c r="I311" s="86" t="s">
        <v>170</v>
      </c>
    </row>
    <row r="312" customHeight="1" spans="1:9">
      <c r="A312" s="82">
        <v>13</v>
      </c>
      <c r="B312" s="84" t="s">
        <v>190</v>
      </c>
      <c r="C312" s="85"/>
      <c r="D312" s="82" t="s">
        <v>6</v>
      </c>
      <c r="E312" s="84" t="s">
        <v>191</v>
      </c>
      <c r="F312" s="85"/>
      <c r="G312" s="86"/>
      <c r="H312" s="69">
        <f>H287+H291+H295+H301+H305+H306+H307+H308+H309+H311+H310+H293</f>
        <v>451.0284228</v>
      </c>
      <c r="I312" s="89" t="s">
        <v>192</v>
      </c>
    </row>
    <row r="313" customHeight="1" spans="1:9">
      <c r="A313" s="82">
        <v>14</v>
      </c>
      <c r="B313" s="84" t="s">
        <v>193</v>
      </c>
      <c r="C313" s="85"/>
      <c r="D313" s="82" t="s">
        <v>6</v>
      </c>
      <c r="E313" s="84" t="s">
        <v>194</v>
      </c>
      <c r="F313" s="85"/>
      <c r="G313" s="87">
        <v>0.08</v>
      </c>
      <c r="H313" s="69">
        <f>H312*(G313)</f>
        <v>36.082273824</v>
      </c>
      <c r="I313" s="90"/>
    </row>
    <row r="314" customHeight="1" spans="1:9">
      <c r="A314" s="82">
        <v>15</v>
      </c>
      <c r="B314" s="84" t="s">
        <v>195</v>
      </c>
      <c r="C314" s="85"/>
      <c r="D314" s="82" t="s">
        <v>6</v>
      </c>
      <c r="E314" s="84" t="s">
        <v>196</v>
      </c>
      <c r="F314" s="85"/>
      <c r="G314" s="86"/>
      <c r="H314" s="69">
        <f>H312+H313</f>
        <v>487.110696624</v>
      </c>
      <c r="I314" s="91">
        <f>H314</f>
        <v>487.110696624</v>
      </c>
    </row>
    <row r="316" customHeight="1" spans="1:9">
      <c r="A316" s="66" t="s">
        <v>198</v>
      </c>
      <c r="E316" s="60"/>
      <c r="G316" s="60"/>
      <c r="H316" s="60"/>
      <c r="I316" s="60"/>
    </row>
    <row r="317" customHeight="1" spans="1:9">
      <c r="A317" s="14" t="s">
        <v>143</v>
      </c>
      <c r="B317" s="88"/>
      <c r="C317" s="88"/>
      <c r="D317" s="88"/>
      <c r="E317" s="14" t="s">
        <v>144</v>
      </c>
      <c r="F317" s="14" t="s">
        <v>127</v>
      </c>
      <c r="G317" s="14"/>
      <c r="H317" s="14" t="s">
        <v>145</v>
      </c>
      <c r="I317" s="14"/>
    </row>
    <row r="318" customHeight="1" spans="1:9">
      <c r="A318" s="14" t="s">
        <v>82</v>
      </c>
      <c r="B318" s="14"/>
      <c r="C318" s="14"/>
      <c r="D318" s="14"/>
      <c r="E318" s="14" t="s">
        <v>146</v>
      </c>
      <c r="F318" s="14"/>
      <c r="G318" s="14"/>
      <c r="H318" s="14"/>
      <c r="I318" s="14"/>
    </row>
    <row r="319" customHeight="1" spans="1:9">
      <c r="A319" s="13" t="s">
        <v>147</v>
      </c>
      <c r="B319" s="14">
        <v>0</v>
      </c>
      <c r="C319" s="13" t="s">
        <v>148</v>
      </c>
      <c r="D319" s="14">
        <v>0</v>
      </c>
      <c r="E319" s="14" t="s">
        <v>149</v>
      </c>
      <c r="F319" s="67">
        <v>0</v>
      </c>
      <c r="G319" s="11" t="s">
        <v>150</v>
      </c>
      <c r="H319" s="14"/>
      <c r="I319" s="14"/>
    </row>
    <row r="320" customHeight="1" spans="1:9">
      <c r="A320" s="13"/>
      <c r="B320" s="14"/>
      <c r="C320" s="13"/>
      <c r="D320" s="14"/>
      <c r="E320" s="14"/>
      <c r="F320" s="67">
        <v>0</v>
      </c>
      <c r="G320" s="12" t="s">
        <v>151</v>
      </c>
      <c r="H320" s="14"/>
      <c r="I320" s="14"/>
    </row>
    <row r="321" customHeight="1" spans="1:9">
      <c r="A321" s="14" t="s">
        <v>38</v>
      </c>
      <c r="B321" s="14" t="s">
        <v>152</v>
      </c>
      <c r="C321" s="14"/>
      <c r="D321" s="14" t="s">
        <v>153</v>
      </c>
      <c r="E321" s="14" t="s">
        <v>154</v>
      </c>
      <c r="F321" s="14" t="s">
        <v>155</v>
      </c>
      <c r="G321" s="11" t="s">
        <v>156</v>
      </c>
      <c r="H321" s="11" t="s">
        <v>157</v>
      </c>
      <c r="I321" s="12" t="s">
        <v>158</v>
      </c>
    </row>
    <row r="322" customHeight="1" spans="1:9">
      <c r="A322" s="68">
        <v>1</v>
      </c>
      <c r="B322" s="68" t="s">
        <v>159</v>
      </c>
      <c r="C322" s="68"/>
      <c r="D322" s="68"/>
      <c r="E322" s="68"/>
      <c r="F322" s="68"/>
      <c r="G322" s="68"/>
      <c r="H322" s="69">
        <f>SUM(H323:H325)</f>
        <v>309.2570496</v>
      </c>
      <c r="I322" s="86"/>
    </row>
    <row r="323" customHeight="1" spans="1:9">
      <c r="A323" s="14">
        <v>1.1</v>
      </c>
      <c r="B323" s="70" t="s">
        <v>200</v>
      </c>
      <c r="C323" s="71"/>
      <c r="D323" s="14" t="s">
        <v>161</v>
      </c>
      <c r="E323" s="67">
        <v>8.64</v>
      </c>
      <c r="F323" s="72">
        <v>0.07</v>
      </c>
      <c r="G323" s="73">
        <f>主要材料品牌单价!E$6/1000</f>
        <v>27.1</v>
      </c>
      <c r="H323" s="73">
        <f t="shared" ref="H323:H325" si="27">E323*(1+F323)*G323</f>
        <v>250.53408</v>
      </c>
      <c r="I323" s="11"/>
    </row>
    <row r="324" customHeight="1" spans="1:9">
      <c r="A324" s="14">
        <v>1.2</v>
      </c>
      <c r="B324" s="70" t="s">
        <v>160</v>
      </c>
      <c r="C324" s="71"/>
      <c r="D324" s="14" t="s">
        <v>161</v>
      </c>
      <c r="E324" s="67">
        <f>E323*0.16</f>
        <v>1.3824</v>
      </c>
      <c r="F324" s="72">
        <v>0.07</v>
      </c>
      <c r="G324" s="73">
        <f>主要材料品牌单价!E$5/1000</f>
        <v>26.8</v>
      </c>
      <c r="H324" s="73">
        <f t="shared" si="27"/>
        <v>39.6417024</v>
      </c>
      <c r="I324" s="11"/>
    </row>
    <row r="325" customHeight="1" spans="1:9">
      <c r="A325" s="14">
        <v>1.3</v>
      </c>
      <c r="B325" s="14" t="s">
        <v>162</v>
      </c>
      <c r="C325" s="14"/>
      <c r="D325" s="14" t="s">
        <v>161</v>
      </c>
      <c r="E325" s="67">
        <f>E323*0.08</f>
        <v>0.6912</v>
      </c>
      <c r="F325" s="72">
        <v>0.07</v>
      </c>
      <c r="G325" s="73">
        <f>(主要材料品牌单价!E$5-1000)/1000</f>
        <v>25.8</v>
      </c>
      <c r="H325" s="73">
        <f t="shared" si="27"/>
        <v>19.0812672</v>
      </c>
      <c r="I325" s="11"/>
    </row>
    <row r="326" customHeight="1" spans="1:9">
      <c r="A326" s="68">
        <v>2</v>
      </c>
      <c r="B326" s="68" t="s">
        <v>163</v>
      </c>
      <c r="C326" s="68"/>
      <c r="D326" s="68"/>
      <c r="E326" s="68"/>
      <c r="F326" s="68"/>
      <c r="G326" s="68"/>
      <c r="H326" s="74">
        <f>H327</f>
        <v>47.4599</v>
      </c>
      <c r="I326" s="86"/>
    </row>
    <row r="327" customHeight="1" spans="1:9">
      <c r="A327" s="14">
        <v>2.1</v>
      </c>
      <c r="B327" s="14" t="s">
        <v>164</v>
      </c>
      <c r="C327" s="14"/>
      <c r="D327" s="14" t="s">
        <v>165</v>
      </c>
      <c r="E327" s="73">
        <v>0.37</v>
      </c>
      <c r="F327" s="72">
        <v>0.01</v>
      </c>
      <c r="G327" s="73">
        <f>主要材料品牌单价!E23</f>
        <v>127</v>
      </c>
      <c r="H327" s="73">
        <f>E327*(1+F327)*G327</f>
        <v>47.4599</v>
      </c>
      <c r="I327" s="11"/>
    </row>
    <row r="328" customHeight="1" spans="1:9">
      <c r="A328" s="68">
        <v>3</v>
      </c>
      <c r="B328" s="68" t="s">
        <v>166</v>
      </c>
      <c r="C328" s="68"/>
      <c r="D328" s="68"/>
      <c r="E328" s="68"/>
      <c r="F328" s="68"/>
      <c r="G328" s="68"/>
      <c r="H328" s="74">
        <f>H329</f>
        <v>168.8049</v>
      </c>
      <c r="I328" s="86"/>
    </row>
    <row r="329" customHeight="1" spans="1:9">
      <c r="A329" s="14">
        <v>3.1</v>
      </c>
      <c r="B329" s="13" t="s">
        <v>210</v>
      </c>
      <c r="C329" s="13"/>
      <c r="D329" s="14" t="s">
        <v>168</v>
      </c>
      <c r="E329" s="73">
        <v>0.9</v>
      </c>
      <c r="F329" s="72">
        <v>0.003</v>
      </c>
      <c r="G329" s="11">
        <f>主要材料品牌单价!E40</f>
        <v>187</v>
      </c>
      <c r="H329" s="73">
        <f>E329*(1+F329)*G329</f>
        <v>168.8049</v>
      </c>
      <c r="I329" s="11"/>
    </row>
    <row r="330" customHeight="1" spans="1:9">
      <c r="A330" s="68">
        <v>4</v>
      </c>
      <c r="B330" s="68" t="s">
        <v>169</v>
      </c>
      <c r="C330" s="68"/>
      <c r="D330" s="68"/>
      <c r="E330" s="68"/>
      <c r="F330" s="68"/>
      <c r="G330" s="68"/>
      <c r="H330" s="69">
        <f>SUM(H331:H335)</f>
        <v>35.9</v>
      </c>
      <c r="I330" s="86" t="s">
        <v>170</v>
      </c>
    </row>
    <row r="331" customHeight="1" spans="1:9">
      <c r="A331" s="75">
        <v>4.1</v>
      </c>
      <c r="B331" s="14" t="s">
        <v>171</v>
      </c>
      <c r="C331" s="14"/>
      <c r="D331" s="14" t="s">
        <v>172</v>
      </c>
      <c r="E331" s="75">
        <v>1</v>
      </c>
      <c r="F331" s="75"/>
      <c r="G331" s="75">
        <f>主要材料品牌单价!E$44</f>
        <v>11.5</v>
      </c>
      <c r="H331" s="73">
        <f t="shared" ref="H331:H335" si="28">E331*(1+F331)*G331</f>
        <v>11.5</v>
      </c>
      <c r="I331" s="11"/>
    </row>
    <row r="332" customHeight="1" spans="1:9">
      <c r="A332" s="75">
        <v>4.2</v>
      </c>
      <c r="B332" s="70" t="s">
        <v>173</v>
      </c>
      <c r="C332" s="71"/>
      <c r="D332" s="14" t="s">
        <v>172</v>
      </c>
      <c r="E332" s="76">
        <v>0.8</v>
      </c>
      <c r="F332" s="75"/>
      <c r="G332" s="75">
        <f>主要材料品牌单价!E$43</f>
        <v>11.5</v>
      </c>
      <c r="H332" s="73">
        <f t="shared" si="28"/>
        <v>9.2</v>
      </c>
      <c r="I332" s="11"/>
    </row>
    <row r="333" customHeight="1" spans="1:9">
      <c r="A333" s="75">
        <v>4.3</v>
      </c>
      <c r="B333" s="70" t="s">
        <v>174</v>
      </c>
      <c r="C333" s="71"/>
      <c r="D333" s="14" t="s">
        <v>172</v>
      </c>
      <c r="E333" s="76">
        <v>0.4</v>
      </c>
      <c r="F333" s="75"/>
      <c r="G333" s="75">
        <f>主要材料品牌单价!E$45</f>
        <v>13.5</v>
      </c>
      <c r="H333" s="73">
        <f t="shared" si="28"/>
        <v>5.4</v>
      </c>
      <c r="I333" s="11"/>
    </row>
    <row r="334" customHeight="1" spans="1:9">
      <c r="A334" s="75">
        <v>4.4</v>
      </c>
      <c r="B334" s="77" t="s">
        <v>175</v>
      </c>
      <c r="C334" s="78"/>
      <c r="D334" s="14" t="s">
        <v>172</v>
      </c>
      <c r="E334" s="67">
        <v>0.1</v>
      </c>
      <c r="F334" s="14"/>
      <c r="G334" s="75">
        <f>主要材料品牌单价!E$46</f>
        <v>18</v>
      </c>
      <c r="H334" s="73">
        <f t="shared" si="28"/>
        <v>1.8</v>
      </c>
      <c r="I334" s="11"/>
    </row>
    <row r="335" customHeight="1" spans="1:9">
      <c r="A335" s="75">
        <v>4.5</v>
      </c>
      <c r="B335" s="79" t="s">
        <v>176</v>
      </c>
      <c r="C335" s="79"/>
      <c r="D335" s="14" t="s">
        <v>177</v>
      </c>
      <c r="E335" s="67">
        <v>1</v>
      </c>
      <c r="F335" s="14"/>
      <c r="G335" s="75">
        <v>8</v>
      </c>
      <c r="H335" s="73">
        <f t="shared" si="28"/>
        <v>8</v>
      </c>
      <c r="I335" s="11"/>
    </row>
    <row r="336" customHeight="1" spans="1:9">
      <c r="A336" s="68">
        <v>5</v>
      </c>
      <c r="B336" s="68" t="s">
        <v>178</v>
      </c>
      <c r="C336" s="68"/>
      <c r="D336" s="68"/>
      <c r="E336" s="68"/>
      <c r="F336" s="68"/>
      <c r="G336" s="68"/>
      <c r="H336" s="69">
        <f>SUM(H337:H339)</f>
        <v>21.25</v>
      </c>
      <c r="I336" s="86" t="s">
        <v>170</v>
      </c>
    </row>
    <row r="337" customHeight="1" spans="1:9">
      <c r="A337" s="75">
        <v>5.1</v>
      </c>
      <c r="B337" s="14" t="s">
        <v>179</v>
      </c>
      <c r="C337" s="14"/>
      <c r="D337" s="14" t="s">
        <v>180</v>
      </c>
      <c r="E337" s="76">
        <v>0.25</v>
      </c>
      <c r="F337" s="75"/>
      <c r="G337" s="75">
        <f>主要材料品牌单价!E$48</f>
        <v>13</v>
      </c>
      <c r="H337" s="73">
        <f t="shared" ref="H337:H346" si="29">E337*(1+F337)*G337</f>
        <v>3.25</v>
      </c>
      <c r="I337" s="11"/>
    </row>
    <row r="338" customHeight="1" spans="1:9">
      <c r="A338" s="75">
        <v>5.2</v>
      </c>
      <c r="B338" s="70" t="s">
        <v>181</v>
      </c>
      <c r="C338" s="71"/>
      <c r="D338" s="14" t="s">
        <v>177</v>
      </c>
      <c r="E338" s="76">
        <v>0</v>
      </c>
      <c r="F338" s="75"/>
      <c r="G338" s="75"/>
      <c r="H338" s="73">
        <f t="shared" si="29"/>
        <v>0</v>
      </c>
      <c r="I338" s="11"/>
    </row>
    <row r="339" customHeight="1" spans="1:9">
      <c r="A339" s="75">
        <v>5.3</v>
      </c>
      <c r="B339" s="80" t="s">
        <v>182</v>
      </c>
      <c r="C339" s="81"/>
      <c r="D339" s="82" t="s">
        <v>168</v>
      </c>
      <c r="E339" s="67">
        <v>18</v>
      </c>
      <c r="F339" s="14"/>
      <c r="G339" s="75"/>
      <c r="H339" s="73">
        <v>18</v>
      </c>
      <c r="I339" s="11"/>
    </row>
    <row r="340" customHeight="1" spans="1:9">
      <c r="A340" s="83">
        <v>6</v>
      </c>
      <c r="B340" s="82" t="s">
        <v>183</v>
      </c>
      <c r="C340" s="82"/>
      <c r="D340" s="82" t="s">
        <v>168</v>
      </c>
      <c r="E340" s="82">
        <v>1</v>
      </c>
      <c r="F340" s="68">
        <v>0</v>
      </c>
      <c r="G340" s="75">
        <v>50</v>
      </c>
      <c r="H340" s="69">
        <f t="shared" si="29"/>
        <v>50</v>
      </c>
      <c r="I340" s="86" t="s">
        <v>170</v>
      </c>
    </row>
    <row r="341" customHeight="1" spans="1:9">
      <c r="A341" s="68">
        <v>7</v>
      </c>
      <c r="B341" s="84" t="s">
        <v>184</v>
      </c>
      <c r="C341" s="85"/>
      <c r="D341" s="82" t="s">
        <v>168</v>
      </c>
      <c r="E341" s="82">
        <v>1</v>
      </c>
      <c r="F341" s="68">
        <v>0</v>
      </c>
      <c r="G341" s="75">
        <v>60</v>
      </c>
      <c r="H341" s="69">
        <f t="shared" si="29"/>
        <v>60</v>
      </c>
      <c r="I341" s="86" t="s">
        <v>170</v>
      </c>
    </row>
    <row r="342" customHeight="1" spans="1:9">
      <c r="A342" s="68">
        <v>8</v>
      </c>
      <c r="B342" s="82" t="s">
        <v>185</v>
      </c>
      <c r="C342" s="82"/>
      <c r="D342" s="82" t="s">
        <v>168</v>
      </c>
      <c r="E342" s="82">
        <v>1</v>
      </c>
      <c r="F342" s="68">
        <v>0</v>
      </c>
      <c r="G342" s="75">
        <v>3</v>
      </c>
      <c r="H342" s="69">
        <f t="shared" si="29"/>
        <v>3</v>
      </c>
      <c r="I342" s="86" t="s">
        <v>170</v>
      </c>
    </row>
    <row r="343" customHeight="1" spans="1:9">
      <c r="A343" s="82">
        <v>9</v>
      </c>
      <c r="B343" s="82" t="s">
        <v>186</v>
      </c>
      <c r="C343" s="82"/>
      <c r="D343" s="82" t="s">
        <v>168</v>
      </c>
      <c r="E343" s="82">
        <v>1</v>
      </c>
      <c r="F343" s="82">
        <v>0</v>
      </c>
      <c r="G343" s="75">
        <v>0.5</v>
      </c>
      <c r="H343" s="69">
        <f t="shared" si="29"/>
        <v>0.5</v>
      </c>
      <c r="I343" s="86" t="s">
        <v>170</v>
      </c>
    </row>
    <row r="344" customHeight="1" spans="1:9">
      <c r="A344" s="82">
        <v>10</v>
      </c>
      <c r="B344" s="82" t="s">
        <v>187</v>
      </c>
      <c r="C344" s="82"/>
      <c r="D344" s="82" t="s">
        <v>168</v>
      </c>
      <c r="E344" s="82">
        <v>1</v>
      </c>
      <c r="F344" s="82">
        <v>0</v>
      </c>
      <c r="G344" s="75">
        <v>0.5</v>
      </c>
      <c r="H344" s="69">
        <f t="shared" si="29"/>
        <v>0.5</v>
      </c>
      <c r="I344" s="86" t="s">
        <v>170</v>
      </c>
    </row>
    <row r="345" customHeight="1" spans="1:9">
      <c r="A345" s="82">
        <v>11</v>
      </c>
      <c r="B345" s="84" t="s">
        <v>188</v>
      </c>
      <c r="C345" s="85"/>
      <c r="D345" s="82" t="s">
        <v>168</v>
      </c>
      <c r="E345" s="82">
        <v>1</v>
      </c>
      <c r="F345" s="82">
        <v>0</v>
      </c>
      <c r="G345" s="75">
        <v>1</v>
      </c>
      <c r="H345" s="69">
        <f t="shared" si="29"/>
        <v>1</v>
      </c>
      <c r="I345" s="86" t="s">
        <v>170</v>
      </c>
    </row>
    <row r="346" customHeight="1" spans="1:9">
      <c r="A346" s="82">
        <v>12</v>
      </c>
      <c r="B346" s="82" t="s">
        <v>189</v>
      </c>
      <c r="C346" s="82"/>
      <c r="D346" s="82" t="s">
        <v>168</v>
      </c>
      <c r="E346" s="82">
        <v>1</v>
      </c>
      <c r="F346" s="82">
        <v>0</v>
      </c>
      <c r="G346" s="75">
        <v>0.5</v>
      </c>
      <c r="H346" s="69">
        <f t="shared" si="29"/>
        <v>0.5</v>
      </c>
      <c r="I346" s="86" t="s">
        <v>170</v>
      </c>
    </row>
    <row r="347" customHeight="1" spans="1:9">
      <c r="A347" s="82">
        <v>13</v>
      </c>
      <c r="B347" s="84" t="s">
        <v>190</v>
      </c>
      <c r="C347" s="85"/>
      <c r="D347" s="82" t="s">
        <v>6</v>
      </c>
      <c r="E347" s="84" t="s">
        <v>191</v>
      </c>
      <c r="F347" s="85"/>
      <c r="G347" s="86"/>
      <c r="H347" s="69">
        <f>H322+H326+H330+H336+H340+H341+H342+H343+H344+H346+H345+H328</f>
        <v>698.1718496</v>
      </c>
      <c r="I347" s="89" t="s">
        <v>192</v>
      </c>
    </row>
    <row r="348" customHeight="1" spans="1:9">
      <c r="A348" s="82">
        <v>14</v>
      </c>
      <c r="B348" s="84" t="s">
        <v>193</v>
      </c>
      <c r="C348" s="85"/>
      <c r="D348" s="82" t="s">
        <v>6</v>
      </c>
      <c r="E348" s="84" t="s">
        <v>194</v>
      </c>
      <c r="F348" s="85"/>
      <c r="G348" s="87">
        <v>0.08</v>
      </c>
      <c r="H348" s="69">
        <f>H347*(G348)</f>
        <v>55.853747968</v>
      </c>
      <c r="I348" s="90"/>
    </row>
    <row r="349" customHeight="1" spans="1:9">
      <c r="A349" s="82">
        <v>15</v>
      </c>
      <c r="B349" s="84" t="s">
        <v>195</v>
      </c>
      <c r="C349" s="85"/>
      <c r="D349" s="82" t="s">
        <v>6</v>
      </c>
      <c r="E349" s="84" t="s">
        <v>196</v>
      </c>
      <c r="F349" s="85"/>
      <c r="G349" s="86"/>
      <c r="H349" s="69">
        <f>H347+H348</f>
        <v>754.025597568</v>
      </c>
      <c r="I349" s="91">
        <f>H349</f>
        <v>754.025597568</v>
      </c>
    </row>
    <row r="350" customHeight="1" spans="1:9">
      <c r="A350" s="66" t="s">
        <v>198</v>
      </c>
      <c r="E350" s="60"/>
      <c r="G350" s="60"/>
      <c r="H350" s="60"/>
      <c r="I350" s="60"/>
    </row>
    <row r="351" customHeight="1" spans="1:9">
      <c r="A351" s="14" t="s">
        <v>143</v>
      </c>
      <c r="B351" s="88"/>
      <c r="C351" s="88"/>
      <c r="D351" s="88"/>
      <c r="E351" s="14" t="s">
        <v>144</v>
      </c>
      <c r="F351" s="14" t="s">
        <v>125</v>
      </c>
      <c r="G351" s="14"/>
      <c r="H351" s="14" t="s">
        <v>145</v>
      </c>
      <c r="I351" s="14"/>
    </row>
    <row r="352" customHeight="1" spans="1:9">
      <c r="A352" s="14" t="s">
        <v>82</v>
      </c>
      <c r="B352" s="14"/>
      <c r="C352" s="14"/>
      <c r="D352" s="14"/>
      <c r="E352" s="14" t="s">
        <v>146</v>
      </c>
      <c r="F352" s="14"/>
      <c r="G352" s="14"/>
      <c r="H352" s="14"/>
      <c r="I352" s="14"/>
    </row>
    <row r="353" customHeight="1" spans="1:9">
      <c r="A353" s="13" t="s">
        <v>147</v>
      </c>
      <c r="B353" s="14">
        <v>0</v>
      </c>
      <c r="C353" s="13" t="s">
        <v>148</v>
      </c>
      <c r="D353" s="14">
        <v>0</v>
      </c>
      <c r="E353" s="14" t="s">
        <v>149</v>
      </c>
      <c r="F353" s="67">
        <v>0</v>
      </c>
      <c r="G353" s="11" t="s">
        <v>150</v>
      </c>
      <c r="H353" s="14"/>
      <c r="I353" s="14"/>
    </row>
    <row r="354" customHeight="1" spans="1:9">
      <c r="A354" s="13"/>
      <c r="B354" s="14"/>
      <c r="C354" s="13"/>
      <c r="D354" s="14"/>
      <c r="E354" s="14"/>
      <c r="F354" s="67">
        <v>0</v>
      </c>
      <c r="G354" s="12" t="s">
        <v>151</v>
      </c>
      <c r="H354" s="14"/>
      <c r="I354" s="14"/>
    </row>
    <row r="355" customHeight="1" spans="1:9">
      <c r="A355" s="14" t="s">
        <v>38</v>
      </c>
      <c r="B355" s="14" t="s">
        <v>152</v>
      </c>
      <c r="C355" s="14"/>
      <c r="D355" s="14" t="s">
        <v>153</v>
      </c>
      <c r="E355" s="14" t="s">
        <v>154</v>
      </c>
      <c r="F355" s="14" t="s">
        <v>155</v>
      </c>
      <c r="G355" s="11" t="s">
        <v>156</v>
      </c>
      <c r="H355" s="11" t="s">
        <v>157</v>
      </c>
      <c r="I355" s="12" t="s">
        <v>158</v>
      </c>
    </row>
    <row r="356" customHeight="1" spans="1:9">
      <c r="A356" s="68">
        <v>1</v>
      </c>
      <c r="B356" s="68" t="s">
        <v>159</v>
      </c>
      <c r="C356" s="68"/>
      <c r="D356" s="68"/>
      <c r="E356" s="68"/>
      <c r="F356" s="68"/>
      <c r="G356" s="68"/>
      <c r="H356" s="69">
        <f>SUM(H357:H359)</f>
        <v>100.59712</v>
      </c>
      <c r="I356" s="86"/>
    </row>
    <row r="357" customHeight="1" spans="1:9">
      <c r="A357" s="14">
        <v>1.1</v>
      </c>
      <c r="B357" s="70" t="s">
        <v>160</v>
      </c>
      <c r="C357" s="71"/>
      <c r="D357" s="14" t="s">
        <v>161</v>
      </c>
      <c r="E357" s="67">
        <v>0</v>
      </c>
      <c r="F357" s="72"/>
      <c r="G357" s="73"/>
      <c r="H357" s="73">
        <f t="shared" ref="H357:H361" si="30">E357*(1+F357)*G357</f>
        <v>0</v>
      </c>
      <c r="I357" s="11"/>
    </row>
    <row r="358" customHeight="1" spans="1:9">
      <c r="A358" s="14">
        <v>1.2</v>
      </c>
      <c r="B358" s="70" t="s">
        <v>211</v>
      </c>
      <c r="C358" s="71"/>
      <c r="D358" s="14" t="s">
        <v>161</v>
      </c>
      <c r="E358" s="67">
        <v>8.32</v>
      </c>
      <c r="F358" s="72">
        <v>0.07</v>
      </c>
      <c r="G358" s="73">
        <f>主要材料品牌单价!E$7/1000</f>
        <v>11.3</v>
      </c>
      <c r="H358" s="73">
        <f t="shared" si="30"/>
        <v>100.59712</v>
      </c>
      <c r="I358" s="11"/>
    </row>
    <row r="359" customHeight="1" spans="1:9">
      <c r="A359" s="14">
        <v>1.3</v>
      </c>
      <c r="B359" s="14" t="s">
        <v>162</v>
      </c>
      <c r="C359" s="14"/>
      <c r="D359" s="14" t="s">
        <v>161</v>
      </c>
      <c r="E359" s="67">
        <v>0</v>
      </c>
      <c r="F359" s="72"/>
      <c r="G359" s="73"/>
      <c r="H359" s="73">
        <f t="shared" si="30"/>
        <v>0</v>
      </c>
      <c r="I359" s="11"/>
    </row>
    <row r="360" customHeight="1" spans="1:9">
      <c r="A360" s="68">
        <v>2</v>
      </c>
      <c r="B360" s="68" t="s">
        <v>163</v>
      </c>
      <c r="C360" s="68"/>
      <c r="D360" s="68"/>
      <c r="E360" s="68"/>
      <c r="F360" s="68"/>
      <c r="G360" s="68"/>
      <c r="H360" s="74">
        <f>H361</f>
        <v>37.875</v>
      </c>
      <c r="I360" s="86"/>
    </row>
    <row r="361" customHeight="1" spans="1:9">
      <c r="A361" s="14">
        <v>2.1</v>
      </c>
      <c r="B361" s="14" t="s">
        <v>164</v>
      </c>
      <c r="C361" s="14"/>
      <c r="D361" s="14" t="s">
        <v>165</v>
      </c>
      <c r="E361" s="73">
        <v>0.3</v>
      </c>
      <c r="F361" s="72">
        <v>0.01</v>
      </c>
      <c r="G361" s="73">
        <v>125</v>
      </c>
      <c r="H361" s="73">
        <f t="shared" si="30"/>
        <v>37.875</v>
      </c>
      <c r="I361" s="11"/>
    </row>
    <row r="362" customHeight="1" spans="1:9">
      <c r="A362" s="68">
        <v>3</v>
      </c>
      <c r="B362" s="68" t="s">
        <v>166</v>
      </c>
      <c r="C362" s="68"/>
      <c r="D362" s="68"/>
      <c r="E362" s="68"/>
      <c r="F362" s="68"/>
      <c r="G362" s="68"/>
      <c r="H362" s="74">
        <f>H363</f>
        <v>94.7835</v>
      </c>
      <c r="I362" s="86"/>
    </row>
    <row r="363" customHeight="1" spans="1:9">
      <c r="A363" s="14">
        <v>3.1</v>
      </c>
      <c r="B363" s="13" t="s">
        <v>212</v>
      </c>
      <c r="C363" s="13"/>
      <c r="D363" s="14" t="s">
        <v>168</v>
      </c>
      <c r="E363" s="73">
        <v>0.9</v>
      </c>
      <c r="F363" s="72">
        <v>0.003</v>
      </c>
      <c r="G363" s="11">
        <f>主要材料品牌单价!E32</f>
        <v>105</v>
      </c>
      <c r="H363" s="73">
        <f>E363*(1+F363)*G363</f>
        <v>94.7835</v>
      </c>
      <c r="I363" s="11"/>
    </row>
    <row r="364" customHeight="1" spans="1:9">
      <c r="A364" s="68">
        <v>4</v>
      </c>
      <c r="B364" s="68" t="s">
        <v>169</v>
      </c>
      <c r="C364" s="68"/>
      <c r="D364" s="68"/>
      <c r="E364" s="68"/>
      <c r="F364" s="68"/>
      <c r="G364" s="68"/>
      <c r="H364" s="69">
        <f>SUM(H365:H369)</f>
        <v>22.2</v>
      </c>
      <c r="I364" s="86" t="s">
        <v>170</v>
      </c>
    </row>
    <row r="365" customHeight="1" spans="1:9">
      <c r="A365" s="75">
        <v>4.1</v>
      </c>
      <c r="B365" s="14" t="s">
        <v>171</v>
      </c>
      <c r="C365" s="14"/>
      <c r="D365" s="14" t="s">
        <v>172</v>
      </c>
      <c r="E365" s="75">
        <v>0</v>
      </c>
      <c r="F365" s="75"/>
      <c r="G365" s="75">
        <f>主要材料品牌单价!E$44</f>
        <v>11.5</v>
      </c>
      <c r="H365" s="73">
        <f t="shared" ref="H364:H369" si="31">E365*(1+F365)*G365</f>
        <v>0</v>
      </c>
      <c r="I365" s="11"/>
    </row>
    <row r="366" customHeight="1" spans="1:9">
      <c r="A366" s="75">
        <v>4.2</v>
      </c>
      <c r="B366" s="70" t="s">
        <v>173</v>
      </c>
      <c r="C366" s="71"/>
      <c r="D366" s="14" t="s">
        <v>172</v>
      </c>
      <c r="E366" s="76">
        <v>1</v>
      </c>
      <c r="F366" s="75"/>
      <c r="G366" s="75">
        <f>主要材料品牌单价!E$43</f>
        <v>11.5</v>
      </c>
      <c r="H366" s="73">
        <f t="shared" si="31"/>
        <v>11.5</v>
      </c>
      <c r="I366" s="11"/>
    </row>
    <row r="367" customHeight="1" spans="1:9">
      <c r="A367" s="75">
        <v>4.3</v>
      </c>
      <c r="B367" s="70" t="s">
        <v>174</v>
      </c>
      <c r="C367" s="71"/>
      <c r="D367" s="14" t="s">
        <v>172</v>
      </c>
      <c r="E367" s="76">
        <v>0.2</v>
      </c>
      <c r="F367" s="75"/>
      <c r="G367" s="75">
        <f>主要材料品牌单价!E$45</f>
        <v>13.5</v>
      </c>
      <c r="H367" s="73">
        <f t="shared" si="31"/>
        <v>2.7</v>
      </c>
      <c r="I367" s="11"/>
    </row>
    <row r="368" customHeight="1" spans="1:9">
      <c r="A368" s="75">
        <v>4.4</v>
      </c>
      <c r="B368" s="77" t="s">
        <v>175</v>
      </c>
      <c r="C368" s="78"/>
      <c r="D368" s="14" t="s">
        <v>172</v>
      </c>
      <c r="E368" s="67">
        <v>0</v>
      </c>
      <c r="F368" s="14"/>
      <c r="G368" s="75">
        <f>主要材料品牌单价!E$46</f>
        <v>18</v>
      </c>
      <c r="H368" s="73">
        <f t="shared" si="31"/>
        <v>0</v>
      </c>
      <c r="I368" s="11"/>
    </row>
    <row r="369" customHeight="1" spans="1:9">
      <c r="A369" s="75">
        <v>4.5</v>
      </c>
      <c r="B369" s="79" t="s">
        <v>176</v>
      </c>
      <c r="C369" s="79"/>
      <c r="D369" s="14" t="s">
        <v>177</v>
      </c>
      <c r="E369" s="67">
        <v>1</v>
      </c>
      <c r="F369" s="14"/>
      <c r="G369" s="75">
        <v>8</v>
      </c>
      <c r="H369" s="73">
        <f t="shared" si="31"/>
        <v>8</v>
      </c>
      <c r="I369" s="11"/>
    </row>
    <row r="370" customHeight="1" spans="1:9">
      <c r="A370" s="68">
        <v>5</v>
      </c>
      <c r="B370" s="68" t="s">
        <v>178</v>
      </c>
      <c r="C370" s="68"/>
      <c r="D370" s="68"/>
      <c r="E370" s="68"/>
      <c r="F370" s="68"/>
      <c r="G370" s="68"/>
      <c r="H370" s="69">
        <f>SUM(H371:H373)</f>
        <v>6.95</v>
      </c>
      <c r="I370" s="86" t="s">
        <v>170</v>
      </c>
    </row>
    <row r="371" customHeight="1" spans="1:9">
      <c r="A371" s="75">
        <v>5.1</v>
      </c>
      <c r="B371" s="14" t="s">
        <v>179</v>
      </c>
      <c r="C371" s="14"/>
      <c r="D371" s="14" t="s">
        <v>180</v>
      </c>
      <c r="E371" s="76">
        <v>0.15</v>
      </c>
      <c r="F371" s="75"/>
      <c r="G371" s="75">
        <f>主要材料品牌单价!E$48</f>
        <v>13</v>
      </c>
      <c r="H371" s="73">
        <f t="shared" ref="H371:H380" si="32">E371*(1+F371)*G371</f>
        <v>1.95</v>
      </c>
      <c r="I371" s="11"/>
    </row>
    <row r="372" customHeight="1" spans="1:9">
      <c r="A372" s="75">
        <v>5.2</v>
      </c>
      <c r="B372" s="70" t="s">
        <v>181</v>
      </c>
      <c r="C372" s="71"/>
      <c r="D372" s="14" t="s">
        <v>177</v>
      </c>
      <c r="E372" s="76">
        <v>0</v>
      </c>
      <c r="F372" s="75"/>
      <c r="G372" s="75"/>
      <c r="H372" s="73">
        <f t="shared" si="32"/>
        <v>0</v>
      </c>
      <c r="I372" s="11"/>
    </row>
    <row r="373" customHeight="1" spans="1:9">
      <c r="A373" s="75">
        <v>5.3</v>
      </c>
      <c r="B373" s="80" t="s">
        <v>182</v>
      </c>
      <c r="C373" s="81"/>
      <c r="D373" s="82" t="s">
        <v>168</v>
      </c>
      <c r="E373" s="67">
        <v>5</v>
      </c>
      <c r="F373" s="14"/>
      <c r="G373" s="75"/>
      <c r="H373" s="73">
        <v>5</v>
      </c>
      <c r="I373" s="11"/>
    </row>
    <row r="374" customHeight="1" spans="1:9">
      <c r="A374" s="83">
        <v>6</v>
      </c>
      <c r="B374" s="82" t="s">
        <v>183</v>
      </c>
      <c r="C374" s="82"/>
      <c r="D374" s="82" t="s">
        <v>168</v>
      </c>
      <c r="E374" s="82">
        <v>1</v>
      </c>
      <c r="F374" s="68">
        <v>0</v>
      </c>
      <c r="G374" s="75">
        <v>28</v>
      </c>
      <c r="H374" s="69">
        <f t="shared" si="32"/>
        <v>28</v>
      </c>
      <c r="I374" s="86" t="s">
        <v>170</v>
      </c>
    </row>
    <row r="375" customHeight="1" spans="1:9">
      <c r="A375" s="68">
        <v>7</v>
      </c>
      <c r="B375" s="84" t="s">
        <v>184</v>
      </c>
      <c r="C375" s="85"/>
      <c r="D375" s="82" t="s">
        <v>168</v>
      </c>
      <c r="E375" s="82">
        <v>1</v>
      </c>
      <c r="F375" s="68">
        <v>0</v>
      </c>
      <c r="G375" s="75">
        <v>45</v>
      </c>
      <c r="H375" s="69">
        <f t="shared" si="32"/>
        <v>45</v>
      </c>
      <c r="I375" s="86" t="s">
        <v>170</v>
      </c>
    </row>
    <row r="376" customHeight="1" spans="1:9">
      <c r="A376" s="68">
        <v>8</v>
      </c>
      <c r="B376" s="82" t="s">
        <v>185</v>
      </c>
      <c r="C376" s="82"/>
      <c r="D376" s="82" t="s">
        <v>168</v>
      </c>
      <c r="E376" s="82">
        <v>1</v>
      </c>
      <c r="F376" s="68">
        <v>0</v>
      </c>
      <c r="G376" s="75">
        <v>3</v>
      </c>
      <c r="H376" s="69">
        <f t="shared" si="32"/>
        <v>3</v>
      </c>
      <c r="I376" s="86" t="s">
        <v>170</v>
      </c>
    </row>
    <row r="377" customHeight="1" spans="1:9">
      <c r="A377" s="82">
        <v>9</v>
      </c>
      <c r="B377" s="82" t="s">
        <v>186</v>
      </c>
      <c r="C377" s="82"/>
      <c r="D377" s="82" t="s">
        <v>168</v>
      </c>
      <c r="E377" s="82">
        <v>1</v>
      </c>
      <c r="F377" s="82">
        <v>0</v>
      </c>
      <c r="G377" s="75">
        <v>0.5</v>
      </c>
      <c r="H377" s="69">
        <f t="shared" si="32"/>
        <v>0.5</v>
      </c>
      <c r="I377" s="86" t="s">
        <v>170</v>
      </c>
    </row>
    <row r="378" customHeight="1" spans="1:9">
      <c r="A378" s="82">
        <v>10</v>
      </c>
      <c r="B378" s="82" t="s">
        <v>187</v>
      </c>
      <c r="C378" s="82"/>
      <c r="D378" s="82" t="s">
        <v>168</v>
      </c>
      <c r="E378" s="82">
        <v>1</v>
      </c>
      <c r="F378" s="82">
        <v>0</v>
      </c>
      <c r="G378" s="75">
        <v>0.5</v>
      </c>
      <c r="H378" s="69">
        <f t="shared" si="32"/>
        <v>0.5</v>
      </c>
      <c r="I378" s="86" t="s">
        <v>170</v>
      </c>
    </row>
    <row r="379" customHeight="1" spans="1:9">
      <c r="A379" s="82">
        <v>11</v>
      </c>
      <c r="B379" s="84" t="s">
        <v>188</v>
      </c>
      <c r="C379" s="85"/>
      <c r="D379" s="82" t="s">
        <v>168</v>
      </c>
      <c r="E379" s="82">
        <v>1</v>
      </c>
      <c r="F379" s="82">
        <v>0</v>
      </c>
      <c r="G379" s="75">
        <v>1</v>
      </c>
      <c r="H379" s="69">
        <f t="shared" si="32"/>
        <v>1</v>
      </c>
      <c r="I379" s="86" t="s">
        <v>170</v>
      </c>
    </row>
    <row r="380" customHeight="1" spans="1:9">
      <c r="A380" s="82">
        <v>12</v>
      </c>
      <c r="B380" s="82" t="s">
        <v>189</v>
      </c>
      <c r="C380" s="82"/>
      <c r="D380" s="82" t="s">
        <v>168</v>
      </c>
      <c r="E380" s="82">
        <v>1</v>
      </c>
      <c r="F380" s="82">
        <v>0</v>
      </c>
      <c r="G380" s="75">
        <v>0.5</v>
      </c>
      <c r="H380" s="69">
        <f t="shared" si="32"/>
        <v>0.5</v>
      </c>
      <c r="I380" s="86" t="s">
        <v>170</v>
      </c>
    </row>
    <row r="381" customHeight="1" spans="1:9">
      <c r="A381" s="82">
        <v>13</v>
      </c>
      <c r="B381" s="84" t="s">
        <v>190</v>
      </c>
      <c r="C381" s="85"/>
      <c r="D381" s="82" t="s">
        <v>6</v>
      </c>
      <c r="E381" s="84" t="s">
        <v>191</v>
      </c>
      <c r="F381" s="85"/>
      <c r="G381" s="86"/>
      <c r="H381" s="69">
        <f>H356+H360+H364+H370+H374+H375+H376+H377+H378+H380+H379+H362</f>
        <v>340.90562</v>
      </c>
      <c r="I381" s="89" t="s">
        <v>192</v>
      </c>
    </row>
    <row r="382" customHeight="1" spans="1:9">
      <c r="A382" s="82">
        <v>14</v>
      </c>
      <c r="B382" s="84" t="s">
        <v>193</v>
      </c>
      <c r="C382" s="85"/>
      <c r="D382" s="82" t="s">
        <v>6</v>
      </c>
      <c r="E382" s="84" t="s">
        <v>194</v>
      </c>
      <c r="F382" s="85"/>
      <c r="G382" s="87">
        <v>0.08</v>
      </c>
      <c r="H382" s="69">
        <f>H381*(G382)</f>
        <v>27.2724496</v>
      </c>
      <c r="I382" s="90"/>
    </row>
    <row r="383" customHeight="1" spans="1:9">
      <c r="A383" s="82">
        <v>15</v>
      </c>
      <c r="B383" s="84" t="s">
        <v>195</v>
      </c>
      <c r="C383" s="85"/>
      <c r="D383" s="82" t="s">
        <v>6</v>
      </c>
      <c r="E383" s="84" t="s">
        <v>196</v>
      </c>
      <c r="F383" s="85"/>
      <c r="G383" s="86"/>
      <c r="H383" s="69">
        <f>H381+H382</f>
        <v>368.1780696</v>
      </c>
      <c r="I383" s="91">
        <f>H383</f>
        <v>368.1780696</v>
      </c>
    </row>
    <row r="385" customHeight="1" spans="1:9">
      <c r="A385" s="66" t="s">
        <v>198</v>
      </c>
      <c r="E385" s="60"/>
      <c r="G385" s="60"/>
      <c r="H385" s="60"/>
      <c r="I385" s="60"/>
    </row>
    <row r="386" customHeight="1" spans="1:9">
      <c r="A386" s="14" t="s">
        <v>143</v>
      </c>
      <c r="B386" s="88"/>
      <c r="C386" s="88"/>
      <c r="D386" s="88"/>
      <c r="E386" s="14" t="s">
        <v>144</v>
      </c>
      <c r="F386" s="14" t="s">
        <v>130</v>
      </c>
      <c r="G386" s="14"/>
      <c r="H386" s="14" t="s">
        <v>145</v>
      </c>
      <c r="I386" s="14"/>
    </row>
    <row r="387" customHeight="1" spans="1:9">
      <c r="A387" s="14" t="s">
        <v>82</v>
      </c>
      <c r="B387" s="14"/>
      <c r="C387" s="14"/>
      <c r="D387" s="14"/>
      <c r="E387" s="14" t="s">
        <v>146</v>
      </c>
      <c r="F387" s="14"/>
      <c r="G387" s="14"/>
      <c r="H387" s="14"/>
      <c r="I387" s="14"/>
    </row>
    <row r="388" customHeight="1" spans="1:9">
      <c r="A388" s="13" t="s">
        <v>147</v>
      </c>
      <c r="B388" s="14">
        <v>0</v>
      </c>
      <c r="C388" s="13" t="s">
        <v>148</v>
      </c>
      <c r="D388" s="14">
        <v>0</v>
      </c>
      <c r="E388" s="14" t="s">
        <v>149</v>
      </c>
      <c r="F388" s="67">
        <v>0</v>
      </c>
      <c r="G388" s="11" t="s">
        <v>150</v>
      </c>
      <c r="H388" s="14"/>
      <c r="I388" s="14"/>
    </row>
    <row r="389" customHeight="1" spans="1:9">
      <c r="A389" s="13"/>
      <c r="B389" s="14"/>
      <c r="C389" s="13"/>
      <c r="D389" s="14"/>
      <c r="E389" s="14"/>
      <c r="F389" s="67">
        <v>0</v>
      </c>
      <c r="G389" s="12" t="s">
        <v>151</v>
      </c>
      <c r="H389" s="14"/>
      <c r="I389" s="14"/>
    </row>
    <row r="390" customHeight="1" spans="1:9">
      <c r="A390" s="14" t="s">
        <v>38</v>
      </c>
      <c r="B390" s="14" t="s">
        <v>152</v>
      </c>
      <c r="C390" s="14"/>
      <c r="D390" s="14" t="s">
        <v>153</v>
      </c>
      <c r="E390" s="14" t="s">
        <v>154</v>
      </c>
      <c r="F390" s="14" t="s">
        <v>155</v>
      </c>
      <c r="G390" s="11" t="s">
        <v>156</v>
      </c>
      <c r="H390" s="11" t="s">
        <v>157</v>
      </c>
      <c r="I390" s="12" t="s">
        <v>158</v>
      </c>
    </row>
    <row r="391" customHeight="1" spans="1:9">
      <c r="A391" s="68">
        <v>1</v>
      </c>
      <c r="B391" s="68" t="s">
        <v>159</v>
      </c>
      <c r="C391" s="68"/>
      <c r="D391" s="68"/>
      <c r="E391" s="68"/>
      <c r="F391" s="68"/>
      <c r="G391" s="68"/>
      <c r="H391" s="69">
        <f>SUM(H392:H394)</f>
        <v>305.6776856</v>
      </c>
      <c r="I391" s="86"/>
    </row>
    <row r="392" customHeight="1" spans="1:9">
      <c r="A392" s="14">
        <v>1.1</v>
      </c>
      <c r="B392" s="70" t="s">
        <v>200</v>
      </c>
      <c r="C392" s="71"/>
      <c r="D392" s="14" t="s">
        <v>161</v>
      </c>
      <c r="E392" s="67">
        <v>8.54</v>
      </c>
      <c r="F392" s="72">
        <v>0.07</v>
      </c>
      <c r="G392" s="73">
        <f>主要材料品牌单价!E$6/1000</f>
        <v>27.1</v>
      </c>
      <c r="H392" s="73">
        <f t="shared" ref="H392:H394" si="33">E392*(1+F392)*G392</f>
        <v>247.63438</v>
      </c>
      <c r="I392" s="11"/>
    </row>
    <row r="393" customHeight="1" spans="1:9">
      <c r="A393" s="14">
        <v>1.2</v>
      </c>
      <c r="B393" s="70" t="s">
        <v>160</v>
      </c>
      <c r="C393" s="71"/>
      <c r="D393" s="14" t="s">
        <v>161</v>
      </c>
      <c r="E393" s="67">
        <f>E392*0.16</f>
        <v>1.3664</v>
      </c>
      <c r="F393" s="72">
        <v>0.07</v>
      </c>
      <c r="G393" s="73">
        <f>主要材料品牌单价!E$5/1000</f>
        <v>26.8</v>
      </c>
      <c r="H393" s="73">
        <f t="shared" si="33"/>
        <v>39.1828864</v>
      </c>
      <c r="I393" s="11"/>
    </row>
    <row r="394" customHeight="1" spans="1:9">
      <c r="A394" s="14">
        <v>1.3</v>
      </c>
      <c r="B394" s="14" t="s">
        <v>162</v>
      </c>
      <c r="C394" s="14"/>
      <c r="D394" s="14" t="s">
        <v>161</v>
      </c>
      <c r="E394" s="67">
        <f>E392*0.08</f>
        <v>0.6832</v>
      </c>
      <c r="F394" s="72">
        <v>0.07</v>
      </c>
      <c r="G394" s="73">
        <f>(主要材料品牌单价!E$5-1000)/1000</f>
        <v>25.8</v>
      </c>
      <c r="H394" s="73">
        <f t="shared" si="33"/>
        <v>18.8604192</v>
      </c>
      <c r="I394" s="11"/>
    </row>
    <row r="395" customHeight="1" spans="1:9">
      <c r="A395" s="68">
        <v>2</v>
      </c>
      <c r="B395" s="68" t="s">
        <v>163</v>
      </c>
      <c r="C395" s="68"/>
      <c r="D395" s="68"/>
      <c r="E395" s="68"/>
      <c r="F395" s="68"/>
      <c r="G395" s="68"/>
      <c r="H395" s="74">
        <f>H396</f>
        <v>44.8945</v>
      </c>
      <c r="I395" s="86"/>
    </row>
    <row r="396" customHeight="1" spans="1:9">
      <c r="A396" s="14">
        <v>2.1</v>
      </c>
      <c r="B396" s="14" t="s">
        <v>164</v>
      </c>
      <c r="C396" s="14"/>
      <c r="D396" s="14" t="s">
        <v>165</v>
      </c>
      <c r="E396" s="73">
        <v>0.35</v>
      </c>
      <c r="F396" s="72">
        <v>0.01</v>
      </c>
      <c r="G396" s="73">
        <f>主要材料品牌单价!E23</f>
        <v>127</v>
      </c>
      <c r="H396" s="73">
        <f>E396*(1+F396)*G396</f>
        <v>44.8945</v>
      </c>
      <c r="I396" s="11"/>
    </row>
    <row r="397" customHeight="1" spans="1:9">
      <c r="A397" s="68">
        <v>3</v>
      </c>
      <c r="B397" s="68" t="s">
        <v>166</v>
      </c>
      <c r="C397" s="68"/>
      <c r="D397" s="68"/>
      <c r="E397" s="68"/>
      <c r="F397" s="68"/>
      <c r="G397" s="68"/>
      <c r="H397" s="74">
        <f>H398</f>
        <v>94.7835</v>
      </c>
      <c r="I397" s="86"/>
    </row>
    <row r="398" customHeight="1" spans="1:9">
      <c r="A398" s="14">
        <v>3.1</v>
      </c>
      <c r="B398" s="13" t="s">
        <v>213</v>
      </c>
      <c r="C398" s="13"/>
      <c r="D398" s="14" t="s">
        <v>168</v>
      </c>
      <c r="E398" s="73">
        <v>0.9</v>
      </c>
      <c r="F398" s="72">
        <v>0.003</v>
      </c>
      <c r="G398" s="11">
        <f>主要材料品牌单价!E32</f>
        <v>105</v>
      </c>
      <c r="H398" s="73">
        <f t="shared" ref="H398:H404" si="34">E398*(1+F398)*G398</f>
        <v>94.7835</v>
      </c>
      <c r="I398" s="11"/>
    </row>
    <row r="399" customHeight="1" spans="1:9">
      <c r="A399" s="68">
        <v>4</v>
      </c>
      <c r="B399" s="68" t="s">
        <v>169</v>
      </c>
      <c r="C399" s="68"/>
      <c r="D399" s="68"/>
      <c r="E399" s="68"/>
      <c r="F399" s="68"/>
      <c r="G399" s="68"/>
      <c r="H399" s="69">
        <f>SUM(H400:H404)</f>
        <v>36.62</v>
      </c>
      <c r="I399" s="86" t="s">
        <v>170</v>
      </c>
    </row>
    <row r="400" customHeight="1" spans="1:9">
      <c r="A400" s="75">
        <v>4.1</v>
      </c>
      <c r="B400" s="14" t="s">
        <v>171</v>
      </c>
      <c r="C400" s="14"/>
      <c r="D400" s="14" t="s">
        <v>172</v>
      </c>
      <c r="E400" s="75">
        <v>1</v>
      </c>
      <c r="F400" s="75"/>
      <c r="G400" s="75">
        <f>主要材料品牌单价!E$44</f>
        <v>11.5</v>
      </c>
      <c r="H400" s="73">
        <f t="shared" si="34"/>
        <v>11.5</v>
      </c>
      <c r="I400" s="11"/>
    </row>
    <row r="401" customHeight="1" spans="1:9">
      <c r="A401" s="75">
        <v>4.2</v>
      </c>
      <c r="B401" s="70" t="s">
        <v>173</v>
      </c>
      <c r="C401" s="71"/>
      <c r="D401" s="14" t="s">
        <v>172</v>
      </c>
      <c r="E401" s="76">
        <v>0.8</v>
      </c>
      <c r="F401" s="75"/>
      <c r="G401" s="75">
        <f>主要材料品牌单价!E$43</f>
        <v>11.5</v>
      </c>
      <c r="H401" s="73">
        <f t="shared" si="34"/>
        <v>9.2</v>
      </c>
      <c r="I401" s="11"/>
    </row>
    <row r="402" customHeight="1" spans="1:9">
      <c r="A402" s="75">
        <v>4.3</v>
      </c>
      <c r="B402" s="70" t="s">
        <v>174</v>
      </c>
      <c r="C402" s="71"/>
      <c r="D402" s="14" t="s">
        <v>172</v>
      </c>
      <c r="E402" s="76">
        <v>0.4</v>
      </c>
      <c r="F402" s="75"/>
      <c r="G402" s="75">
        <f>主要材料品牌单价!E$45</f>
        <v>13.5</v>
      </c>
      <c r="H402" s="73">
        <f t="shared" si="34"/>
        <v>5.4</v>
      </c>
      <c r="I402" s="11"/>
    </row>
    <row r="403" customHeight="1" spans="1:9">
      <c r="A403" s="75">
        <v>4.4</v>
      </c>
      <c r="B403" s="77" t="s">
        <v>175</v>
      </c>
      <c r="C403" s="78"/>
      <c r="D403" s="14" t="s">
        <v>172</v>
      </c>
      <c r="E403" s="67">
        <v>0.1</v>
      </c>
      <c r="F403" s="14"/>
      <c r="G403" s="75">
        <f>主要材料品牌单价!E$46</f>
        <v>18</v>
      </c>
      <c r="H403" s="73">
        <f t="shared" si="34"/>
        <v>1.8</v>
      </c>
      <c r="I403" s="11"/>
    </row>
    <row r="404" customHeight="1" spans="1:9">
      <c r="A404" s="75">
        <v>4.5</v>
      </c>
      <c r="B404" s="79" t="s">
        <v>176</v>
      </c>
      <c r="C404" s="79"/>
      <c r="D404" s="14" t="s">
        <v>177</v>
      </c>
      <c r="E404" s="67">
        <v>1</v>
      </c>
      <c r="F404" s="14"/>
      <c r="G404" s="75">
        <v>8.72</v>
      </c>
      <c r="H404" s="73">
        <f t="shared" si="34"/>
        <v>8.72</v>
      </c>
      <c r="I404" s="11"/>
    </row>
    <row r="405" customHeight="1" spans="1:9">
      <c r="A405" s="68">
        <v>5</v>
      </c>
      <c r="B405" s="68" t="s">
        <v>178</v>
      </c>
      <c r="C405" s="68"/>
      <c r="D405" s="68"/>
      <c r="E405" s="68"/>
      <c r="F405" s="68"/>
      <c r="G405" s="68"/>
      <c r="H405" s="69">
        <f>SUM(H406:H408)</f>
        <v>13.25</v>
      </c>
      <c r="I405" s="86" t="s">
        <v>170</v>
      </c>
    </row>
    <row r="406" customHeight="1" spans="1:9">
      <c r="A406" s="75">
        <v>5.1</v>
      </c>
      <c r="B406" s="14" t="s">
        <v>179</v>
      </c>
      <c r="C406" s="14"/>
      <c r="D406" s="14" t="s">
        <v>180</v>
      </c>
      <c r="E406" s="76">
        <v>0.25</v>
      </c>
      <c r="F406" s="75"/>
      <c r="G406" s="75">
        <f>主要材料品牌单价!E$48</f>
        <v>13</v>
      </c>
      <c r="H406" s="73">
        <f t="shared" ref="H406:H415" si="35">E406*(1+F406)*G406</f>
        <v>3.25</v>
      </c>
      <c r="I406" s="11"/>
    </row>
    <row r="407" customHeight="1" spans="1:9">
      <c r="A407" s="75">
        <v>5.2</v>
      </c>
      <c r="B407" s="70" t="s">
        <v>181</v>
      </c>
      <c r="C407" s="71"/>
      <c r="D407" s="14" t="s">
        <v>177</v>
      </c>
      <c r="E407" s="76">
        <v>0</v>
      </c>
      <c r="F407" s="75"/>
      <c r="G407" s="75"/>
      <c r="H407" s="73">
        <f t="shared" si="35"/>
        <v>0</v>
      </c>
      <c r="I407" s="11"/>
    </row>
    <row r="408" customHeight="1" spans="1:9">
      <c r="A408" s="75">
        <v>5.3</v>
      </c>
      <c r="B408" s="80" t="s">
        <v>182</v>
      </c>
      <c r="C408" s="81"/>
      <c r="D408" s="82" t="s">
        <v>168</v>
      </c>
      <c r="E408" s="67">
        <v>10</v>
      </c>
      <c r="F408" s="14"/>
      <c r="G408" s="75"/>
      <c r="H408" s="73">
        <v>10</v>
      </c>
      <c r="I408" s="11"/>
    </row>
    <row r="409" customHeight="1" spans="1:9">
      <c r="A409" s="83">
        <v>6</v>
      </c>
      <c r="B409" s="82" t="s">
        <v>183</v>
      </c>
      <c r="C409" s="82"/>
      <c r="D409" s="82" t="s">
        <v>168</v>
      </c>
      <c r="E409" s="82">
        <v>1</v>
      </c>
      <c r="F409" s="68">
        <v>0</v>
      </c>
      <c r="G409" s="75">
        <v>35</v>
      </c>
      <c r="H409" s="69">
        <f t="shared" si="35"/>
        <v>35</v>
      </c>
      <c r="I409" s="86" t="s">
        <v>170</v>
      </c>
    </row>
    <row r="410" customHeight="1" spans="1:9">
      <c r="A410" s="68">
        <v>7</v>
      </c>
      <c r="B410" s="84" t="s">
        <v>184</v>
      </c>
      <c r="C410" s="85"/>
      <c r="D410" s="82" t="s">
        <v>168</v>
      </c>
      <c r="E410" s="82">
        <v>1</v>
      </c>
      <c r="F410" s="68">
        <v>0</v>
      </c>
      <c r="G410" s="75">
        <v>45</v>
      </c>
      <c r="H410" s="69">
        <f t="shared" si="35"/>
        <v>45</v>
      </c>
      <c r="I410" s="86" t="s">
        <v>170</v>
      </c>
    </row>
    <row r="411" customHeight="1" spans="1:9">
      <c r="A411" s="68">
        <v>8</v>
      </c>
      <c r="B411" s="82" t="s">
        <v>185</v>
      </c>
      <c r="C411" s="82"/>
      <c r="D411" s="82" t="s">
        <v>168</v>
      </c>
      <c r="E411" s="82">
        <v>1</v>
      </c>
      <c r="F411" s="68">
        <v>0</v>
      </c>
      <c r="G411" s="75">
        <v>3</v>
      </c>
      <c r="H411" s="69">
        <f t="shared" si="35"/>
        <v>3</v>
      </c>
      <c r="I411" s="86" t="s">
        <v>170</v>
      </c>
    </row>
    <row r="412" customHeight="1" spans="1:9">
      <c r="A412" s="82">
        <v>9</v>
      </c>
      <c r="B412" s="82" t="s">
        <v>186</v>
      </c>
      <c r="C412" s="82"/>
      <c r="D412" s="82" t="s">
        <v>168</v>
      </c>
      <c r="E412" s="82">
        <v>1</v>
      </c>
      <c r="F412" s="82">
        <v>0</v>
      </c>
      <c r="G412" s="75">
        <v>0.5</v>
      </c>
      <c r="H412" s="69">
        <f t="shared" si="35"/>
        <v>0.5</v>
      </c>
      <c r="I412" s="86" t="s">
        <v>170</v>
      </c>
    </row>
    <row r="413" customHeight="1" spans="1:9">
      <c r="A413" s="82">
        <v>10</v>
      </c>
      <c r="B413" s="82" t="s">
        <v>187</v>
      </c>
      <c r="C413" s="82"/>
      <c r="D413" s="82" t="s">
        <v>168</v>
      </c>
      <c r="E413" s="82">
        <v>1</v>
      </c>
      <c r="F413" s="82">
        <v>0</v>
      </c>
      <c r="G413" s="75">
        <v>0.5</v>
      </c>
      <c r="H413" s="69">
        <f t="shared" si="35"/>
        <v>0.5</v>
      </c>
      <c r="I413" s="86" t="s">
        <v>170</v>
      </c>
    </row>
    <row r="414" customHeight="1" spans="1:9">
      <c r="A414" s="82">
        <v>11</v>
      </c>
      <c r="B414" s="84" t="s">
        <v>188</v>
      </c>
      <c r="C414" s="85"/>
      <c r="D414" s="82" t="s">
        <v>168</v>
      </c>
      <c r="E414" s="82">
        <v>1</v>
      </c>
      <c r="F414" s="82">
        <v>0</v>
      </c>
      <c r="G414" s="75">
        <v>1</v>
      </c>
      <c r="H414" s="69">
        <f t="shared" si="35"/>
        <v>1</v>
      </c>
      <c r="I414" s="86" t="s">
        <v>170</v>
      </c>
    </row>
    <row r="415" customHeight="1" spans="1:9">
      <c r="A415" s="82">
        <v>12</v>
      </c>
      <c r="B415" s="82" t="s">
        <v>189</v>
      </c>
      <c r="C415" s="82"/>
      <c r="D415" s="82" t="s">
        <v>168</v>
      </c>
      <c r="E415" s="82">
        <v>1</v>
      </c>
      <c r="F415" s="82">
        <v>0</v>
      </c>
      <c r="G415" s="75">
        <v>0.5</v>
      </c>
      <c r="H415" s="69">
        <f t="shared" si="35"/>
        <v>0.5</v>
      </c>
      <c r="I415" s="86" t="s">
        <v>170</v>
      </c>
    </row>
    <row r="416" customHeight="1" spans="1:9">
      <c r="A416" s="82">
        <v>13</v>
      </c>
      <c r="B416" s="84" t="s">
        <v>190</v>
      </c>
      <c r="C416" s="85"/>
      <c r="D416" s="82" t="s">
        <v>6</v>
      </c>
      <c r="E416" s="84" t="s">
        <v>191</v>
      </c>
      <c r="F416" s="85"/>
      <c r="G416" s="86"/>
      <c r="H416" s="69">
        <f>H391+H395+H399+H405+H409+H410+H411+H412+H413+H415+H414+H397</f>
        <v>580.7256856</v>
      </c>
      <c r="I416" s="89" t="s">
        <v>192</v>
      </c>
    </row>
    <row r="417" customHeight="1" spans="1:9">
      <c r="A417" s="82">
        <v>14</v>
      </c>
      <c r="B417" s="84" t="s">
        <v>193</v>
      </c>
      <c r="C417" s="85"/>
      <c r="D417" s="82" t="s">
        <v>6</v>
      </c>
      <c r="E417" s="84" t="s">
        <v>194</v>
      </c>
      <c r="F417" s="85"/>
      <c r="G417" s="87">
        <v>0.08</v>
      </c>
      <c r="H417" s="69">
        <f>H416*(G417)</f>
        <v>46.458054848</v>
      </c>
      <c r="I417" s="90"/>
    </row>
    <row r="418" customHeight="1" spans="1:9">
      <c r="A418" s="82">
        <v>15</v>
      </c>
      <c r="B418" s="84" t="s">
        <v>195</v>
      </c>
      <c r="C418" s="85"/>
      <c r="D418" s="82" t="s">
        <v>6</v>
      </c>
      <c r="E418" s="84" t="s">
        <v>196</v>
      </c>
      <c r="F418" s="85"/>
      <c r="G418" s="86"/>
      <c r="H418" s="69">
        <f>H416+H417</f>
        <v>627.183740448</v>
      </c>
      <c r="I418" s="91">
        <f>H418</f>
        <v>627.183740448</v>
      </c>
    </row>
    <row r="420" customHeight="1" spans="1:9">
      <c r="A420" s="66" t="s">
        <v>198</v>
      </c>
      <c r="E420" s="60"/>
      <c r="G420" s="60"/>
      <c r="H420" s="60"/>
      <c r="I420" s="60"/>
    </row>
    <row r="421" customHeight="1" spans="1:9">
      <c r="A421" s="14" t="s">
        <v>143</v>
      </c>
      <c r="B421" s="88"/>
      <c r="C421" s="88"/>
      <c r="D421" s="88"/>
      <c r="E421" s="14" t="s">
        <v>144</v>
      </c>
      <c r="F421" s="14" t="s">
        <v>132</v>
      </c>
      <c r="G421" s="14"/>
      <c r="H421" s="14" t="s">
        <v>145</v>
      </c>
      <c r="I421" s="14"/>
    </row>
    <row r="422" customHeight="1" spans="1:9">
      <c r="A422" s="14" t="s">
        <v>82</v>
      </c>
      <c r="B422" s="14"/>
      <c r="C422" s="14"/>
      <c r="D422" s="14"/>
      <c r="E422" s="14" t="s">
        <v>146</v>
      </c>
      <c r="F422" s="14"/>
      <c r="G422" s="14"/>
      <c r="H422" s="14"/>
      <c r="I422" s="14"/>
    </row>
    <row r="423" customHeight="1" spans="1:9">
      <c r="A423" s="13" t="s">
        <v>147</v>
      </c>
      <c r="B423" s="14">
        <v>0</v>
      </c>
      <c r="C423" s="13" t="s">
        <v>148</v>
      </c>
      <c r="D423" s="14">
        <v>0</v>
      </c>
      <c r="E423" s="14" t="s">
        <v>149</v>
      </c>
      <c r="F423" s="67">
        <v>0</v>
      </c>
      <c r="G423" s="11" t="s">
        <v>150</v>
      </c>
      <c r="H423" s="14"/>
      <c r="I423" s="14"/>
    </row>
    <row r="424" customHeight="1" spans="1:9">
      <c r="A424" s="13"/>
      <c r="B424" s="14"/>
      <c r="C424" s="13"/>
      <c r="D424" s="14"/>
      <c r="E424" s="14"/>
      <c r="F424" s="67">
        <v>0</v>
      </c>
      <c r="G424" s="12" t="s">
        <v>151</v>
      </c>
      <c r="H424" s="14"/>
      <c r="I424" s="14"/>
    </row>
    <row r="425" customHeight="1" spans="1:9">
      <c r="A425" s="14" t="s">
        <v>38</v>
      </c>
      <c r="B425" s="14" t="s">
        <v>152</v>
      </c>
      <c r="C425" s="14"/>
      <c r="D425" s="14" t="s">
        <v>153</v>
      </c>
      <c r="E425" s="14" t="s">
        <v>154</v>
      </c>
      <c r="F425" s="14" t="s">
        <v>155</v>
      </c>
      <c r="G425" s="11" t="s">
        <v>156</v>
      </c>
      <c r="H425" s="11" t="s">
        <v>157</v>
      </c>
      <c r="I425" s="12" t="s">
        <v>158</v>
      </c>
    </row>
    <row r="426" customHeight="1" spans="1:9">
      <c r="A426" s="68">
        <v>1</v>
      </c>
      <c r="B426" s="68" t="s">
        <v>159</v>
      </c>
      <c r="C426" s="68"/>
      <c r="D426" s="68"/>
      <c r="E426" s="68"/>
      <c r="F426" s="68"/>
      <c r="G426" s="68"/>
      <c r="H426" s="69">
        <f>SUM(H427:H429)</f>
        <v>90.19886</v>
      </c>
      <c r="I426" s="86"/>
    </row>
    <row r="427" customHeight="1" spans="1:9">
      <c r="A427" s="14">
        <v>1.1</v>
      </c>
      <c r="B427" s="70" t="s">
        <v>160</v>
      </c>
      <c r="C427" s="71"/>
      <c r="D427" s="14" t="s">
        <v>161</v>
      </c>
      <c r="E427" s="67">
        <v>0</v>
      </c>
      <c r="F427" s="72"/>
      <c r="G427" s="73"/>
      <c r="H427" s="73">
        <f t="shared" ref="H427:H429" si="36">E427*(1+F427)*G427</f>
        <v>0</v>
      </c>
      <c r="I427" s="11"/>
    </row>
    <row r="428" customHeight="1" spans="1:9">
      <c r="A428" s="14">
        <v>1.2</v>
      </c>
      <c r="B428" s="70" t="s">
        <v>211</v>
      </c>
      <c r="C428" s="71"/>
      <c r="D428" s="14" t="s">
        <v>161</v>
      </c>
      <c r="E428" s="67">
        <v>7.46</v>
      </c>
      <c r="F428" s="72">
        <v>0.07</v>
      </c>
      <c r="G428" s="73">
        <f>主要材料品牌单价!E$7/1000</f>
        <v>11.3</v>
      </c>
      <c r="H428" s="73">
        <f t="shared" si="36"/>
        <v>90.19886</v>
      </c>
      <c r="I428" s="11"/>
    </row>
    <row r="429" customHeight="1" spans="1:9">
      <c r="A429" s="14">
        <v>1.3</v>
      </c>
      <c r="B429" s="14" t="s">
        <v>162</v>
      </c>
      <c r="C429" s="14"/>
      <c r="D429" s="14" t="s">
        <v>161</v>
      </c>
      <c r="E429" s="67">
        <v>0</v>
      </c>
      <c r="F429" s="72"/>
      <c r="G429" s="73"/>
      <c r="H429" s="73">
        <f t="shared" si="36"/>
        <v>0</v>
      </c>
      <c r="I429" s="11"/>
    </row>
    <row r="430" customHeight="1" spans="1:9">
      <c r="A430" s="68">
        <v>2</v>
      </c>
      <c r="B430" s="68" t="s">
        <v>163</v>
      </c>
      <c r="C430" s="68"/>
      <c r="D430" s="68"/>
      <c r="E430" s="68"/>
      <c r="F430" s="68"/>
      <c r="G430" s="68"/>
      <c r="H430" s="74">
        <f>H431</f>
        <v>7.777</v>
      </c>
      <c r="I430" s="86"/>
    </row>
    <row r="431" customHeight="1" spans="1:9">
      <c r="A431" s="14">
        <v>2.1</v>
      </c>
      <c r="B431" s="14" t="s">
        <v>164</v>
      </c>
      <c r="C431" s="14"/>
      <c r="D431" s="14" t="s">
        <v>165</v>
      </c>
      <c r="E431" s="73">
        <v>0.22</v>
      </c>
      <c r="F431" s="72">
        <v>0.01</v>
      </c>
      <c r="G431" s="73">
        <f>主要材料品牌单价!E21</f>
        <v>35</v>
      </c>
      <c r="H431" s="73">
        <f>E431*(1+F431)*G431</f>
        <v>7.777</v>
      </c>
      <c r="I431" s="11"/>
    </row>
    <row r="432" customHeight="1" spans="1:9">
      <c r="A432" s="68">
        <v>3</v>
      </c>
      <c r="B432" s="68" t="s">
        <v>166</v>
      </c>
      <c r="C432" s="68"/>
      <c r="D432" s="68"/>
      <c r="E432" s="68"/>
      <c r="F432" s="68"/>
      <c r="G432" s="68"/>
      <c r="H432" s="69">
        <f>SUM(H433:H434)</f>
        <v>96.7895</v>
      </c>
      <c r="I432" s="86"/>
    </row>
    <row r="433" customHeight="1" spans="1:9">
      <c r="A433" s="14">
        <v>3.1</v>
      </c>
      <c r="B433" s="13" t="s">
        <v>212</v>
      </c>
      <c r="C433" s="13"/>
      <c r="D433" s="14" t="s">
        <v>168</v>
      </c>
      <c r="E433" s="73">
        <v>0.7</v>
      </c>
      <c r="F433" s="72">
        <v>0.003</v>
      </c>
      <c r="G433" s="11">
        <f>主要材料品牌单价!E32</f>
        <v>105</v>
      </c>
      <c r="H433" s="73">
        <f>E433*(1+F433)*G433</f>
        <v>73.7205</v>
      </c>
      <c r="I433" s="11"/>
    </row>
    <row r="434" customHeight="1" spans="1:9">
      <c r="A434" s="14">
        <v>3.2</v>
      </c>
      <c r="B434" s="92" t="s">
        <v>214</v>
      </c>
      <c r="C434" s="93"/>
      <c r="D434" s="14" t="s">
        <v>168</v>
      </c>
      <c r="E434" s="73">
        <v>0.2</v>
      </c>
      <c r="F434" s="72">
        <v>0.003</v>
      </c>
      <c r="G434" s="11">
        <f>主要材料品牌单价!E33</f>
        <v>115</v>
      </c>
      <c r="H434" s="73">
        <f>E434*(1+F434)*G434</f>
        <v>23.069</v>
      </c>
      <c r="I434" s="11"/>
    </row>
    <row r="435" customHeight="1" spans="1:9">
      <c r="A435" s="68">
        <v>4</v>
      </c>
      <c r="B435" s="68" t="s">
        <v>169</v>
      </c>
      <c r="C435" s="68"/>
      <c r="D435" s="68"/>
      <c r="E435" s="68"/>
      <c r="F435" s="68"/>
      <c r="G435" s="68"/>
      <c r="H435" s="69">
        <f>SUM(H436:H440)</f>
        <v>22.2</v>
      </c>
      <c r="I435" s="86" t="s">
        <v>170</v>
      </c>
    </row>
    <row r="436" customHeight="1" spans="1:9">
      <c r="A436" s="75">
        <v>4.1</v>
      </c>
      <c r="B436" s="14" t="s">
        <v>171</v>
      </c>
      <c r="C436" s="14"/>
      <c r="D436" s="14" t="s">
        <v>172</v>
      </c>
      <c r="E436" s="75">
        <v>0</v>
      </c>
      <c r="F436" s="75"/>
      <c r="G436" s="75">
        <f>主要材料品牌单价!E$44</f>
        <v>11.5</v>
      </c>
      <c r="H436" s="73">
        <f t="shared" ref="H435:H440" si="37">E436*(1+F436)*G436</f>
        <v>0</v>
      </c>
      <c r="I436" s="11"/>
    </row>
    <row r="437" customHeight="1" spans="1:9">
      <c r="A437" s="75">
        <v>4.2</v>
      </c>
      <c r="B437" s="70" t="s">
        <v>173</v>
      </c>
      <c r="C437" s="71"/>
      <c r="D437" s="14" t="s">
        <v>172</v>
      </c>
      <c r="E437" s="76">
        <v>1</v>
      </c>
      <c r="F437" s="75"/>
      <c r="G437" s="75">
        <f>主要材料品牌单价!E$43</f>
        <v>11.5</v>
      </c>
      <c r="H437" s="73">
        <f t="shared" si="37"/>
        <v>11.5</v>
      </c>
      <c r="I437" s="11"/>
    </row>
    <row r="438" customHeight="1" spans="1:9">
      <c r="A438" s="75">
        <v>4.3</v>
      </c>
      <c r="B438" s="70" t="s">
        <v>174</v>
      </c>
      <c r="C438" s="71"/>
      <c r="D438" s="14" t="s">
        <v>172</v>
      </c>
      <c r="E438" s="76">
        <v>0.2</v>
      </c>
      <c r="F438" s="75"/>
      <c r="G438" s="75">
        <f>主要材料品牌单价!E$45</f>
        <v>13.5</v>
      </c>
      <c r="H438" s="73">
        <f t="shared" si="37"/>
        <v>2.7</v>
      </c>
      <c r="I438" s="11"/>
    </row>
    <row r="439" customHeight="1" spans="1:9">
      <c r="A439" s="75">
        <v>4.4</v>
      </c>
      <c r="B439" s="77" t="s">
        <v>175</v>
      </c>
      <c r="C439" s="78"/>
      <c r="D439" s="14" t="s">
        <v>172</v>
      </c>
      <c r="E439" s="67">
        <v>0</v>
      </c>
      <c r="F439" s="14"/>
      <c r="G439" s="75">
        <f>主要材料品牌单价!E$46</f>
        <v>18</v>
      </c>
      <c r="H439" s="73">
        <f t="shared" si="37"/>
        <v>0</v>
      </c>
      <c r="I439" s="11"/>
    </row>
    <row r="440" customHeight="1" spans="1:9">
      <c r="A440" s="75">
        <v>4.5</v>
      </c>
      <c r="B440" s="79" t="s">
        <v>176</v>
      </c>
      <c r="C440" s="79"/>
      <c r="D440" s="14" t="s">
        <v>177</v>
      </c>
      <c r="E440" s="67">
        <v>1</v>
      </c>
      <c r="F440" s="14"/>
      <c r="G440" s="75">
        <v>8</v>
      </c>
      <c r="H440" s="73">
        <f t="shared" si="37"/>
        <v>8</v>
      </c>
      <c r="I440" s="11"/>
    </row>
    <row r="441" customHeight="1" spans="1:9">
      <c r="A441" s="68">
        <v>5</v>
      </c>
      <c r="B441" s="68" t="s">
        <v>178</v>
      </c>
      <c r="C441" s="68"/>
      <c r="D441" s="68"/>
      <c r="E441" s="68"/>
      <c r="F441" s="68"/>
      <c r="G441" s="68"/>
      <c r="H441" s="69">
        <f>SUM(H442:H444)</f>
        <v>13.95</v>
      </c>
      <c r="I441" s="86" t="s">
        <v>170</v>
      </c>
    </row>
    <row r="442" customHeight="1" spans="1:9">
      <c r="A442" s="75">
        <v>5.1</v>
      </c>
      <c r="B442" s="14" t="s">
        <v>179</v>
      </c>
      <c r="C442" s="14"/>
      <c r="D442" s="14" t="s">
        <v>180</v>
      </c>
      <c r="E442" s="76">
        <v>0.15</v>
      </c>
      <c r="F442" s="75"/>
      <c r="G442" s="75">
        <f>主要材料品牌单价!E$48</f>
        <v>13</v>
      </c>
      <c r="H442" s="73">
        <f t="shared" ref="H442:H451" si="38">E442*(1+F442)*G442</f>
        <v>1.95</v>
      </c>
      <c r="I442" s="11"/>
    </row>
    <row r="443" customHeight="1" spans="1:9">
      <c r="A443" s="75">
        <v>5.2</v>
      </c>
      <c r="B443" s="70" t="s">
        <v>181</v>
      </c>
      <c r="C443" s="71"/>
      <c r="D443" s="14" t="s">
        <v>177</v>
      </c>
      <c r="E443" s="76">
        <v>0</v>
      </c>
      <c r="F443" s="75"/>
      <c r="G443" s="75"/>
      <c r="H443" s="73">
        <f t="shared" si="38"/>
        <v>0</v>
      </c>
      <c r="I443" s="11"/>
    </row>
    <row r="444" customHeight="1" spans="1:9">
      <c r="A444" s="75">
        <v>5.3</v>
      </c>
      <c r="B444" s="80" t="s">
        <v>182</v>
      </c>
      <c r="C444" s="81"/>
      <c r="D444" s="82" t="s">
        <v>168</v>
      </c>
      <c r="E444" s="67">
        <v>12</v>
      </c>
      <c r="F444" s="14"/>
      <c r="G444" s="75"/>
      <c r="H444" s="73">
        <v>12</v>
      </c>
      <c r="I444" s="11" t="s">
        <v>215</v>
      </c>
    </row>
    <row r="445" customHeight="1" spans="1:9">
      <c r="A445" s="83">
        <v>6</v>
      </c>
      <c r="B445" s="82" t="s">
        <v>183</v>
      </c>
      <c r="C445" s="82"/>
      <c r="D445" s="82" t="s">
        <v>168</v>
      </c>
      <c r="E445" s="82">
        <v>1</v>
      </c>
      <c r="F445" s="68">
        <v>0</v>
      </c>
      <c r="G445" s="75">
        <v>22</v>
      </c>
      <c r="H445" s="69">
        <f t="shared" si="38"/>
        <v>22</v>
      </c>
      <c r="I445" s="86" t="s">
        <v>170</v>
      </c>
    </row>
    <row r="446" customHeight="1" spans="1:9">
      <c r="A446" s="68">
        <v>7</v>
      </c>
      <c r="B446" s="84" t="s">
        <v>184</v>
      </c>
      <c r="C446" s="85"/>
      <c r="D446" s="82" t="s">
        <v>168</v>
      </c>
      <c r="E446" s="82">
        <v>1</v>
      </c>
      <c r="F446" s="68">
        <v>0</v>
      </c>
      <c r="G446" s="75">
        <v>35</v>
      </c>
      <c r="H446" s="69">
        <f t="shared" si="38"/>
        <v>35</v>
      </c>
      <c r="I446" s="86" t="s">
        <v>170</v>
      </c>
    </row>
    <row r="447" customHeight="1" spans="1:9">
      <c r="A447" s="68">
        <v>8</v>
      </c>
      <c r="B447" s="82" t="s">
        <v>185</v>
      </c>
      <c r="C447" s="82"/>
      <c r="D447" s="82" t="s">
        <v>168</v>
      </c>
      <c r="E447" s="82">
        <v>1</v>
      </c>
      <c r="F447" s="68">
        <v>0</v>
      </c>
      <c r="G447" s="75">
        <v>1</v>
      </c>
      <c r="H447" s="69">
        <f t="shared" si="38"/>
        <v>1</v>
      </c>
      <c r="I447" s="86" t="s">
        <v>170</v>
      </c>
    </row>
    <row r="448" customHeight="1" spans="1:9">
      <c r="A448" s="82">
        <v>9</v>
      </c>
      <c r="B448" s="82" t="s">
        <v>186</v>
      </c>
      <c r="C448" s="82"/>
      <c r="D448" s="82" t="s">
        <v>168</v>
      </c>
      <c r="E448" s="82">
        <v>1</v>
      </c>
      <c r="F448" s="82">
        <v>0</v>
      </c>
      <c r="G448" s="75">
        <v>0.5</v>
      </c>
      <c r="H448" s="69">
        <f t="shared" si="38"/>
        <v>0.5</v>
      </c>
      <c r="I448" s="86" t="s">
        <v>170</v>
      </c>
    </row>
    <row r="449" customHeight="1" spans="1:9">
      <c r="A449" s="82">
        <v>10</v>
      </c>
      <c r="B449" s="82" t="s">
        <v>187</v>
      </c>
      <c r="C449" s="82"/>
      <c r="D449" s="82" t="s">
        <v>168</v>
      </c>
      <c r="E449" s="82">
        <v>1</v>
      </c>
      <c r="F449" s="82">
        <v>0</v>
      </c>
      <c r="G449" s="75">
        <v>0.5</v>
      </c>
      <c r="H449" s="69">
        <f t="shared" si="38"/>
        <v>0.5</v>
      </c>
      <c r="I449" s="86" t="s">
        <v>170</v>
      </c>
    </row>
    <row r="450" customHeight="1" spans="1:9">
      <c r="A450" s="82">
        <v>11</v>
      </c>
      <c r="B450" s="84" t="s">
        <v>188</v>
      </c>
      <c r="C450" s="85"/>
      <c r="D450" s="82" t="s">
        <v>168</v>
      </c>
      <c r="E450" s="82">
        <v>1</v>
      </c>
      <c r="F450" s="82">
        <v>0</v>
      </c>
      <c r="G450" s="75">
        <v>1</v>
      </c>
      <c r="H450" s="69">
        <f t="shared" si="38"/>
        <v>1</v>
      </c>
      <c r="I450" s="86" t="s">
        <v>170</v>
      </c>
    </row>
    <row r="451" customHeight="1" spans="1:9">
      <c r="A451" s="82">
        <v>12</v>
      </c>
      <c r="B451" s="82" t="s">
        <v>189</v>
      </c>
      <c r="C451" s="82"/>
      <c r="D451" s="82" t="s">
        <v>168</v>
      </c>
      <c r="E451" s="82">
        <v>1</v>
      </c>
      <c r="F451" s="82">
        <v>0</v>
      </c>
      <c r="G451" s="75">
        <v>0.5</v>
      </c>
      <c r="H451" s="69">
        <f t="shared" si="38"/>
        <v>0.5</v>
      </c>
      <c r="I451" s="86" t="s">
        <v>170</v>
      </c>
    </row>
    <row r="452" customHeight="1" spans="1:9">
      <c r="A452" s="82">
        <v>13</v>
      </c>
      <c r="B452" s="84" t="s">
        <v>190</v>
      </c>
      <c r="C452" s="85"/>
      <c r="D452" s="82" t="s">
        <v>6</v>
      </c>
      <c r="E452" s="84" t="s">
        <v>191</v>
      </c>
      <c r="F452" s="85"/>
      <c r="G452" s="86"/>
      <c r="H452" s="69">
        <f>H426+H430+H435+H441+H445+H446+H447+H448+H449+H451+H450+H432</f>
        <v>291.41536</v>
      </c>
      <c r="I452" s="89" t="s">
        <v>192</v>
      </c>
    </row>
    <row r="453" customHeight="1" spans="1:9">
      <c r="A453" s="82">
        <v>14</v>
      </c>
      <c r="B453" s="84" t="s">
        <v>193</v>
      </c>
      <c r="C453" s="85"/>
      <c r="D453" s="82" t="s">
        <v>6</v>
      </c>
      <c r="E453" s="84" t="s">
        <v>194</v>
      </c>
      <c r="F453" s="85"/>
      <c r="G453" s="87">
        <v>0.08</v>
      </c>
      <c r="H453" s="69">
        <f>H452*(G453)</f>
        <v>23.3132288</v>
      </c>
      <c r="I453" s="90"/>
    </row>
    <row r="454" customHeight="1" spans="1:9">
      <c r="A454" s="82">
        <v>15</v>
      </c>
      <c r="B454" s="84" t="s">
        <v>195</v>
      </c>
      <c r="C454" s="85"/>
      <c r="D454" s="82" t="s">
        <v>6</v>
      </c>
      <c r="E454" s="84" t="s">
        <v>196</v>
      </c>
      <c r="F454" s="85"/>
      <c r="G454" s="86"/>
      <c r="H454" s="69">
        <f>H452+H453</f>
        <v>314.7285888</v>
      </c>
      <c r="I454" s="91">
        <f>H454</f>
        <v>314.7285888</v>
      </c>
    </row>
    <row r="456" customHeight="1" spans="1:9">
      <c r="A456" s="66" t="s">
        <v>198</v>
      </c>
      <c r="E456" s="60"/>
      <c r="G456" s="60"/>
      <c r="H456" s="60"/>
      <c r="I456" s="60"/>
    </row>
    <row r="457" customHeight="1" spans="1:9">
      <c r="A457" s="14" t="s">
        <v>143</v>
      </c>
      <c r="B457" s="88"/>
      <c r="C457" s="88"/>
      <c r="D457" s="88"/>
      <c r="E457" s="14" t="s">
        <v>144</v>
      </c>
      <c r="F457" s="14" t="s">
        <v>216</v>
      </c>
      <c r="G457" s="14"/>
      <c r="H457" s="14" t="s">
        <v>145</v>
      </c>
      <c r="I457" s="14"/>
    </row>
    <row r="458" customHeight="1" spans="1:9">
      <c r="A458" s="14" t="s">
        <v>82</v>
      </c>
      <c r="B458" s="14"/>
      <c r="C458" s="14"/>
      <c r="D458" s="14"/>
      <c r="E458" s="14" t="s">
        <v>146</v>
      </c>
      <c r="F458" s="14"/>
      <c r="G458" s="14"/>
      <c r="H458" s="14"/>
      <c r="I458" s="14"/>
    </row>
    <row r="459" customHeight="1" spans="1:9">
      <c r="A459" s="13" t="s">
        <v>147</v>
      </c>
      <c r="B459" s="14">
        <v>0</v>
      </c>
      <c r="C459" s="13" t="s">
        <v>148</v>
      </c>
      <c r="D459" s="14">
        <v>0</v>
      </c>
      <c r="E459" s="14" t="s">
        <v>149</v>
      </c>
      <c r="F459" s="67">
        <v>0</v>
      </c>
      <c r="G459" s="11" t="s">
        <v>150</v>
      </c>
      <c r="H459" s="14"/>
      <c r="I459" s="14"/>
    </row>
    <row r="460" customHeight="1" spans="1:9">
      <c r="A460" s="13"/>
      <c r="B460" s="14"/>
      <c r="C460" s="13"/>
      <c r="D460" s="14"/>
      <c r="E460" s="14"/>
      <c r="F460" s="67">
        <v>0</v>
      </c>
      <c r="G460" s="12" t="s">
        <v>151</v>
      </c>
      <c r="H460" s="14"/>
      <c r="I460" s="14"/>
    </row>
    <row r="461" customHeight="1" spans="1:9">
      <c r="A461" s="14" t="s">
        <v>38</v>
      </c>
      <c r="B461" s="14" t="s">
        <v>152</v>
      </c>
      <c r="C461" s="14"/>
      <c r="D461" s="14" t="s">
        <v>153</v>
      </c>
      <c r="E461" s="14" t="s">
        <v>154</v>
      </c>
      <c r="F461" s="14" t="s">
        <v>155</v>
      </c>
      <c r="G461" s="11" t="s">
        <v>156</v>
      </c>
      <c r="H461" s="11" t="s">
        <v>157</v>
      </c>
      <c r="I461" s="12" t="s">
        <v>158</v>
      </c>
    </row>
    <row r="462" customHeight="1" spans="1:9">
      <c r="A462" s="68">
        <v>1</v>
      </c>
      <c r="B462" s="68" t="s">
        <v>159</v>
      </c>
      <c r="C462" s="68"/>
      <c r="D462" s="68"/>
      <c r="E462" s="68"/>
      <c r="F462" s="68"/>
      <c r="G462" s="68"/>
      <c r="H462" s="69">
        <f>SUM(H463:H465)</f>
        <v>244.60628</v>
      </c>
      <c r="I462" s="86"/>
    </row>
    <row r="463" customHeight="1" spans="1:9">
      <c r="A463" s="14">
        <v>1.1</v>
      </c>
      <c r="B463" s="70" t="s">
        <v>200</v>
      </c>
      <c r="C463" s="71"/>
      <c r="D463" s="14" t="s">
        <v>161</v>
      </c>
      <c r="E463" s="67"/>
      <c r="F463" s="72"/>
      <c r="G463" s="73"/>
      <c r="H463" s="73">
        <f t="shared" ref="H463:H465" si="39">E463*(1+F463)*G463</f>
        <v>0</v>
      </c>
      <c r="I463" s="11"/>
    </row>
    <row r="464" customHeight="1" spans="1:9">
      <c r="A464" s="14">
        <v>1.2</v>
      </c>
      <c r="B464" s="70" t="s">
        <v>160</v>
      </c>
      <c r="C464" s="71"/>
      <c r="D464" s="14" t="s">
        <v>161</v>
      </c>
      <c r="E464" s="67">
        <v>8.53</v>
      </c>
      <c r="F464" s="72">
        <v>0.07</v>
      </c>
      <c r="G464" s="73">
        <f>主要材料品牌单价!E$5/1000</f>
        <v>26.8</v>
      </c>
      <c r="H464" s="73">
        <f t="shared" si="39"/>
        <v>244.60628</v>
      </c>
      <c r="I464" s="11"/>
    </row>
    <row r="465" customHeight="1" spans="1:9">
      <c r="A465" s="14">
        <v>1.3</v>
      </c>
      <c r="B465" s="14" t="s">
        <v>162</v>
      </c>
      <c r="C465" s="14"/>
      <c r="D465" s="14" t="s">
        <v>161</v>
      </c>
      <c r="E465" s="67"/>
      <c r="F465" s="72"/>
      <c r="G465" s="73"/>
      <c r="H465" s="73">
        <f t="shared" si="39"/>
        <v>0</v>
      </c>
      <c r="I465" s="11"/>
    </row>
    <row r="466" customHeight="1" spans="1:9">
      <c r="A466" s="68">
        <v>2</v>
      </c>
      <c r="B466" s="68" t="s">
        <v>163</v>
      </c>
      <c r="C466" s="68"/>
      <c r="D466" s="68"/>
      <c r="E466" s="68"/>
      <c r="F466" s="68"/>
      <c r="G466" s="68"/>
      <c r="H466" s="74">
        <f>H467</f>
        <v>98.98</v>
      </c>
      <c r="I466" s="86"/>
    </row>
    <row r="467" customHeight="1" spans="1:9">
      <c r="A467" s="14">
        <v>2.1</v>
      </c>
      <c r="B467" s="14" t="s">
        <v>164</v>
      </c>
      <c r="C467" s="14"/>
      <c r="D467" s="14" t="s">
        <v>165</v>
      </c>
      <c r="E467" s="73">
        <v>0.2</v>
      </c>
      <c r="F467" s="72">
        <v>0.01</v>
      </c>
      <c r="G467" s="73">
        <f>主要材料品牌单价!E25</f>
        <v>490</v>
      </c>
      <c r="H467" s="73">
        <f>E467*(1+F467)*G467</f>
        <v>98.98</v>
      </c>
      <c r="I467" s="11"/>
    </row>
    <row r="468" customHeight="1" spans="1:9">
      <c r="A468" s="68">
        <v>3</v>
      </c>
      <c r="B468" s="68" t="s">
        <v>166</v>
      </c>
      <c r="C468" s="68"/>
      <c r="D468" s="68"/>
      <c r="E468" s="68"/>
      <c r="F468" s="68"/>
      <c r="G468" s="68"/>
      <c r="H468" s="74">
        <f>H469</f>
        <v>103.8105</v>
      </c>
      <c r="I468" s="86"/>
    </row>
    <row r="469" customHeight="1" spans="1:9">
      <c r="A469" s="14">
        <v>3.1</v>
      </c>
      <c r="B469" s="13" t="s">
        <v>214</v>
      </c>
      <c r="C469" s="13"/>
      <c r="D469" s="14" t="s">
        <v>168</v>
      </c>
      <c r="E469" s="73">
        <v>0.9</v>
      </c>
      <c r="F469" s="72">
        <v>0.003</v>
      </c>
      <c r="G469" s="11">
        <f>主要材料品牌单价!E33</f>
        <v>115</v>
      </c>
      <c r="H469" s="73">
        <f t="shared" ref="H469:H475" si="40">E469*(1+F469)*G469</f>
        <v>103.8105</v>
      </c>
      <c r="I469" s="11"/>
    </row>
    <row r="470" customHeight="1" spans="1:9">
      <c r="A470" s="68">
        <v>4</v>
      </c>
      <c r="B470" s="68" t="s">
        <v>169</v>
      </c>
      <c r="C470" s="68"/>
      <c r="D470" s="68"/>
      <c r="E470" s="68"/>
      <c r="F470" s="68"/>
      <c r="G470" s="68"/>
      <c r="H470" s="69">
        <f>SUM(H471:H475)</f>
        <v>24.5</v>
      </c>
      <c r="I470" s="86" t="s">
        <v>170</v>
      </c>
    </row>
    <row r="471" customHeight="1" spans="1:9">
      <c r="A471" s="75">
        <v>4.1</v>
      </c>
      <c r="B471" s="14" t="s">
        <v>171</v>
      </c>
      <c r="C471" s="14"/>
      <c r="D471" s="14" t="s">
        <v>172</v>
      </c>
      <c r="E471" s="75">
        <v>0.8</v>
      </c>
      <c r="F471" s="75"/>
      <c r="G471" s="75">
        <f>主要材料品牌单价!E$44</f>
        <v>11.5</v>
      </c>
      <c r="H471" s="73">
        <f t="shared" si="40"/>
        <v>9.2</v>
      </c>
      <c r="I471" s="11"/>
    </row>
    <row r="472" customHeight="1" spans="1:9">
      <c r="A472" s="75">
        <v>4.2</v>
      </c>
      <c r="B472" s="70" t="s">
        <v>173</v>
      </c>
      <c r="C472" s="71"/>
      <c r="D472" s="14" t="s">
        <v>172</v>
      </c>
      <c r="E472" s="76">
        <v>0.4</v>
      </c>
      <c r="F472" s="75"/>
      <c r="G472" s="75">
        <f>主要材料品牌单价!E$43</f>
        <v>11.5</v>
      </c>
      <c r="H472" s="73">
        <f t="shared" si="40"/>
        <v>4.6</v>
      </c>
      <c r="I472" s="11"/>
    </row>
    <row r="473" customHeight="1" spans="1:9">
      <c r="A473" s="75">
        <v>4.3</v>
      </c>
      <c r="B473" s="70" t="s">
        <v>174</v>
      </c>
      <c r="C473" s="71"/>
      <c r="D473" s="14" t="s">
        <v>172</v>
      </c>
      <c r="E473" s="76">
        <v>0.2</v>
      </c>
      <c r="F473" s="75"/>
      <c r="G473" s="75">
        <f>主要材料品牌单价!E$45</f>
        <v>13.5</v>
      </c>
      <c r="H473" s="73">
        <f t="shared" si="40"/>
        <v>2.7</v>
      </c>
      <c r="I473" s="11"/>
    </row>
    <row r="474" customHeight="1" spans="1:9">
      <c r="A474" s="75">
        <v>4.4</v>
      </c>
      <c r="B474" s="77" t="s">
        <v>175</v>
      </c>
      <c r="C474" s="78"/>
      <c r="D474" s="14" t="s">
        <v>172</v>
      </c>
      <c r="E474" s="67">
        <v>0</v>
      </c>
      <c r="F474" s="14"/>
      <c r="G474" s="75">
        <f>主要材料品牌单价!E$46</f>
        <v>18</v>
      </c>
      <c r="H474" s="73">
        <f t="shared" si="40"/>
        <v>0</v>
      </c>
      <c r="I474" s="11"/>
    </row>
    <row r="475" customHeight="1" spans="1:9">
      <c r="A475" s="75">
        <v>4.5</v>
      </c>
      <c r="B475" s="79" t="s">
        <v>176</v>
      </c>
      <c r="C475" s="79"/>
      <c r="D475" s="14" t="s">
        <v>177</v>
      </c>
      <c r="E475" s="67">
        <v>1</v>
      </c>
      <c r="F475" s="14"/>
      <c r="G475" s="75">
        <v>8</v>
      </c>
      <c r="H475" s="73">
        <f t="shared" si="40"/>
        <v>8</v>
      </c>
      <c r="I475" s="11"/>
    </row>
    <row r="476" customHeight="1" spans="1:9">
      <c r="A476" s="68">
        <v>5</v>
      </c>
      <c r="B476" s="68" t="s">
        <v>178</v>
      </c>
      <c r="C476" s="68"/>
      <c r="D476" s="68"/>
      <c r="E476" s="68"/>
      <c r="F476" s="68"/>
      <c r="G476" s="68"/>
      <c r="H476" s="69">
        <f>SUM(H477:H479)</f>
        <v>15.35</v>
      </c>
      <c r="I476" s="86" t="s">
        <v>170</v>
      </c>
    </row>
    <row r="477" customHeight="1" spans="1:9">
      <c r="A477" s="75">
        <v>5.1</v>
      </c>
      <c r="B477" s="14" t="s">
        <v>179</v>
      </c>
      <c r="C477" s="14"/>
      <c r="D477" s="14" t="s">
        <v>180</v>
      </c>
      <c r="E477" s="76">
        <v>0.15</v>
      </c>
      <c r="F477" s="75"/>
      <c r="G477" s="75">
        <f>主要材料品牌单价!E$48</f>
        <v>13</v>
      </c>
      <c r="H477" s="73">
        <f t="shared" ref="H477:H486" si="41">E477*(1+F477)*G477</f>
        <v>1.95</v>
      </c>
      <c r="I477" s="11"/>
    </row>
    <row r="478" customHeight="1" spans="1:9">
      <c r="A478" s="75">
        <v>5.2</v>
      </c>
      <c r="B478" s="70" t="s">
        <v>181</v>
      </c>
      <c r="C478" s="71"/>
      <c r="D478" s="14" t="s">
        <v>177</v>
      </c>
      <c r="E478" s="76">
        <v>12</v>
      </c>
      <c r="F478" s="75"/>
      <c r="G478" s="75">
        <f>主要材料品牌单价!E49</f>
        <v>0.45</v>
      </c>
      <c r="H478" s="73">
        <f t="shared" si="41"/>
        <v>5.4</v>
      </c>
      <c r="I478" s="11"/>
    </row>
    <row r="479" customHeight="1" spans="1:9">
      <c r="A479" s="75">
        <v>5.3</v>
      </c>
      <c r="B479" s="80" t="s">
        <v>182</v>
      </c>
      <c r="C479" s="81"/>
      <c r="D479" s="82" t="s">
        <v>168</v>
      </c>
      <c r="E479" s="67">
        <v>8</v>
      </c>
      <c r="F479" s="14"/>
      <c r="G479" s="75"/>
      <c r="H479" s="73">
        <v>8</v>
      </c>
      <c r="I479" s="11"/>
    </row>
    <row r="480" customHeight="1" spans="1:9">
      <c r="A480" s="83">
        <v>6</v>
      </c>
      <c r="B480" s="82" t="s">
        <v>183</v>
      </c>
      <c r="C480" s="82"/>
      <c r="D480" s="82" t="s">
        <v>168</v>
      </c>
      <c r="E480" s="82">
        <v>1</v>
      </c>
      <c r="F480" s="68">
        <v>0</v>
      </c>
      <c r="G480" s="75">
        <v>35</v>
      </c>
      <c r="H480" s="69">
        <f t="shared" si="41"/>
        <v>35</v>
      </c>
      <c r="I480" s="86" t="s">
        <v>170</v>
      </c>
    </row>
    <row r="481" customHeight="1" spans="1:9">
      <c r="A481" s="68">
        <v>7</v>
      </c>
      <c r="B481" s="84" t="s">
        <v>184</v>
      </c>
      <c r="C481" s="85"/>
      <c r="D481" s="82" t="s">
        <v>168</v>
      </c>
      <c r="E481" s="82">
        <v>1</v>
      </c>
      <c r="F481" s="68">
        <v>0</v>
      </c>
      <c r="G481" s="75">
        <v>48</v>
      </c>
      <c r="H481" s="69">
        <f t="shared" si="41"/>
        <v>48</v>
      </c>
      <c r="I481" s="86" t="s">
        <v>170</v>
      </c>
    </row>
    <row r="482" customHeight="1" spans="1:9">
      <c r="A482" s="68">
        <v>8</v>
      </c>
      <c r="B482" s="82" t="s">
        <v>185</v>
      </c>
      <c r="C482" s="82"/>
      <c r="D482" s="82" t="s">
        <v>168</v>
      </c>
      <c r="E482" s="82">
        <v>1</v>
      </c>
      <c r="F482" s="68">
        <v>0</v>
      </c>
      <c r="G482" s="75">
        <v>3</v>
      </c>
      <c r="H482" s="69">
        <f t="shared" si="41"/>
        <v>3</v>
      </c>
      <c r="I482" s="86" t="s">
        <v>170</v>
      </c>
    </row>
    <row r="483" customHeight="1" spans="1:9">
      <c r="A483" s="82">
        <v>9</v>
      </c>
      <c r="B483" s="82" t="s">
        <v>186</v>
      </c>
      <c r="C483" s="82"/>
      <c r="D483" s="82" t="s">
        <v>168</v>
      </c>
      <c r="E483" s="82">
        <v>1</v>
      </c>
      <c r="F483" s="82">
        <v>0</v>
      </c>
      <c r="G483" s="75">
        <v>0.5</v>
      </c>
      <c r="H483" s="69">
        <f t="shared" si="41"/>
        <v>0.5</v>
      </c>
      <c r="I483" s="86" t="s">
        <v>170</v>
      </c>
    </row>
    <row r="484" customHeight="1" spans="1:9">
      <c r="A484" s="82">
        <v>10</v>
      </c>
      <c r="B484" s="82" t="s">
        <v>187</v>
      </c>
      <c r="C484" s="82"/>
      <c r="D484" s="82" t="s">
        <v>168</v>
      </c>
      <c r="E484" s="82">
        <v>1</v>
      </c>
      <c r="F484" s="82">
        <v>0</v>
      </c>
      <c r="G484" s="75">
        <v>0.5</v>
      </c>
      <c r="H484" s="69">
        <f t="shared" si="41"/>
        <v>0.5</v>
      </c>
      <c r="I484" s="86" t="s">
        <v>170</v>
      </c>
    </row>
    <row r="485" customHeight="1" spans="1:9">
      <c r="A485" s="82">
        <v>11</v>
      </c>
      <c r="B485" s="84" t="s">
        <v>188</v>
      </c>
      <c r="C485" s="85"/>
      <c r="D485" s="82" t="s">
        <v>168</v>
      </c>
      <c r="E485" s="82">
        <v>1</v>
      </c>
      <c r="F485" s="82">
        <v>0</v>
      </c>
      <c r="G485" s="75">
        <v>1</v>
      </c>
      <c r="H485" s="69">
        <f t="shared" si="41"/>
        <v>1</v>
      </c>
      <c r="I485" s="86" t="s">
        <v>170</v>
      </c>
    </row>
    <row r="486" customHeight="1" spans="1:9">
      <c r="A486" s="82">
        <v>12</v>
      </c>
      <c r="B486" s="82" t="s">
        <v>189</v>
      </c>
      <c r="C486" s="82"/>
      <c r="D486" s="82" t="s">
        <v>168</v>
      </c>
      <c r="E486" s="82">
        <v>1</v>
      </c>
      <c r="F486" s="82">
        <v>0</v>
      </c>
      <c r="G486" s="75">
        <v>0.5</v>
      </c>
      <c r="H486" s="69">
        <f t="shared" si="41"/>
        <v>0.5</v>
      </c>
      <c r="I486" s="86" t="s">
        <v>170</v>
      </c>
    </row>
    <row r="487" customHeight="1" spans="1:9">
      <c r="A487" s="82">
        <v>13</v>
      </c>
      <c r="B487" s="84" t="s">
        <v>190</v>
      </c>
      <c r="C487" s="85"/>
      <c r="D487" s="82" t="s">
        <v>6</v>
      </c>
      <c r="E487" s="84" t="s">
        <v>191</v>
      </c>
      <c r="F487" s="85"/>
      <c r="G487" s="86"/>
      <c r="H487" s="69">
        <f>H462+H466+H470+H476+H480+H481+H482+H483+H484+H486+H485+H468</f>
        <v>575.74678</v>
      </c>
      <c r="I487" s="89" t="s">
        <v>192</v>
      </c>
    </row>
    <row r="488" customHeight="1" spans="1:9">
      <c r="A488" s="82">
        <v>14</v>
      </c>
      <c r="B488" s="84" t="s">
        <v>193</v>
      </c>
      <c r="C488" s="85"/>
      <c r="D488" s="82" t="s">
        <v>6</v>
      </c>
      <c r="E488" s="84" t="s">
        <v>194</v>
      </c>
      <c r="F488" s="85"/>
      <c r="G488" s="87">
        <v>0.08</v>
      </c>
      <c r="H488" s="69">
        <f>H487*(G488)</f>
        <v>46.0597424</v>
      </c>
      <c r="I488" s="90"/>
    </row>
    <row r="489" customHeight="1" spans="1:9">
      <c r="A489" s="82">
        <v>15</v>
      </c>
      <c r="B489" s="84" t="s">
        <v>195</v>
      </c>
      <c r="C489" s="85"/>
      <c r="D489" s="82" t="s">
        <v>6</v>
      </c>
      <c r="E489" s="84" t="s">
        <v>196</v>
      </c>
      <c r="F489" s="85"/>
      <c r="G489" s="86"/>
      <c r="H489" s="69">
        <f>H487+H488</f>
        <v>621.8065224</v>
      </c>
      <c r="I489" s="91">
        <f>H489</f>
        <v>621.8065224</v>
      </c>
    </row>
    <row r="492" customHeight="1" spans="1:9">
      <c r="A492" s="66" t="s">
        <v>198</v>
      </c>
      <c r="E492" s="60"/>
      <c r="G492" s="60"/>
      <c r="H492" s="60"/>
      <c r="I492" s="60"/>
    </row>
    <row r="493" customHeight="1" spans="1:9">
      <c r="A493" s="14" t="s">
        <v>143</v>
      </c>
      <c r="B493" s="88"/>
      <c r="C493" s="88"/>
      <c r="D493" s="88"/>
      <c r="E493" s="14" t="s">
        <v>144</v>
      </c>
      <c r="F493" s="13" t="s">
        <v>217</v>
      </c>
      <c r="G493" s="13"/>
      <c r="H493" s="14" t="s">
        <v>145</v>
      </c>
      <c r="I493" s="14"/>
    </row>
    <row r="494" customHeight="1" spans="1:9">
      <c r="A494" s="14" t="s">
        <v>82</v>
      </c>
      <c r="B494" s="14"/>
      <c r="C494" s="14"/>
      <c r="D494" s="14"/>
      <c r="E494" s="14" t="s">
        <v>146</v>
      </c>
      <c r="F494" s="14"/>
      <c r="G494" s="14"/>
      <c r="H494" s="14"/>
      <c r="I494" s="14"/>
    </row>
    <row r="495" customHeight="1" spans="1:9">
      <c r="A495" s="13" t="s">
        <v>147</v>
      </c>
      <c r="B495" s="14">
        <v>0</v>
      </c>
      <c r="C495" s="13" t="s">
        <v>148</v>
      </c>
      <c r="D495" s="14">
        <v>0</v>
      </c>
      <c r="E495" s="14" t="s">
        <v>149</v>
      </c>
      <c r="F495" s="67">
        <v>0</v>
      </c>
      <c r="G495" s="11" t="s">
        <v>150</v>
      </c>
      <c r="H495" s="14"/>
      <c r="I495" s="14"/>
    </row>
    <row r="496" customHeight="1" spans="1:9">
      <c r="A496" s="13"/>
      <c r="B496" s="14"/>
      <c r="C496" s="13"/>
      <c r="D496" s="14"/>
      <c r="E496" s="14"/>
      <c r="F496" s="67">
        <v>0</v>
      </c>
      <c r="G496" s="12" t="s">
        <v>151</v>
      </c>
      <c r="H496" s="14"/>
      <c r="I496" s="14"/>
    </row>
    <row r="497" customHeight="1" spans="1:9">
      <c r="A497" s="14" t="s">
        <v>38</v>
      </c>
      <c r="B497" s="14" t="s">
        <v>152</v>
      </c>
      <c r="C497" s="14"/>
      <c r="D497" s="14" t="s">
        <v>153</v>
      </c>
      <c r="E497" s="14" t="s">
        <v>154</v>
      </c>
      <c r="F497" s="14" t="s">
        <v>155</v>
      </c>
      <c r="G497" s="11" t="s">
        <v>156</v>
      </c>
      <c r="H497" s="11" t="s">
        <v>157</v>
      </c>
      <c r="I497" s="12" t="s">
        <v>158</v>
      </c>
    </row>
    <row r="498" customHeight="1" spans="1:9">
      <c r="A498" s="68">
        <v>1</v>
      </c>
      <c r="B498" s="68" t="s">
        <v>159</v>
      </c>
      <c r="C498" s="68"/>
      <c r="D498" s="68"/>
      <c r="E498" s="68"/>
      <c r="F498" s="68"/>
      <c r="G498" s="68"/>
      <c r="H498" s="69">
        <f>SUM(H499:H501)</f>
        <v>260.973856</v>
      </c>
      <c r="I498" s="86"/>
    </row>
    <row r="499" customHeight="1" spans="1:9">
      <c r="A499" s="14">
        <v>1.1</v>
      </c>
      <c r="B499" s="70" t="s">
        <v>200</v>
      </c>
      <c r="C499" s="71"/>
      <c r="D499" s="14" t="s">
        <v>161</v>
      </c>
      <c r="E499" s="67">
        <v>8.45</v>
      </c>
      <c r="F499" s="72">
        <v>0.07</v>
      </c>
      <c r="G499" s="73">
        <f>主要材料品牌单价!E$5/1000</f>
        <v>26.8</v>
      </c>
      <c r="H499" s="73">
        <f t="shared" ref="H499:H501" si="42">E499*(1+F499)*G499</f>
        <v>242.3122</v>
      </c>
      <c r="I499" s="11"/>
    </row>
    <row r="500" customHeight="1" spans="1:9">
      <c r="A500" s="14">
        <v>1.2</v>
      </c>
      <c r="B500" s="70" t="s">
        <v>160</v>
      </c>
      <c r="C500" s="71"/>
      <c r="D500" s="14" t="s">
        <v>161</v>
      </c>
      <c r="E500" s="67"/>
      <c r="F500" s="72">
        <v>0.07</v>
      </c>
      <c r="G500" s="73"/>
      <c r="H500" s="73">
        <f t="shared" si="42"/>
        <v>0</v>
      </c>
      <c r="I500" s="11"/>
    </row>
    <row r="501" customHeight="1" spans="1:9">
      <c r="A501" s="14">
        <v>1.3</v>
      </c>
      <c r="B501" s="14" t="s">
        <v>162</v>
      </c>
      <c r="C501" s="14"/>
      <c r="D501" s="14" t="s">
        <v>161</v>
      </c>
      <c r="E501" s="67">
        <f>E499*0.08</f>
        <v>0.676</v>
      </c>
      <c r="F501" s="72">
        <v>0.07</v>
      </c>
      <c r="G501" s="73">
        <f>(主要材料品牌单价!E$5-1000)/1000</f>
        <v>25.8</v>
      </c>
      <c r="H501" s="73">
        <f t="shared" si="42"/>
        <v>18.661656</v>
      </c>
      <c r="I501" s="11"/>
    </row>
    <row r="502" customHeight="1" spans="1:9">
      <c r="A502" s="68">
        <v>2</v>
      </c>
      <c r="B502" s="68" t="s">
        <v>163</v>
      </c>
      <c r="C502" s="68"/>
      <c r="D502" s="68"/>
      <c r="E502" s="68"/>
      <c r="F502" s="68"/>
      <c r="G502" s="68"/>
      <c r="H502" s="74">
        <f>H503</f>
        <v>5.79336</v>
      </c>
      <c r="I502" s="86"/>
    </row>
    <row r="503" customHeight="1" spans="1:9">
      <c r="A503" s="14">
        <v>2.1</v>
      </c>
      <c r="B503" s="14" t="s">
        <v>164</v>
      </c>
      <c r="C503" s="14"/>
      <c r="D503" s="14" t="s">
        <v>165</v>
      </c>
      <c r="E503" s="73">
        <v>0.08</v>
      </c>
      <c r="F503" s="72">
        <v>0.01</v>
      </c>
      <c r="G503" s="73">
        <f>主要材料品牌单价!E$14</f>
        <v>71.7</v>
      </c>
      <c r="H503" s="73">
        <f>E503*(1+F503)*G503</f>
        <v>5.79336</v>
      </c>
      <c r="I503" s="11"/>
    </row>
    <row r="504" customHeight="1" spans="1:9">
      <c r="A504" s="68">
        <v>3</v>
      </c>
      <c r="B504" s="68" t="s">
        <v>166</v>
      </c>
      <c r="C504" s="68"/>
      <c r="D504" s="68"/>
      <c r="E504" s="68"/>
      <c r="F504" s="68"/>
      <c r="G504" s="68"/>
      <c r="H504" s="74">
        <f>H505</f>
        <v>132.396</v>
      </c>
      <c r="I504" s="86"/>
    </row>
    <row r="505" customHeight="1" spans="1:9">
      <c r="A505" s="14">
        <v>3.1</v>
      </c>
      <c r="B505" s="13" t="s">
        <v>218</v>
      </c>
      <c r="C505" s="13"/>
      <c r="D505" s="14" t="s">
        <v>168</v>
      </c>
      <c r="E505" s="73">
        <v>1</v>
      </c>
      <c r="F505" s="72">
        <v>0.003</v>
      </c>
      <c r="G505" s="11">
        <f>主要材料品牌单价!E$36</f>
        <v>132</v>
      </c>
      <c r="H505" s="73">
        <f t="shared" ref="H505:H511" si="43">E505*(1+F505)*G505</f>
        <v>132.396</v>
      </c>
      <c r="I505" s="11"/>
    </row>
    <row r="506" customHeight="1" spans="1:9">
      <c r="A506" s="68">
        <v>4</v>
      </c>
      <c r="B506" s="68" t="s">
        <v>169</v>
      </c>
      <c r="C506" s="68"/>
      <c r="D506" s="68"/>
      <c r="E506" s="68"/>
      <c r="F506" s="68"/>
      <c r="G506" s="68"/>
      <c r="H506" s="69">
        <f>SUM(H507:H511)</f>
        <v>19.95</v>
      </c>
      <c r="I506" s="86" t="s">
        <v>170</v>
      </c>
    </row>
    <row r="507" customHeight="1" spans="1:9">
      <c r="A507" s="75">
        <v>4.1</v>
      </c>
      <c r="B507" s="14" t="s">
        <v>171</v>
      </c>
      <c r="C507" s="14"/>
      <c r="D507" s="14" t="s">
        <v>172</v>
      </c>
      <c r="E507" s="75">
        <v>1.5</v>
      </c>
      <c r="F507" s="75"/>
      <c r="G507" s="75">
        <f>主要材料品牌单价!E$44</f>
        <v>11.5</v>
      </c>
      <c r="H507" s="73">
        <f t="shared" si="43"/>
        <v>17.25</v>
      </c>
      <c r="I507" s="11"/>
    </row>
    <row r="508" customHeight="1" spans="1:9">
      <c r="A508" s="75">
        <v>4.2</v>
      </c>
      <c r="B508" s="70" t="s">
        <v>173</v>
      </c>
      <c r="C508" s="71"/>
      <c r="D508" s="14" t="s">
        <v>172</v>
      </c>
      <c r="E508" s="76">
        <v>0</v>
      </c>
      <c r="F508" s="75"/>
      <c r="G508" s="75">
        <f>主要材料品牌单价!E$43</f>
        <v>11.5</v>
      </c>
      <c r="H508" s="73">
        <f t="shared" si="43"/>
        <v>0</v>
      </c>
      <c r="I508" s="11"/>
    </row>
    <row r="509" customHeight="1" spans="1:9">
      <c r="A509" s="75">
        <v>4.3</v>
      </c>
      <c r="B509" s="70" t="s">
        <v>174</v>
      </c>
      <c r="C509" s="71"/>
      <c r="D509" s="14" t="s">
        <v>172</v>
      </c>
      <c r="E509" s="76">
        <v>0.2</v>
      </c>
      <c r="F509" s="75"/>
      <c r="G509" s="75">
        <f>主要材料品牌单价!E$45</f>
        <v>13.5</v>
      </c>
      <c r="H509" s="73">
        <f t="shared" si="43"/>
        <v>2.7</v>
      </c>
      <c r="I509" s="11"/>
    </row>
    <row r="510" customHeight="1" spans="1:9">
      <c r="A510" s="75">
        <v>4.4</v>
      </c>
      <c r="B510" s="77" t="s">
        <v>175</v>
      </c>
      <c r="C510" s="78"/>
      <c r="D510" s="14" t="s">
        <v>172</v>
      </c>
      <c r="E510" s="67">
        <v>0</v>
      </c>
      <c r="F510" s="14"/>
      <c r="G510" s="75">
        <f>主要材料品牌单价!E$46</f>
        <v>18</v>
      </c>
      <c r="H510" s="73">
        <f t="shared" si="43"/>
        <v>0</v>
      </c>
      <c r="I510" s="11"/>
    </row>
    <row r="511" customHeight="1" spans="1:9">
      <c r="A511" s="75">
        <v>4.5</v>
      </c>
      <c r="B511" s="79" t="s">
        <v>176</v>
      </c>
      <c r="C511" s="79"/>
      <c r="D511" s="14" t="s">
        <v>177</v>
      </c>
      <c r="E511" s="67">
        <v>0</v>
      </c>
      <c r="F511" s="14"/>
      <c r="G511" s="75">
        <v>8</v>
      </c>
      <c r="H511" s="73">
        <f t="shared" si="43"/>
        <v>0</v>
      </c>
      <c r="I511" s="11"/>
    </row>
    <row r="512" customHeight="1" spans="1:9">
      <c r="A512" s="68">
        <v>5</v>
      </c>
      <c r="B512" s="68" t="s">
        <v>178</v>
      </c>
      <c r="C512" s="68"/>
      <c r="D512" s="68"/>
      <c r="E512" s="68"/>
      <c r="F512" s="68"/>
      <c r="G512" s="68"/>
      <c r="H512" s="69">
        <f>SUM(H513:H515)</f>
        <v>29.95</v>
      </c>
      <c r="I512" s="86" t="s">
        <v>170</v>
      </c>
    </row>
    <row r="513" customHeight="1" spans="1:9">
      <c r="A513" s="75">
        <v>5.1</v>
      </c>
      <c r="B513" s="14" t="s">
        <v>179</v>
      </c>
      <c r="C513" s="14"/>
      <c r="D513" s="14" t="s">
        <v>180</v>
      </c>
      <c r="E513" s="76">
        <v>0.15</v>
      </c>
      <c r="F513" s="75"/>
      <c r="G513" s="75">
        <f>主要材料品牌单价!E$48</f>
        <v>13</v>
      </c>
      <c r="H513" s="73">
        <f t="shared" ref="H513:H522" si="44">E513*(1+F513)*G513</f>
        <v>1.95</v>
      </c>
      <c r="I513" s="11"/>
    </row>
    <row r="514" customHeight="1" spans="1:9">
      <c r="A514" s="75">
        <v>5.2</v>
      </c>
      <c r="B514" s="70" t="s">
        <v>181</v>
      </c>
      <c r="C514" s="71"/>
      <c r="D514" s="14" t="s">
        <v>177</v>
      </c>
      <c r="E514" s="76">
        <v>0</v>
      </c>
      <c r="F514" s="75"/>
      <c r="G514" s="75">
        <f>主要材料品牌单价!E154</f>
        <v>0</v>
      </c>
      <c r="H514" s="73">
        <f t="shared" si="44"/>
        <v>0</v>
      </c>
      <c r="I514" s="11"/>
    </row>
    <row r="515" customHeight="1" spans="1:9">
      <c r="A515" s="75">
        <v>5.3</v>
      </c>
      <c r="B515" s="80" t="s">
        <v>182</v>
      </c>
      <c r="C515" s="81"/>
      <c r="D515" s="82" t="s">
        <v>168</v>
      </c>
      <c r="E515" s="67">
        <v>28</v>
      </c>
      <c r="F515" s="14"/>
      <c r="G515" s="75"/>
      <c r="H515" s="73">
        <v>28</v>
      </c>
      <c r="I515" s="11"/>
    </row>
    <row r="516" customHeight="1" spans="1:9">
      <c r="A516" s="83">
        <v>6</v>
      </c>
      <c r="B516" s="82" t="s">
        <v>183</v>
      </c>
      <c r="C516" s="82"/>
      <c r="D516" s="82" t="s">
        <v>168</v>
      </c>
      <c r="E516" s="82">
        <v>1</v>
      </c>
      <c r="F516" s="68">
        <v>0</v>
      </c>
      <c r="G516" s="75">
        <v>80</v>
      </c>
      <c r="H516" s="69">
        <f t="shared" si="44"/>
        <v>80</v>
      </c>
      <c r="I516" s="86" t="s">
        <v>170</v>
      </c>
    </row>
    <row r="517" customHeight="1" spans="1:9">
      <c r="A517" s="68">
        <v>7</v>
      </c>
      <c r="B517" s="84" t="s">
        <v>184</v>
      </c>
      <c r="C517" s="85"/>
      <c r="D517" s="82" t="s">
        <v>168</v>
      </c>
      <c r="E517" s="82">
        <v>1</v>
      </c>
      <c r="F517" s="68">
        <v>0</v>
      </c>
      <c r="G517" s="75">
        <v>120</v>
      </c>
      <c r="H517" s="69">
        <f t="shared" si="44"/>
        <v>120</v>
      </c>
      <c r="I517" s="86" t="s">
        <v>170</v>
      </c>
    </row>
    <row r="518" customHeight="1" spans="1:9">
      <c r="A518" s="68">
        <v>8</v>
      </c>
      <c r="B518" s="82" t="s">
        <v>185</v>
      </c>
      <c r="C518" s="82"/>
      <c r="D518" s="82" t="s">
        <v>168</v>
      </c>
      <c r="E518" s="82">
        <v>1</v>
      </c>
      <c r="F518" s="68">
        <v>0</v>
      </c>
      <c r="G518" s="75">
        <v>3</v>
      </c>
      <c r="H518" s="69">
        <f t="shared" si="44"/>
        <v>3</v>
      </c>
      <c r="I518" s="86" t="s">
        <v>170</v>
      </c>
    </row>
    <row r="519" customHeight="1" spans="1:9">
      <c r="A519" s="82">
        <v>9</v>
      </c>
      <c r="B519" s="82" t="s">
        <v>186</v>
      </c>
      <c r="C519" s="82"/>
      <c r="D519" s="82" t="s">
        <v>168</v>
      </c>
      <c r="E519" s="82">
        <v>1</v>
      </c>
      <c r="F519" s="82">
        <v>0</v>
      </c>
      <c r="G519" s="75">
        <v>0.5</v>
      </c>
      <c r="H519" s="69">
        <f t="shared" si="44"/>
        <v>0.5</v>
      </c>
      <c r="I519" s="86" t="s">
        <v>170</v>
      </c>
    </row>
    <row r="520" customHeight="1" spans="1:9">
      <c r="A520" s="82">
        <v>10</v>
      </c>
      <c r="B520" s="82" t="s">
        <v>187</v>
      </c>
      <c r="C520" s="82"/>
      <c r="D520" s="82" t="s">
        <v>168</v>
      </c>
      <c r="E520" s="82">
        <v>1</v>
      </c>
      <c r="F520" s="82">
        <v>0</v>
      </c>
      <c r="G520" s="75">
        <v>0.5</v>
      </c>
      <c r="H520" s="69">
        <f t="shared" si="44"/>
        <v>0.5</v>
      </c>
      <c r="I520" s="86" t="s">
        <v>170</v>
      </c>
    </row>
    <row r="521" customHeight="1" spans="1:9">
      <c r="A521" s="82">
        <v>11</v>
      </c>
      <c r="B521" s="84" t="s">
        <v>188</v>
      </c>
      <c r="C521" s="85"/>
      <c r="D521" s="82" t="s">
        <v>168</v>
      </c>
      <c r="E521" s="82">
        <v>1</v>
      </c>
      <c r="F521" s="82">
        <v>0</v>
      </c>
      <c r="G521" s="75">
        <v>1</v>
      </c>
      <c r="H521" s="69">
        <f t="shared" si="44"/>
        <v>1</v>
      </c>
      <c r="I521" s="86" t="s">
        <v>170</v>
      </c>
    </row>
    <row r="522" customHeight="1" spans="1:9">
      <c r="A522" s="82">
        <v>12</v>
      </c>
      <c r="B522" s="82" t="s">
        <v>189</v>
      </c>
      <c r="C522" s="82"/>
      <c r="D522" s="82" t="s">
        <v>168</v>
      </c>
      <c r="E522" s="82">
        <v>1</v>
      </c>
      <c r="F522" s="82">
        <v>0</v>
      </c>
      <c r="G522" s="75">
        <v>0.5</v>
      </c>
      <c r="H522" s="69">
        <f t="shared" si="44"/>
        <v>0.5</v>
      </c>
      <c r="I522" s="86" t="s">
        <v>170</v>
      </c>
    </row>
    <row r="523" customHeight="1" spans="1:9">
      <c r="A523" s="82">
        <v>13</v>
      </c>
      <c r="B523" s="84" t="s">
        <v>190</v>
      </c>
      <c r="C523" s="85"/>
      <c r="D523" s="82" t="s">
        <v>6</v>
      </c>
      <c r="E523" s="84" t="s">
        <v>191</v>
      </c>
      <c r="F523" s="85"/>
      <c r="G523" s="86"/>
      <c r="H523" s="69">
        <f>H498+H502+H506+H512+H516+H517+H518+H519+H520+H522+H521+H504</f>
        <v>654.563216</v>
      </c>
      <c r="I523" s="89" t="s">
        <v>192</v>
      </c>
    </row>
    <row r="524" customHeight="1" spans="1:9">
      <c r="A524" s="82">
        <v>14</v>
      </c>
      <c r="B524" s="84" t="s">
        <v>193</v>
      </c>
      <c r="C524" s="85"/>
      <c r="D524" s="82" t="s">
        <v>6</v>
      </c>
      <c r="E524" s="84" t="s">
        <v>194</v>
      </c>
      <c r="F524" s="85"/>
      <c r="G524" s="87">
        <v>0.08</v>
      </c>
      <c r="H524" s="69">
        <f>H523*(G524)</f>
        <v>52.36505728</v>
      </c>
      <c r="I524" s="90"/>
    </row>
    <row r="525" customHeight="1" spans="1:9">
      <c r="A525" s="82">
        <v>15</v>
      </c>
      <c r="B525" s="84" t="s">
        <v>195</v>
      </c>
      <c r="C525" s="85"/>
      <c r="D525" s="82" t="s">
        <v>6</v>
      </c>
      <c r="E525" s="84" t="s">
        <v>196</v>
      </c>
      <c r="F525" s="85"/>
      <c r="G525" s="86"/>
      <c r="H525" s="69">
        <f>H523+H524</f>
        <v>706.92827328</v>
      </c>
      <c r="I525" s="91">
        <f>H525</f>
        <v>706.92827328</v>
      </c>
    </row>
    <row r="527" customHeight="1" spans="1:9">
      <c r="A527" s="66" t="s">
        <v>198</v>
      </c>
      <c r="E527" s="60"/>
      <c r="G527" s="60"/>
      <c r="H527" s="60"/>
      <c r="I527" s="60"/>
    </row>
    <row r="528" ht="30" customHeight="1" spans="1:9">
      <c r="A528" s="14" t="s">
        <v>143</v>
      </c>
      <c r="B528" s="88"/>
      <c r="C528" s="88"/>
      <c r="D528" s="88"/>
      <c r="E528" s="14" t="s">
        <v>144</v>
      </c>
      <c r="F528" s="13" t="s">
        <v>219</v>
      </c>
      <c r="G528" s="13"/>
      <c r="H528" s="14" t="s">
        <v>145</v>
      </c>
      <c r="I528" s="14"/>
    </row>
    <row r="529" customHeight="1" spans="1:9">
      <c r="A529" s="14" t="s">
        <v>82</v>
      </c>
      <c r="B529" s="14"/>
      <c r="C529" s="14"/>
      <c r="D529" s="14"/>
      <c r="E529" s="14" t="s">
        <v>146</v>
      </c>
      <c r="F529" s="14"/>
      <c r="G529" s="14"/>
      <c r="H529" s="14"/>
      <c r="I529" s="14"/>
    </row>
    <row r="530" customHeight="1" spans="1:9">
      <c r="A530" s="13" t="s">
        <v>147</v>
      </c>
      <c r="B530" s="14">
        <v>0</v>
      </c>
      <c r="C530" s="13" t="s">
        <v>148</v>
      </c>
      <c r="D530" s="14">
        <v>0</v>
      </c>
      <c r="E530" s="14" t="s">
        <v>149</v>
      </c>
      <c r="F530" s="67">
        <v>0</v>
      </c>
      <c r="G530" s="11" t="s">
        <v>150</v>
      </c>
      <c r="H530" s="14"/>
      <c r="I530" s="14"/>
    </row>
    <row r="531" customHeight="1" spans="1:9">
      <c r="A531" s="13"/>
      <c r="B531" s="14"/>
      <c r="C531" s="13"/>
      <c r="D531" s="14"/>
      <c r="E531" s="14"/>
      <c r="F531" s="67">
        <v>0</v>
      </c>
      <c r="G531" s="12" t="s">
        <v>151</v>
      </c>
      <c r="H531" s="14"/>
      <c r="I531" s="14"/>
    </row>
    <row r="532" customHeight="1" spans="1:9">
      <c r="A532" s="14" t="s">
        <v>38</v>
      </c>
      <c r="B532" s="14" t="s">
        <v>152</v>
      </c>
      <c r="C532" s="14"/>
      <c r="D532" s="14" t="s">
        <v>153</v>
      </c>
      <c r="E532" s="14" t="s">
        <v>154</v>
      </c>
      <c r="F532" s="14" t="s">
        <v>155</v>
      </c>
      <c r="G532" s="11" t="s">
        <v>156</v>
      </c>
      <c r="H532" s="11" t="s">
        <v>157</v>
      </c>
      <c r="I532" s="12" t="s">
        <v>158</v>
      </c>
    </row>
    <row r="533" customHeight="1" spans="1:9">
      <c r="A533" s="68">
        <v>1</v>
      </c>
      <c r="B533" s="68" t="s">
        <v>159</v>
      </c>
      <c r="C533" s="68"/>
      <c r="D533" s="68"/>
      <c r="E533" s="68"/>
      <c r="F533" s="68"/>
      <c r="G533" s="68"/>
      <c r="H533" s="69">
        <f>SUM(H534:H536)</f>
        <v>264.062304</v>
      </c>
      <c r="I533" s="86"/>
    </row>
    <row r="534" customHeight="1" spans="1:9">
      <c r="A534" s="14">
        <v>1.1</v>
      </c>
      <c r="B534" s="70" t="s">
        <v>200</v>
      </c>
      <c r="C534" s="71"/>
      <c r="D534" s="14" t="s">
        <v>161</v>
      </c>
      <c r="E534" s="67">
        <v>8.55</v>
      </c>
      <c r="F534" s="72">
        <v>0.07</v>
      </c>
      <c r="G534" s="73">
        <f>主要材料品牌单价!E$5/1000</f>
        <v>26.8</v>
      </c>
      <c r="H534" s="73">
        <f t="shared" ref="H534:H536" si="45">E534*(1+F534)*G534</f>
        <v>245.1798</v>
      </c>
      <c r="I534" s="11"/>
    </row>
    <row r="535" customHeight="1" spans="1:9">
      <c r="A535" s="14">
        <v>1.2</v>
      </c>
      <c r="B535" s="70" t="s">
        <v>160</v>
      </c>
      <c r="C535" s="71"/>
      <c r="D535" s="14" t="s">
        <v>161</v>
      </c>
      <c r="E535" s="67"/>
      <c r="F535" s="72">
        <v>0.07</v>
      </c>
      <c r="G535" s="73"/>
      <c r="H535" s="73">
        <f t="shared" si="45"/>
        <v>0</v>
      </c>
      <c r="I535" s="11"/>
    </row>
    <row r="536" customHeight="1" spans="1:9">
      <c r="A536" s="14">
        <v>1.3</v>
      </c>
      <c r="B536" s="14" t="s">
        <v>162</v>
      </c>
      <c r="C536" s="14"/>
      <c r="D536" s="14" t="s">
        <v>161</v>
      </c>
      <c r="E536" s="67">
        <f>E534*0.08</f>
        <v>0.684</v>
      </c>
      <c r="F536" s="72">
        <v>0.07</v>
      </c>
      <c r="G536" s="73">
        <f>(主要材料品牌单价!E$5-1000)/1000</f>
        <v>25.8</v>
      </c>
      <c r="H536" s="73">
        <f t="shared" si="45"/>
        <v>18.882504</v>
      </c>
      <c r="I536" s="11"/>
    </row>
    <row r="537" customHeight="1" spans="1:9">
      <c r="A537" s="68">
        <v>2</v>
      </c>
      <c r="B537" s="68" t="s">
        <v>163</v>
      </c>
      <c r="C537" s="68"/>
      <c r="D537" s="68"/>
      <c r="E537" s="68"/>
      <c r="F537" s="68"/>
      <c r="G537" s="68"/>
      <c r="H537" s="74">
        <f>H538</f>
        <v>5.79336</v>
      </c>
      <c r="I537" s="86"/>
    </row>
    <row r="538" customHeight="1" spans="1:9">
      <c r="A538" s="14">
        <v>2.1</v>
      </c>
      <c r="B538" s="14" t="s">
        <v>164</v>
      </c>
      <c r="C538" s="14"/>
      <c r="D538" s="14" t="s">
        <v>165</v>
      </c>
      <c r="E538" s="73">
        <v>0.08</v>
      </c>
      <c r="F538" s="72">
        <v>0.01</v>
      </c>
      <c r="G538" s="73">
        <f>主要材料品牌单价!E$14</f>
        <v>71.7</v>
      </c>
      <c r="H538" s="73">
        <f>E538*(1+F538)*G538</f>
        <v>5.79336</v>
      </c>
      <c r="I538" s="11"/>
    </row>
    <row r="539" customHeight="1" spans="1:9">
      <c r="A539" s="68">
        <v>3</v>
      </c>
      <c r="B539" s="68" t="s">
        <v>166</v>
      </c>
      <c r="C539" s="68"/>
      <c r="D539" s="68"/>
      <c r="E539" s="68"/>
      <c r="F539" s="68"/>
      <c r="G539" s="68"/>
      <c r="H539" s="74">
        <f>H540</f>
        <v>132.396</v>
      </c>
      <c r="I539" s="86"/>
    </row>
    <row r="540" customHeight="1" spans="1:9">
      <c r="A540" s="14">
        <v>3.1</v>
      </c>
      <c r="B540" s="13" t="s">
        <v>218</v>
      </c>
      <c r="C540" s="13"/>
      <c r="D540" s="14" t="s">
        <v>168</v>
      </c>
      <c r="E540" s="73">
        <v>1</v>
      </c>
      <c r="F540" s="72">
        <v>0.003</v>
      </c>
      <c r="G540" s="11">
        <f>主要材料品牌单价!E$36</f>
        <v>132</v>
      </c>
      <c r="H540" s="73">
        <f t="shared" ref="H540:H546" si="46">E540*(1+F540)*G540</f>
        <v>132.396</v>
      </c>
      <c r="I540" s="11"/>
    </row>
    <row r="541" customHeight="1" spans="1:9">
      <c r="A541" s="68">
        <v>4</v>
      </c>
      <c r="B541" s="68" t="s">
        <v>169</v>
      </c>
      <c r="C541" s="68"/>
      <c r="D541" s="68"/>
      <c r="E541" s="68"/>
      <c r="F541" s="68"/>
      <c r="G541" s="68"/>
      <c r="H541" s="69">
        <f>SUM(H542:H546)</f>
        <v>19.95</v>
      </c>
      <c r="I541" s="86" t="s">
        <v>170</v>
      </c>
    </row>
    <row r="542" customHeight="1" spans="1:9">
      <c r="A542" s="75">
        <v>4.1</v>
      </c>
      <c r="B542" s="14" t="s">
        <v>171</v>
      </c>
      <c r="C542" s="14"/>
      <c r="D542" s="14" t="s">
        <v>172</v>
      </c>
      <c r="E542" s="75">
        <v>1.5</v>
      </c>
      <c r="F542" s="75"/>
      <c r="G542" s="75">
        <f>主要材料品牌单价!E$44</f>
        <v>11.5</v>
      </c>
      <c r="H542" s="73">
        <f t="shared" si="46"/>
        <v>17.25</v>
      </c>
      <c r="I542" s="11"/>
    </row>
    <row r="543" customHeight="1" spans="1:9">
      <c r="A543" s="75">
        <v>4.2</v>
      </c>
      <c r="B543" s="70" t="s">
        <v>173</v>
      </c>
      <c r="C543" s="71"/>
      <c r="D543" s="14" t="s">
        <v>172</v>
      </c>
      <c r="E543" s="76">
        <v>0</v>
      </c>
      <c r="F543" s="75"/>
      <c r="G543" s="75">
        <f>主要材料品牌单价!E$43</f>
        <v>11.5</v>
      </c>
      <c r="H543" s="73">
        <f t="shared" si="46"/>
        <v>0</v>
      </c>
      <c r="I543" s="11"/>
    </row>
    <row r="544" customHeight="1" spans="1:9">
      <c r="A544" s="75">
        <v>4.3</v>
      </c>
      <c r="B544" s="70" t="s">
        <v>174</v>
      </c>
      <c r="C544" s="71"/>
      <c r="D544" s="14" t="s">
        <v>172</v>
      </c>
      <c r="E544" s="76">
        <v>0.2</v>
      </c>
      <c r="F544" s="75"/>
      <c r="G544" s="75">
        <f>主要材料品牌单价!E$45</f>
        <v>13.5</v>
      </c>
      <c r="H544" s="73">
        <f t="shared" si="46"/>
        <v>2.7</v>
      </c>
      <c r="I544" s="11"/>
    </row>
    <row r="545" customHeight="1" spans="1:9">
      <c r="A545" s="75">
        <v>4.4</v>
      </c>
      <c r="B545" s="77" t="s">
        <v>175</v>
      </c>
      <c r="C545" s="78"/>
      <c r="D545" s="14" t="s">
        <v>172</v>
      </c>
      <c r="E545" s="67">
        <v>0</v>
      </c>
      <c r="F545" s="14"/>
      <c r="G545" s="75">
        <f>主要材料品牌单价!E$46</f>
        <v>18</v>
      </c>
      <c r="H545" s="73">
        <f t="shared" si="46"/>
        <v>0</v>
      </c>
      <c r="I545" s="11"/>
    </row>
    <row r="546" customHeight="1" spans="1:9">
      <c r="A546" s="75">
        <v>4.5</v>
      </c>
      <c r="B546" s="79" t="s">
        <v>176</v>
      </c>
      <c r="C546" s="79"/>
      <c r="D546" s="14" t="s">
        <v>177</v>
      </c>
      <c r="E546" s="67">
        <v>0</v>
      </c>
      <c r="F546" s="14"/>
      <c r="G546" s="75">
        <v>8</v>
      </c>
      <c r="H546" s="73">
        <f t="shared" si="46"/>
        <v>0</v>
      </c>
      <c r="I546" s="11"/>
    </row>
    <row r="547" customHeight="1" spans="1:9">
      <c r="A547" s="68">
        <v>5</v>
      </c>
      <c r="B547" s="68" t="s">
        <v>178</v>
      </c>
      <c r="C547" s="68"/>
      <c r="D547" s="68"/>
      <c r="E547" s="68"/>
      <c r="F547" s="68"/>
      <c r="G547" s="68"/>
      <c r="H547" s="69">
        <f>SUM(H548:H550)</f>
        <v>29.95</v>
      </c>
      <c r="I547" s="86" t="s">
        <v>170</v>
      </c>
    </row>
    <row r="548" customHeight="1" spans="1:9">
      <c r="A548" s="75">
        <v>5.1</v>
      </c>
      <c r="B548" s="14" t="s">
        <v>179</v>
      </c>
      <c r="C548" s="14"/>
      <c r="D548" s="14" t="s">
        <v>180</v>
      </c>
      <c r="E548" s="76">
        <v>0.15</v>
      </c>
      <c r="F548" s="75"/>
      <c r="G548" s="75">
        <f>主要材料品牌单价!E$48</f>
        <v>13</v>
      </c>
      <c r="H548" s="73">
        <f t="shared" ref="H548:H557" si="47">E548*(1+F548)*G548</f>
        <v>1.95</v>
      </c>
      <c r="I548" s="11"/>
    </row>
    <row r="549" customHeight="1" spans="1:9">
      <c r="A549" s="75">
        <v>5.2</v>
      </c>
      <c r="B549" s="70" t="s">
        <v>181</v>
      </c>
      <c r="C549" s="71"/>
      <c r="D549" s="14" t="s">
        <v>177</v>
      </c>
      <c r="E549" s="76">
        <v>0</v>
      </c>
      <c r="F549" s="75"/>
      <c r="G549" s="75">
        <f>主要材料品牌单价!E189</f>
        <v>0</v>
      </c>
      <c r="H549" s="73">
        <f t="shared" si="47"/>
        <v>0</v>
      </c>
      <c r="I549" s="11"/>
    </row>
    <row r="550" customHeight="1" spans="1:9">
      <c r="A550" s="75">
        <v>5.3</v>
      </c>
      <c r="B550" s="80" t="s">
        <v>182</v>
      </c>
      <c r="C550" s="81"/>
      <c r="D550" s="82" t="s">
        <v>168</v>
      </c>
      <c r="E550" s="67">
        <v>28</v>
      </c>
      <c r="F550" s="14"/>
      <c r="G550" s="75"/>
      <c r="H550" s="73">
        <v>28</v>
      </c>
      <c r="I550" s="11"/>
    </row>
    <row r="551" customHeight="1" spans="1:9">
      <c r="A551" s="83">
        <v>6</v>
      </c>
      <c r="B551" s="82" t="s">
        <v>183</v>
      </c>
      <c r="C551" s="82"/>
      <c r="D551" s="82" t="s">
        <v>168</v>
      </c>
      <c r="E551" s="82">
        <v>1</v>
      </c>
      <c r="F551" s="68">
        <v>0</v>
      </c>
      <c r="G551" s="75">
        <v>80</v>
      </c>
      <c r="H551" s="69">
        <f t="shared" si="47"/>
        <v>80</v>
      </c>
      <c r="I551" s="86" t="s">
        <v>170</v>
      </c>
    </row>
    <row r="552" customHeight="1" spans="1:9">
      <c r="A552" s="68">
        <v>7</v>
      </c>
      <c r="B552" s="84" t="s">
        <v>184</v>
      </c>
      <c r="C552" s="85"/>
      <c r="D552" s="82" t="s">
        <v>168</v>
      </c>
      <c r="E552" s="82">
        <v>1</v>
      </c>
      <c r="F552" s="68">
        <v>0</v>
      </c>
      <c r="G552" s="75">
        <v>120</v>
      </c>
      <c r="H552" s="69">
        <f t="shared" si="47"/>
        <v>120</v>
      </c>
      <c r="I552" s="86" t="s">
        <v>170</v>
      </c>
    </row>
    <row r="553" customHeight="1" spans="1:9">
      <c r="A553" s="68">
        <v>8</v>
      </c>
      <c r="B553" s="82" t="s">
        <v>185</v>
      </c>
      <c r="C553" s="82"/>
      <c r="D553" s="82" t="s">
        <v>168</v>
      </c>
      <c r="E553" s="82">
        <v>1</v>
      </c>
      <c r="F553" s="68">
        <v>0</v>
      </c>
      <c r="G553" s="75">
        <v>3</v>
      </c>
      <c r="H553" s="69">
        <f t="shared" si="47"/>
        <v>3</v>
      </c>
      <c r="I553" s="86" t="s">
        <v>170</v>
      </c>
    </row>
    <row r="554" customHeight="1" spans="1:9">
      <c r="A554" s="82">
        <v>9</v>
      </c>
      <c r="B554" s="82" t="s">
        <v>186</v>
      </c>
      <c r="C554" s="82"/>
      <c r="D554" s="82" t="s">
        <v>168</v>
      </c>
      <c r="E554" s="82">
        <v>1</v>
      </c>
      <c r="F554" s="82">
        <v>0</v>
      </c>
      <c r="G554" s="75">
        <v>0.5</v>
      </c>
      <c r="H554" s="69">
        <f t="shared" si="47"/>
        <v>0.5</v>
      </c>
      <c r="I554" s="86" t="s">
        <v>170</v>
      </c>
    </row>
    <row r="555" customHeight="1" spans="1:9">
      <c r="A555" s="82">
        <v>10</v>
      </c>
      <c r="B555" s="82" t="s">
        <v>187</v>
      </c>
      <c r="C555" s="82"/>
      <c r="D555" s="82" t="s">
        <v>168</v>
      </c>
      <c r="E555" s="82">
        <v>1</v>
      </c>
      <c r="F555" s="82">
        <v>0</v>
      </c>
      <c r="G555" s="75">
        <v>0.5</v>
      </c>
      <c r="H555" s="69">
        <f t="shared" si="47"/>
        <v>0.5</v>
      </c>
      <c r="I555" s="86" t="s">
        <v>170</v>
      </c>
    </row>
    <row r="556" customHeight="1" spans="1:9">
      <c r="A556" s="82">
        <v>11</v>
      </c>
      <c r="B556" s="84" t="s">
        <v>188</v>
      </c>
      <c r="C556" s="85"/>
      <c r="D556" s="82" t="s">
        <v>168</v>
      </c>
      <c r="E556" s="82">
        <v>1</v>
      </c>
      <c r="F556" s="82">
        <v>0</v>
      </c>
      <c r="G556" s="75">
        <v>1</v>
      </c>
      <c r="H556" s="69">
        <f t="shared" si="47"/>
        <v>1</v>
      </c>
      <c r="I556" s="86" t="s">
        <v>170</v>
      </c>
    </row>
    <row r="557" customHeight="1" spans="1:9">
      <c r="A557" s="82">
        <v>12</v>
      </c>
      <c r="B557" s="82" t="s">
        <v>189</v>
      </c>
      <c r="C557" s="82"/>
      <c r="D557" s="82" t="s">
        <v>168</v>
      </c>
      <c r="E557" s="82">
        <v>1</v>
      </c>
      <c r="F557" s="82">
        <v>0</v>
      </c>
      <c r="G557" s="75">
        <v>0.5</v>
      </c>
      <c r="H557" s="69">
        <f t="shared" si="47"/>
        <v>0.5</v>
      </c>
      <c r="I557" s="86" t="s">
        <v>170</v>
      </c>
    </row>
    <row r="558" customHeight="1" spans="1:9">
      <c r="A558" s="82">
        <v>13</v>
      </c>
      <c r="B558" s="84" t="s">
        <v>190</v>
      </c>
      <c r="C558" s="85"/>
      <c r="D558" s="82" t="s">
        <v>6</v>
      </c>
      <c r="E558" s="84" t="s">
        <v>191</v>
      </c>
      <c r="F558" s="85"/>
      <c r="G558" s="86"/>
      <c r="H558" s="69">
        <f>H533+H537+H541+H547+H551+H552+H553+H554+H555+H557+H556+H539</f>
        <v>657.651664</v>
      </c>
      <c r="I558" s="89" t="s">
        <v>192</v>
      </c>
    </row>
    <row r="559" customHeight="1" spans="1:9">
      <c r="A559" s="82">
        <v>14</v>
      </c>
      <c r="B559" s="84" t="s">
        <v>193</v>
      </c>
      <c r="C559" s="85"/>
      <c r="D559" s="82" t="s">
        <v>6</v>
      </c>
      <c r="E559" s="84" t="s">
        <v>194</v>
      </c>
      <c r="F559" s="85"/>
      <c r="G559" s="87">
        <v>0.08</v>
      </c>
      <c r="H559" s="69">
        <f>H558*(G559)</f>
        <v>52.61213312</v>
      </c>
      <c r="I559" s="90"/>
    </row>
    <row r="560" customHeight="1" spans="1:9">
      <c r="A560" s="82">
        <v>15</v>
      </c>
      <c r="B560" s="84" t="s">
        <v>195</v>
      </c>
      <c r="C560" s="85"/>
      <c r="D560" s="82" t="s">
        <v>6</v>
      </c>
      <c r="E560" s="84" t="s">
        <v>196</v>
      </c>
      <c r="F560" s="85"/>
      <c r="G560" s="86"/>
      <c r="H560" s="69">
        <f>H558+H559</f>
        <v>710.26379712</v>
      </c>
      <c r="I560" s="91">
        <f>H560</f>
        <v>710.26379712</v>
      </c>
    </row>
  </sheetData>
  <mergeCells count="687">
    <mergeCell ref="A1:I1"/>
    <mergeCell ref="B3:D3"/>
    <mergeCell ref="F3:G3"/>
    <mergeCell ref="B4:D4"/>
    <mergeCell ref="F4:G4"/>
    <mergeCell ref="B8:G8"/>
    <mergeCell ref="B9:C9"/>
    <mergeCell ref="B10:C10"/>
    <mergeCell ref="B11:G11"/>
    <mergeCell ref="B12:C12"/>
    <mergeCell ref="B13:G13"/>
    <mergeCell ref="B14:C14"/>
    <mergeCell ref="B15:G15"/>
    <mergeCell ref="B16:C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E33:F33"/>
    <mergeCell ref="B34:C34"/>
    <mergeCell ref="E34:F34"/>
    <mergeCell ref="B36:D36"/>
    <mergeCell ref="F36:G36"/>
    <mergeCell ref="B37:D37"/>
    <mergeCell ref="F37:G37"/>
    <mergeCell ref="B41:G41"/>
    <mergeCell ref="B42:C42"/>
    <mergeCell ref="B43:C43"/>
    <mergeCell ref="B44:G44"/>
    <mergeCell ref="B45:C45"/>
    <mergeCell ref="B46:G46"/>
    <mergeCell ref="B47:C47"/>
    <mergeCell ref="B48:G48"/>
    <mergeCell ref="B49:C49"/>
    <mergeCell ref="B50:C50"/>
    <mergeCell ref="B51:C51"/>
    <mergeCell ref="B52:C52"/>
    <mergeCell ref="B53:C53"/>
    <mergeCell ref="B54:G54"/>
    <mergeCell ref="B55:C55"/>
    <mergeCell ref="B56:C56"/>
    <mergeCell ref="B57:C57"/>
    <mergeCell ref="B58:C58"/>
    <mergeCell ref="B59:C59"/>
    <mergeCell ref="B60:C60"/>
    <mergeCell ref="B61:C61"/>
    <mergeCell ref="B62:C62"/>
    <mergeCell ref="B63:C63"/>
    <mergeCell ref="B64:C64"/>
    <mergeCell ref="B65:C65"/>
    <mergeCell ref="E65:F65"/>
    <mergeCell ref="B66:C66"/>
    <mergeCell ref="E66:F66"/>
    <mergeCell ref="B67:C67"/>
    <mergeCell ref="E67:F67"/>
    <mergeCell ref="B69:D69"/>
    <mergeCell ref="F69:G69"/>
    <mergeCell ref="B70:D70"/>
    <mergeCell ref="F70:G70"/>
    <mergeCell ref="B74:G74"/>
    <mergeCell ref="B75:C75"/>
    <mergeCell ref="B76:C76"/>
    <mergeCell ref="B77:G77"/>
    <mergeCell ref="B78:C78"/>
    <mergeCell ref="B79:G79"/>
    <mergeCell ref="B80:C80"/>
    <mergeCell ref="B81:G81"/>
    <mergeCell ref="B82:C82"/>
    <mergeCell ref="B83:C83"/>
    <mergeCell ref="B84:C84"/>
    <mergeCell ref="B85:C85"/>
    <mergeCell ref="B86:C86"/>
    <mergeCell ref="B87:G87"/>
    <mergeCell ref="B88:C88"/>
    <mergeCell ref="B89:C89"/>
    <mergeCell ref="B90:C90"/>
    <mergeCell ref="B91:C91"/>
    <mergeCell ref="B92:C92"/>
    <mergeCell ref="B93:C93"/>
    <mergeCell ref="B94:C94"/>
    <mergeCell ref="B95:C95"/>
    <mergeCell ref="B96:C96"/>
    <mergeCell ref="B97:C97"/>
    <mergeCell ref="B98:C98"/>
    <mergeCell ref="E98:F98"/>
    <mergeCell ref="B99:C99"/>
    <mergeCell ref="E99:F99"/>
    <mergeCell ref="B100:C100"/>
    <mergeCell ref="E100:F100"/>
    <mergeCell ref="A103:I103"/>
    <mergeCell ref="B104:D104"/>
    <mergeCell ref="F104:G104"/>
    <mergeCell ref="B105:D105"/>
    <mergeCell ref="F105:G105"/>
    <mergeCell ref="B109:G109"/>
    <mergeCell ref="B110:C110"/>
    <mergeCell ref="B111:C111"/>
    <mergeCell ref="B112:C112"/>
    <mergeCell ref="B113:G113"/>
    <mergeCell ref="B114:C114"/>
    <mergeCell ref="B115:G115"/>
    <mergeCell ref="B116:C116"/>
    <mergeCell ref="B117:C117"/>
    <mergeCell ref="B118:C118"/>
    <mergeCell ref="B119:G119"/>
    <mergeCell ref="B120:C120"/>
    <mergeCell ref="B121:C121"/>
    <mergeCell ref="B122:C122"/>
    <mergeCell ref="B123:C123"/>
    <mergeCell ref="B124:C124"/>
    <mergeCell ref="B125:G125"/>
    <mergeCell ref="B126:C126"/>
    <mergeCell ref="B127:C127"/>
    <mergeCell ref="B128:C128"/>
    <mergeCell ref="B129:C129"/>
    <mergeCell ref="B130:C130"/>
    <mergeCell ref="B131:C131"/>
    <mergeCell ref="B132:C132"/>
    <mergeCell ref="B133:C133"/>
    <mergeCell ref="B134:C134"/>
    <mergeCell ref="B135:C135"/>
    <mergeCell ref="B136:C136"/>
    <mergeCell ref="E136:F136"/>
    <mergeCell ref="B137:C137"/>
    <mergeCell ref="E137:F137"/>
    <mergeCell ref="B138:C138"/>
    <mergeCell ref="E138:F138"/>
    <mergeCell ref="A140:I140"/>
    <mergeCell ref="B141:D141"/>
    <mergeCell ref="F141:G141"/>
    <mergeCell ref="B142:D142"/>
    <mergeCell ref="F142:G142"/>
    <mergeCell ref="B146:G146"/>
    <mergeCell ref="B147:C147"/>
    <mergeCell ref="B148:C148"/>
    <mergeCell ref="B149:C149"/>
    <mergeCell ref="B150:G150"/>
    <mergeCell ref="B151:C151"/>
    <mergeCell ref="B152:G152"/>
    <mergeCell ref="B153:C153"/>
    <mergeCell ref="B154:C154"/>
    <mergeCell ref="B155:G155"/>
    <mergeCell ref="B156:C156"/>
    <mergeCell ref="B157:C157"/>
    <mergeCell ref="B158:C158"/>
    <mergeCell ref="B159:C159"/>
    <mergeCell ref="B160:C160"/>
    <mergeCell ref="B161:G161"/>
    <mergeCell ref="B162:C162"/>
    <mergeCell ref="B163:C163"/>
    <mergeCell ref="B164:C164"/>
    <mergeCell ref="B165:C165"/>
    <mergeCell ref="B166:C166"/>
    <mergeCell ref="B167:C167"/>
    <mergeCell ref="B168:C168"/>
    <mergeCell ref="B169:C169"/>
    <mergeCell ref="B170:C170"/>
    <mergeCell ref="B171:C171"/>
    <mergeCell ref="B172:C172"/>
    <mergeCell ref="E172:F172"/>
    <mergeCell ref="B173:C173"/>
    <mergeCell ref="E173:F173"/>
    <mergeCell ref="B174:C174"/>
    <mergeCell ref="E174:F174"/>
    <mergeCell ref="A176:I176"/>
    <mergeCell ref="B177:D177"/>
    <mergeCell ref="F177:G177"/>
    <mergeCell ref="B178:D178"/>
    <mergeCell ref="F178:G178"/>
    <mergeCell ref="B182:G182"/>
    <mergeCell ref="B183:C183"/>
    <mergeCell ref="B184:C184"/>
    <mergeCell ref="B185:C185"/>
    <mergeCell ref="B186:G186"/>
    <mergeCell ref="B187:C187"/>
    <mergeCell ref="B188:G188"/>
    <mergeCell ref="B189:C189"/>
    <mergeCell ref="B190:G190"/>
    <mergeCell ref="B191:C191"/>
    <mergeCell ref="B192:C192"/>
    <mergeCell ref="B193:C193"/>
    <mergeCell ref="B194:C194"/>
    <mergeCell ref="B195:C195"/>
    <mergeCell ref="B196:G196"/>
    <mergeCell ref="B197:C197"/>
    <mergeCell ref="B198:C198"/>
    <mergeCell ref="B199:C199"/>
    <mergeCell ref="B200:C200"/>
    <mergeCell ref="B201:C201"/>
    <mergeCell ref="B202:C202"/>
    <mergeCell ref="B203:C203"/>
    <mergeCell ref="B204:C204"/>
    <mergeCell ref="B205:C205"/>
    <mergeCell ref="B206:C206"/>
    <mergeCell ref="B207:C207"/>
    <mergeCell ref="E207:F207"/>
    <mergeCell ref="B208:C208"/>
    <mergeCell ref="E208:F208"/>
    <mergeCell ref="B209:C209"/>
    <mergeCell ref="E209:F209"/>
    <mergeCell ref="A211:I211"/>
    <mergeCell ref="B212:D212"/>
    <mergeCell ref="F212:G212"/>
    <mergeCell ref="B213:D213"/>
    <mergeCell ref="F213:G213"/>
    <mergeCell ref="B217:G217"/>
    <mergeCell ref="B218:C218"/>
    <mergeCell ref="B219:C219"/>
    <mergeCell ref="B220:C220"/>
    <mergeCell ref="B221:G221"/>
    <mergeCell ref="B222:C222"/>
    <mergeCell ref="B223:G223"/>
    <mergeCell ref="B224:C224"/>
    <mergeCell ref="B225:C225"/>
    <mergeCell ref="B226:G226"/>
    <mergeCell ref="B227:C227"/>
    <mergeCell ref="B228:C228"/>
    <mergeCell ref="B229:C229"/>
    <mergeCell ref="B230:C230"/>
    <mergeCell ref="B231:C231"/>
    <mergeCell ref="B232:G232"/>
    <mergeCell ref="B233:C233"/>
    <mergeCell ref="B234:C234"/>
    <mergeCell ref="B235:C235"/>
    <mergeCell ref="B236:C236"/>
    <mergeCell ref="B237:C237"/>
    <mergeCell ref="B238:C238"/>
    <mergeCell ref="B239:C239"/>
    <mergeCell ref="B240:C240"/>
    <mergeCell ref="B241:C241"/>
    <mergeCell ref="B242:C242"/>
    <mergeCell ref="B243:C243"/>
    <mergeCell ref="E243:F243"/>
    <mergeCell ref="B244:C244"/>
    <mergeCell ref="E244:F244"/>
    <mergeCell ref="B245:C245"/>
    <mergeCell ref="E245:F245"/>
    <mergeCell ref="A247:I247"/>
    <mergeCell ref="B248:D248"/>
    <mergeCell ref="F248:G248"/>
    <mergeCell ref="B249:D249"/>
    <mergeCell ref="F249:G249"/>
    <mergeCell ref="B253:G253"/>
    <mergeCell ref="B254:C254"/>
    <mergeCell ref="B255:C255"/>
    <mergeCell ref="B256:G256"/>
    <mergeCell ref="B257:C257"/>
    <mergeCell ref="B258:G258"/>
    <mergeCell ref="B259:C259"/>
    <mergeCell ref="B260:G260"/>
    <mergeCell ref="B261:C261"/>
    <mergeCell ref="B262:C262"/>
    <mergeCell ref="B263:C263"/>
    <mergeCell ref="B264:C264"/>
    <mergeCell ref="B265:C265"/>
    <mergeCell ref="B266:G266"/>
    <mergeCell ref="B267:C267"/>
    <mergeCell ref="B268:C268"/>
    <mergeCell ref="B269:C269"/>
    <mergeCell ref="B270:C270"/>
    <mergeCell ref="B271:C271"/>
    <mergeCell ref="B272:C272"/>
    <mergeCell ref="B273:C273"/>
    <mergeCell ref="B274:C274"/>
    <mergeCell ref="B275:C275"/>
    <mergeCell ref="B276:C276"/>
    <mergeCell ref="B277:C277"/>
    <mergeCell ref="E277:F277"/>
    <mergeCell ref="B278:C278"/>
    <mergeCell ref="E278:F278"/>
    <mergeCell ref="B279:C279"/>
    <mergeCell ref="E279:F279"/>
    <mergeCell ref="A281:I281"/>
    <mergeCell ref="B282:D282"/>
    <mergeCell ref="F282:G282"/>
    <mergeCell ref="B283:D283"/>
    <mergeCell ref="F283:G283"/>
    <mergeCell ref="B287:G287"/>
    <mergeCell ref="B288:C288"/>
    <mergeCell ref="B289:C289"/>
    <mergeCell ref="B290:C290"/>
    <mergeCell ref="B291:G291"/>
    <mergeCell ref="B292:C292"/>
    <mergeCell ref="B293:G293"/>
    <mergeCell ref="B294:C294"/>
    <mergeCell ref="B295:G295"/>
    <mergeCell ref="B296:C296"/>
    <mergeCell ref="B297:C297"/>
    <mergeCell ref="B298:C298"/>
    <mergeCell ref="B299:C299"/>
    <mergeCell ref="B300:C300"/>
    <mergeCell ref="B301:G301"/>
    <mergeCell ref="B302:C302"/>
    <mergeCell ref="B303:C303"/>
    <mergeCell ref="B304:C304"/>
    <mergeCell ref="B305:C305"/>
    <mergeCell ref="B306:C306"/>
    <mergeCell ref="B307:C307"/>
    <mergeCell ref="B308:C308"/>
    <mergeCell ref="B309:C309"/>
    <mergeCell ref="B310:C310"/>
    <mergeCell ref="B311:C311"/>
    <mergeCell ref="B312:C312"/>
    <mergeCell ref="E312:F312"/>
    <mergeCell ref="B313:C313"/>
    <mergeCell ref="E313:F313"/>
    <mergeCell ref="B314:C314"/>
    <mergeCell ref="E314:F314"/>
    <mergeCell ref="A316:I316"/>
    <mergeCell ref="B317:D317"/>
    <mergeCell ref="F317:G317"/>
    <mergeCell ref="B318:D318"/>
    <mergeCell ref="F318:G318"/>
    <mergeCell ref="B322:G322"/>
    <mergeCell ref="B323:C323"/>
    <mergeCell ref="B324:C324"/>
    <mergeCell ref="B325:C325"/>
    <mergeCell ref="B326:G326"/>
    <mergeCell ref="B327:C327"/>
    <mergeCell ref="B328:G328"/>
    <mergeCell ref="B329:C329"/>
    <mergeCell ref="B330:G330"/>
    <mergeCell ref="B331:C331"/>
    <mergeCell ref="B332:C332"/>
    <mergeCell ref="B333:C333"/>
    <mergeCell ref="B334:C334"/>
    <mergeCell ref="B335:C335"/>
    <mergeCell ref="B336:G336"/>
    <mergeCell ref="B337:C337"/>
    <mergeCell ref="B338:C338"/>
    <mergeCell ref="B339:C339"/>
    <mergeCell ref="B340:C340"/>
    <mergeCell ref="B341:C341"/>
    <mergeCell ref="B342:C342"/>
    <mergeCell ref="B343:C343"/>
    <mergeCell ref="B344:C344"/>
    <mergeCell ref="B345:C345"/>
    <mergeCell ref="B346:C346"/>
    <mergeCell ref="B347:C347"/>
    <mergeCell ref="E347:F347"/>
    <mergeCell ref="B348:C348"/>
    <mergeCell ref="E348:F348"/>
    <mergeCell ref="B349:C349"/>
    <mergeCell ref="E349:F349"/>
    <mergeCell ref="A350:I350"/>
    <mergeCell ref="B351:D351"/>
    <mergeCell ref="F351:G351"/>
    <mergeCell ref="B352:D352"/>
    <mergeCell ref="F352:G352"/>
    <mergeCell ref="B356:G356"/>
    <mergeCell ref="B357:C357"/>
    <mergeCell ref="B358:C358"/>
    <mergeCell ref="B359:C359"/>
    <mergeCell ref="B360:G360"/>
    <mergeCell ref="B361:C361"/>
    <mergeCell ref="B362:G362"/>
    <mergeCell ref="B363:C363"/>
    <mergeCell ref="B364:G364"/>
    <mergeCell ref="B365:C365"/>
    <mergeCell ref="B366:C366"/>
    <mergeCell ref="B367:C367"/>
    <mergeCell ref="B368:C368"/>
    <mergeCell ref="B369:C369"/>
    <mergeCell ref="B370:G370"/>
    <mergeCell ref="B371:C371"/>
    <mergeCell ref="B372:C372"/>
    <mergeCell ref="B373:C373"/>
    <mergeCell ref="B374:C374"/>
    <mergeCell ref="B375:C375"/>
    <mergeCell ref="B376:C376"/>
    <mergeCell ref="B377:C377"/>
    <mergeCell ref="B378:C378"/>
    <mergeCell ref="B379:C379"/>
    <mergeCell ref="B380:C380"/>
    <mergeCell ref="B381:C381"/>
    <mergeCell ref="E381:F381"/>
    <mergeCell ref="B382:C382"/>
    <mergeCell ref="E382:F382"/>
    <mergeCell ref="B383:C383"/>
    <mergeCell ref="E383:F383"/>
    <mergeCell ref="A385:I385"/>
    <mergeCell ref="B386:D386"/>
    <mergeCell ref="F386:G386"/>
    <mergeCell ref="B387:D387"/>
    <mergeCell ref="F387:G387"/>
    <mergeCell ref="B391:G391"/>
    <mergeCell ref="B392:C392"/>
    <mergeCell ref="B393:C393"/>
    <mergeCell ref="B394:C394"/>
    <mergeCell ref="B395:G395"/>
    <mergeCell ref="B396:C396"/>
    <mergeCell ref="B397:G397"/>
    <mergeCell ref="B398:C398"/>
    <mergeCell ref="B399:G399"/>
    <mergeCell ref="B400:C400"/>
    <mergeCell ref="B401:C401"/>
    <mergeCell ref="B402:C402"/>
    <mergeCell ref="B403:C403"/>
    <mergeCell ref="B404:C404"/>
    <mergeCell ref="B405:G405"/>
    <mergeCell ref="B406:C406"/>
    <mergeCell ref="B407:C407"/>
    <mergeCell ref="B408:C408"/>
    <mergeCell ref="B409:C409"/>
    <mergeCell ref="B410:C410"/>
    <mergeCell ref="B411:C411"/>
    <mergeCell ref="B412:C412"/>
    <mergeCell ref="B413:C413"/>
    <mergeCell ref="B414:C414"/>
    <mergeCell ref="B415:C415"/>
    <mergeCell ref="B416:C416"/>
    <mergeCell ref="E416:F416"/>
    <mergeCell ref="B417:C417"/>
    <mergeCell ref="E417:F417"/>
    <mergeCell ref="B418:C418"/>
    <mergeCell ref="E418:F418"/>
    <mergeCell ref="A420:I420"/>
    <mergeCell ref="B421:D421"/>
    <mergeCell ref="F421:G421"/>
    <mergeCell ref="B422:D422"/>
    <mergeCell ref="F422:G422"/>
    <mergeCell ref="B426:G426"/>
    <mergeCell ref="B427:C427"/>
    <mergeCell ref="B428:C428"/>
    <mergeCell ref="B429:C429"/>
    <mergeCell ref="B430:G430"/>
    <mergeCell ref="B431:C431"/>
    <mergeCell ref="B432:G432"/>
    <mergeCell ref="B433:C433"/>
    <mergeCell ref="B434:C434"/>
    <mergeCell ref="B435:G435"/>
    <mergeCell ref="B436:C436"/>
    <mergeCell ref="B437:C437"/>
    <mergeCell ref="B438:C438"/>
    <mergeCell ref="B439:C439"/>
    <mergeCell ref="B440:C440"/>
    <mergeCell ref="B441:G441"/>
    <mergeCell ref="B442:C442"/>
    <mergeCell ref="B443:C443"/>
    <mergeCell ref="B444:C444"/>
    <mergeCell ref="B445:C445"/>
    <mergeCell ref="B446:C446"/>
    <mergeCell ref="B447:C447"/>
    <mergeCell ref="B448:C448"/>
    <mergeCell ref="B449:C449"/>
    <mergeCell ref="B450:C450"/>
    <mergeCell ref="B451:C451"/>
    <mergeCell ref="B452:C452"/>
    <mergeCell ref="E452:F452"/>
    <mergeCell ref="B453:C453"/>
    <mergeCell ref="E453:F453"/>
    <mergeCell ref="B454:C454"/>
    <mergeCell ref="E454:F454"/>
    <mergeCell ref="A456:I456"/>
    <mergeCell ref="B457:D457"/>
    <mergeCell ref="F457:G457"/>
    <mergeCell ref="B458:D458"/>
    <mergeCell ref="F458:G458"/>
    <mergeCell ref="B462:G462"/>
    <mergeCell ref="B463:C463"/>
    <mergeCell ref="B464:C464"/>
    <mergeCell ref="B465:C465"/>
    <mergeCell ref="B466:G466"/>
    <mergeCell ref="B467:C467"/>
    <mergeCell ref="B468:G468"/>
    <mergeCell ref="B469:C469"/>
    <mergeCell ref="B470:G470"/>
    <mergeCell ref="B471:C471"/>
    <mergeCell ref="B472:C472"/>
    <mergeCell ref="B473:C473"/>
    <mergeCell ref="B474:C474"/>
    <mergeCell ref="B475:C475"/>
    <mergeCell ref="B476:G476"/>
    <mergeCell ref="B477:C477"/>
    <mergeCell ref="B478:C478"/>
    <mergeCell ref="B479:C479"/>
    <mergeCell ref="B480:C480"/>
    <mergeCell ref="B481:C481"/>
    <mergeCell ref="B482:C482"/>
    <mergeCell ref="B483:C483"/>
    <mergeCell ref="B484:C484"/>
    <mergeCell ref="B485:C485"/>
    <mergeCell ref="B486:C486"/>
    <mergeCell ref="B487:C487"/>
    <mergeCell ref="E487:F487"/>
    <mergeCell ref="B488:C488"/>
    <mergeCell ref="E488:F488"/>
    <mergeCell ref="B489:C489"/>
    <mergeCell ref="E489:F489"/>
    <mergeCell ref="A492:I492"/>
    <mergeCell ref="B493:D493"/>
    <mergeCell ref="F493:G493"/>
    <mergeCell ref="B494:D494"/>
    <mergeCell ref="F494:G494"/>
    <mergeCell ref="B498:G498"/>
    <mergeCell ref="B499:C499"/>
    <mergeCell ref="B500:C500"/>
    <mergeCell ref="B501:C501"/>
    <mergeCell ref="B502:G502"/>
    <mergeCell ref="B503:C503"/>
    <mergeCell ref="B504:G504"/>
    <mergeCell ref="B505:C505"/>
    <mergeCell ref="B506:G506"/>
    <mergeCell ref="B507:C507"/>
    <mergeCell ref="B508:C508"/>
    <mergeCell ref="B509:C509"/>
    <mergeCell ref="B510:C510"/>
    <mergeCell ref="B511:C511"/>
    <mergeCell ref="B512:G512"/>
    <mergeCell ref="B513:C513"/>
    <mergeCell ref="B514:C514"/>
    <mergeCell ref="B515:C515"/>
    <mergeCell ref="B516:C516"/>
    <mergeCell ref="B517:C517"/>
    <mergeCell ref="B518:C518"/>
    <mergeCell ref="B519:C519"/>
    <mergeCell ref="B520:C520"/>
    <mergeCell ref="B521:C521"/>
    <mergeCell ref="B522:C522"/>
    <mergeCell ref="B523:C523"/>
    <mergeCell ref="E523:F523"/>
    <mergeCell ref="B524:C524"/>
    <mergeCell ref="E524:F524"/>
    <mergeCell ref="B525:C525"/>
    <mergeCell ref="E525:F525"/>
    <mergeCell ref="A527:I527"/>
    <mergeCell ref="B528:D528"/>
    <mergeCell ref="F528:G528"/>
    <mergeCell ref="B529:D529"/>
    <mergeCell ref="F529:G529"/>
    <mergeCell ref="B533:G533"/>
    <mergeCell ref="B534:C534"/>
    <mergeCell ref="B535:C535"/>
    <mergeCell ref="B536:C536"/>
    <mergeCell ref="B537:G537"/>
    <mergeCell ref="B538:C538"/>
    <mergeCell ref="B539:G539"/>
    <mergeCell ref="B540:C540"/>
    <mergeCell ref="B541:G541"/>
    <mergeCell ref="B542:C542"/>
    <mergeCell ref="B543:C543"/>
    <mergeCell ref="B544:C544"/>
    <mergeCell ref="B545:C545"/>
    <mergeCell ref="B546:C546"/>
    <mergeCell ref="B547:G547"/>
    <mergeCell ref="B548:C548"/>
    <mergeCell ref="B549:C549"/>
    <mergeCell ref="B550:C550"/>
    <mergeCell ref="B551:C551"/>
    <mergeCell ref="B552:C552"/>
    <mergeCell ref="B553:C553"/>
    <mergeCell ref="B554:C554"/>
    <mergeCell ref="B555:C555"/>
    <mergeCell ref="B556:C556"/>
    <mergeCell ref="B557:C557"/>
    <mergeCell ref="B558:C558"/>
    <mergeCell ref="E558:F558"/>
    <mergeCell ref="B559:C559"/>
    <mergeCell ref="E559:F559"/>
    <mergeCell ref="B560:C560"/>
    <mergeCell ref="E560:F560"/>
    <mergeCell ref="A5:A6"/>
    <mergeCell ref="A38:A39"/>
    <mergeCell ref="A71:A72"/>
    <mergeCell ref="A106:A107"/>
    <mergeCell ref="A143:A144"/>
    <mergeCell ref="A179:A180"/>
    <mergeCell ref="A214:A215"/>
    <mergeCell ref="A250:A251"/>
    <mergeCell ref="A284:A285"/>
    <mergeCell ref="A319:A320"/>
    <mergeCell ref="A353:A354"/>
    <mergeCell ref="A388:A389"/>
    <mergeCell ref="A423:A424"/>
    <mergeCell ref="A459:A460"/>
    <mergeCell ref="A495:A496"/>
    <mergeCell ref="A530:A531"/>
    <mergeCell ref="B5:B6"/>
    <mergeCell ref="B38:B39"/>
    <mergeCell ref="B71:B72"/>
    <mergeCell ref="B106:B107"/>
    <mergeCell ref="B143:B144"/>
    <mergeCell ref="B179:B180"/>
    <mergeCell ref="B214:B215"/>
    <mergeCell ref="B250:B251"/>
    <mergeCell ref="B284:B285"/>
    <mergeCell ref="B319:B320"/>
    <mergeCell ref="B353:B354"/>
    <mergeCell ref="B388:B389"/>
    <mergeCell ref="B423:B424"/>
    <mergeCell ref="B459:B460"/>
    <mergeCell ref="B495:B496"/>
    <mergeCell ref="B530:B531"/>
    <mergeCell ref="C5:C6"/>
    <mergeCell ref="C38:C39"/>
    <mergeCell ref="C71:C72"/>
    <mergeCell ref="C106:C107"/>
    <mergeCell ref="C143:C144"/>
    <mergeCell ref="C179:C180"/>
    <mergeCell ref="C214:C215"/>
    <mergeCell ref="C250:C251"/>
    <mergeCell ref="C284:C285"/>
    <mergeCell ref="C319:C320"/>
    <mergeCell ref="C353:C354"/>
    <mergeCell ref="C388:C389"/>
    <mergeCell ref="C423:C424"/>
    <mergeCell ref="C459:C460"/>
    <mergeCell ref="C495:C496"/>
    <mergeCell ref="C530:C531"/>
    <mergeCell ref="D5:D6"/>
    <mergeCell ref="D38:D39"/>
    <mergeCell ref="D71:D72"/>
    <mergeCell ref="D106:D107"/>
    <mergeCell ref="D143:D144"/>
    <mergeCell ref="D179:D180"/>
    <mergeCell ref="D214:D215"/>
    <mergeCell ref="D250:D251"/>
    <mergeCell ref="D284:D285"/>
    <mergeCell ref="D319:D320"/>
    <mergeCell ref="D353:D354"/>
    <mergeCell ref="D388:D389"/>
    <mergeCell ref="D423:D424"/>
    <mergeCell ref="D459:D460"/>
    <mergeCell ref="D495:D496"/>
    <mergeCell ref="D530:D531"/>
    <mergeCell ref="E5:E6"/>
    <mergeCell ref="E38:E39"/>
    <mergeCell ref="E71:E72"/>
    <mergeCell ref="E106:E107"/>
    <mergeCell ref="E143:E144"/>
    <mergeCell ref="E179:E180"/>
    <mergeCell ref="E214:E215"/>
    <mergeCell ref="E250:E251"/>
    <mergeCell ref="E284:E285"/>
    <mergeCell ref="E319:E320"/>
    <mergeCell ref="E353:E354"/>
    <mergeCell ref="E388:E389"/>
    <mergeCell ref="E423:E424"/>
    <mergeCell ref="E459:E460"/>
    <mergeCell ref="E495:E496"/>
    <mergeCell ref="E530:E531"/>
    <mergeCell ref="I32:I33"/>
    <mergeCell ref="I65:I66"/>
    <mergeCell ref="I98:I99"/>
    <mergeCell ref="I136:I137"/>
    <mergeCell ref="I172:I173"/>
    <mergeCell ref="I207:I208"/>
    <mergeCell ref="I243:I244"/>
    <mergeCell ref="I277:I278"/>
    <mergeCell ref="I312:I313"/>
    <mergeCell ref="I347:I348"/>
    <mergeCell ref="I381:I382"/>
    <mergeCell ref="I416:I417"/>
    <mergeCell ref="I452:I453"/>
    <mergeCell ref="I487:I488"/>
    <mergeCell ref="I523:I524"/>
    <mergeCell ref="I558:I559"/>
    <mergeCell ref="H36:I39"/>
    <mergeCell ref="H104:I107"/>
    <mergeCell ref="H69:I72"/>
    <mergeCell ref="H3:I6"/>
    <mergeCell ref="H141:I144"/>
    <mergeCell ref="H177:I180"/>
    <mergeCell ref="H212:I215"/>
    <mergeCell ref="H248:I251"/>
    <mergeCell ref="H282:I285"/>
    <mergeCell ref="H317:I320"/>
    <mergeCell ref="H351:I354"/>
    <mergeCell ref="H386:I389"/>
    <mergeCell ref="H421:I424"/>
    <mergeCell ref="H457:I460"/>
    <mergeCell ref="H493:I496"/>
    <mergeCell ref="H528:I531"/>
  </mergeCells>
  <pageMargins left="0.75" right="0.75" top="1" bottom="1" header="0.5" footer="0.5"/>
  <pageSetup paperSize="9" orientation="portrait"/>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5"/>
  <sheetViews>
    <sheetView topLeftCell="A28" workbookViewId="0">
      <selection activeCell="E23" sqref="E23"/>
    </sheetView>
  </sheetViews>
  <sheetFormatPr defaultColWidth="9" defaultRowHeight="24.95" customHeight="1" outlineLevelCol="5"/>
  <cols>
    <col min="1" max="1" width="9" style="47"/>
    <col min="2" max="2" width="21.75" style="47" customWidth="1"/>
    <col min="3" max="4" width="9" style="47"/>
    <col min="5" max="5" width="12.3833333333333" style="47" customWidth="1"/>
    <col min="6" max="16384" width="9" style="47"/>
  </cols>
  <sheetData>
    <row r="1" ht="21.95" customHeight="1" spans="1:6">
      <c r="A1" s="48" t="s">
        <v>220</v>
      </c>
      <c r="B1" s="48"/>
      <c r="C1" s="48"/>
      <c r="D1" s="48"/>
      <c r="E1" s="48"/>
      <c r="F1" s="48"/>
    </row>
    <row r="2" customHeight="1" spans="1:6">
      <c r="A2" s="49" t="s">
        <v>221</v>
      </c>
      <c r="B2" s="49"/>
      <c r="C2" s="50"/>
      <c r="D2" s="49"/>
      <c r="E2" s="49"/>
      <c r="F2" s="49"/>
    </row>
    <row r="3" customHeight="1" spans="1:6">
      <c r="A3" s="51" t="s">
        <v>38</v>
      </c>
      <c r="B3" s="51" t="s">
        <v>143</v>
      </c>
      <c r="C3" s="51" t="s">
        <v>153</v>
      </c>
      <c r="D3" s="51" t="s">
        <v>222</v>
      </c>
      <c r="E3" s="52" t="s">
        <v>223</v>
      </c>
      <c r="F3" s="51" t="s">
        <v>44</v>
      </c>
    </row>
    <row r="4" customHeight="1" spans="1:6">
      <c r="A4" s="53">
        <v>1</v>
      </c>
      <c r="B4" s="53" t="s">
        <v>224</v>
      </c>
      <c r="C4" s="54"/>
      <c r="D4" s="54"/>
      <c r="E4" s="55"/>
      <c r="F4" s="54"/>
    </row>
    <row r="5" customHeight="1" spans="1:6">
      <c r="A5" s="51">
        <v>1.1</v>
      </c>
      <c r="B5" s="51" t="s">
        <v>225</v>
      </c>
      <c r="C5" s="51" t="s">
        <v>226</v>
      </c>
      <c r="D5" s="51" t="s">
        <v>227</v>
      </c>
      <c r="E5" s="51">
        <v>26800</v>
      </c>
      <c r="F5" s="56" t="s">
        <v>228</v>
      </c>
    </row>
    <row r="6" customHeight="1" spans="1:6">
      <c r="A6" s="51">
        <v>1.2</v>
      </c>
      <c r="B6" s="51" t="s">
        <v>229</v>
      </c>
      <c r="C6" s="51" t="s">
        <v>226</v>
      </c>
      <c r="D6" s="51" t="s">
        <v>227</v>
      </c>
      <c r="E6" s="51">
        <v>27100</v>
      </c>
      <c r="F6" s="56" t="s">
        <v>228</v>
      </c>
    </row>
    <row r="7" customHeight="1" spans="1:6">
      <c r="A7" s="51">
        <v>1.3</v>
      </c>
      <c r="B7" s="51" t="s">
        <v>211</v>
      </c>
      <c r="C7" s="51" t="s">
        <v>226</v>
      </c>
      <c r="D7" s="51" t="s">
        <v>227</v>
      </c>
      <c r="E7" s="51">
        <v>11300</v>
      </c>
      <c r="F7" s="56" t="s">
        <v>230</v>
      </c>
    </row>
    <row r="8" customHeight="1" spans="1:6">
      <c r="A8" s="51">
        <v>1.4</v>
      </c>
      <c r="B8" s="51" t="s">
        <v>231</v>
      </c>
      <c r="C8" s="51" t="s">
        <v>226</v>
      </c>
      <c r="D8" s="51" t="s">
        <v>232</v>
      </c>
      <c r="E8" s="51">
        <f>E6</f>
        <v>27100</v>
      </c>
      <c r="F8" s="56" t="s">
        <v>228</v>
      </c>
    </row>
    <row r="9" customHeight="1" spans="1:6">
      <c r="A9" s="51">
        <v>1.5</v>
      </c>
      <c r="B9" s="51" t="s">
        <v>233</v>
      </c>
      <c r="C9" s="51" t="s">
        <v>226</v>
      </c>
      <c r="D9" s="51" t="s">
        <v>234</v>
      </c>
      <c r="E9" s="51">
        <f>E8</f>
        <v>27100</v>
      </c>
      <c r="F9" s="56" t="s">
        <v>228</v>
      </c>
    </row>
    <row r="10" customHeight="1" spans="1:6">
      <c r="A10" s="51">
        <v>1.6</v>
      </c>
      <c r="B10" s="51" t="s">
        <v>235</v>
      </c>
      <c r="C10" s="51" t="s">
        <v>226</v>
      </c>
      <c r="D10" s="51" t="s">
        <v>236</v>
      </c>
      <c r="E10" s="51">
        <f>E9</f>
        <v>27100</v>
      </c>
      <c r="F10" s="56" t="s">
        <v>228</v>
      </c>
    </row>
    <row r="11" customHeight="1" spans="1:6">
      <c r="A11" s="51">
        <v>1.7</v>
      </c>
      <c r="B11" s="51" t="s">
        <v>237</v>
      </c>
      <c r="C11" s="51" t="s">
        <v>226</v>
      </c>
      <c r="D11" s="51" t="s">
        <v>238</v>
      </c>
      <c r="E11" s="51">
        <f>E5</f>
        <v>26800</v>
      </c>
      <c r="F11" s="56" t="s">
        <v>228</v>
      </c>
    </row>
    <row r="12" customHeight="1" spans="1:6">
      <c r="A12" s="51">
        <v>1.8</v>
      </c>
      <c r="B12" s="51" t="s">
        <v>239</v>
      </c>
      <c r="C12" s="51" t="s">
        <v>226</v>
      </c>
      <c r="D12" s="51" t="s">
        <v>240</v>
      </c>
      <c r="E12" s="51">
        <f>E5</f>
        <v>26800</v>
      </c>
      <c r="F12" s="56" t="s">
        <v>228</v>
      </c>
    </row>
    <row r="13" customHeight="1" spans="1:6">
      <c r="A13" s="53">
        <v>2</v>
      </c>
      <c r="B13" s="53" t="s">
        <v>241</v>
      </c>
      <c r="C13" s="53"/>
      <c r="D13" s="53"/>
      <c r="E13" s="57"/>
      <c r="F13" s="58"/>
    </row>
    <row r="14" customHeight="1" spans="1:6">
      <c r="A14" s="51">
        <v>2.1</v>
      </c>
      <c r="B14" s="51" t="s">
        <v>242</v>
      </c>
      <c r="C14" s="51" t="s">
        <v>165</v>
      </c>
      <c r="D14" s="51"/>
      <c r="E14" s="52">
        <f>五金配置表!F3+五金配置表!F4+五金配置表!F5+五金配置表!F6+五金配置表!F7</f>
        <v>71.7</v>
      </c>
      <c r="F14" s="51" t="s">
        <v>243</v>
      </c>
    </row>
    <row r="15" customHeight="1" spans="1:6">
      <c r="A15" s="51">
        <v>2.2</v>
      </c>
      <c r="B15" s="51" t="s">
        <v>244</v>
      </c>
      <c r="C15" s="51" t="s">
        <v>165</v>
      </c>
      <c r="D15" s="51"/>
      <c r="E15" s="52">
        <f>五金配置表!F8+五金配置表!F9+五金配置表!F10+五金配置表!F11+五金配置表!F12</f>
        <v>78.7</v>
      </c>
      <c r="F15" s="51" t="s">
        <v>243</v>
      </c>
    </row>
    <row r="16" customHeight="1" spans="1:6">
      <c r="A16" s="51">
        <v>2.3</v>
      </c>
      <c r="B16" s="51" t="s">
        <v>245</v>
      </c>
      <c r="C16" s="51" t="s">
        <v>165</v>
      </c>
      <c r="D16" s="51"/>
      <c r="E16" s="52">
        <f>五金配置表!F13+五金配置表!F14+五金配置表!F15+五金配置表!F16+五金配置表!F17+五金配置表!F18+五金配置表!F19</f>
        <v>52.3</v>
      </c>
      <c r="F16" s="51" t="s">
        <v>243</v>
      </c>
    </row>
    <row r="17" customHeight="1" spans="1:6">
      <c r="A17" s="51">
        <v>2.4</v>
      </c>
      <c r="B17" s="51" t="s">
        <v>246</v>
      </c>
      <c r="C17" s="51" t="s">
        <v>165</v>
      </c>
      <c r="D17" s="51"/>
      <c r="E17" s="52">
        <f>五金配置表!F3+五金配置表!F4+五金配置表!F5+五金配置表!F6+五金配置表!F7</f>
        <v>71.7</v>
      </c>
      <c r="F17" s="51" t="s">
        <v>243</v>
      </c>
    </row>
    <row r="18" customHeight="1" spans="1:6">
      <c r="A18" s="51">
        <v>2.5</v>
      </c>
      <c r="B18" s="51" t="s">
        <v>247</v>
      </c>
      <c r="C18" s="51" t="s">
        <v>165</v>
      </c>
      <c r="D18" s="51"/>
      <c r="E18" s="52">
        <v>0</v>
      </c>
      <c r="F18" s="51" t="s">
        <v>243</v>
      </c>
    </row>
    <row r="19" customHeight="1" spans="1:6">
      <c r="A19" s="51">
        <v>2.6</v>
      </c>
      <c r="B19" s="51" t="s">
        <v>248</v>
      </c>
      <c r="C19" s="51" t="s">
        <v>165</v>
      </c>
      <c r="D19" s="51"/>
      <c r="E19" s="52">
        <f>五金配置表!F23+五金配置表!F25</f>
        <v>25.5</v>
      </c>
      <c r="F19" s="51" t="s">
        <v>243</v>
      </c>
    </row>
    <row r="20" customHeight="1" spans="1:6">
      <c r="A20" s="51">
        <v>2.7</v>
      </c>
      <c r="B20" s="51" t="s">
        <v>249</v>
      </c>
      <c r="C20" s="51" t="s">
        <v>165</v>
      </c>
      <c r="D20" s="51"/>
      <c r="E20" s="52">
        <f>五金配置表!F23+五金配置表!F25</f>
        <v>25.5</v>
      </c>
      <c r="F20" s="51" t="s">
        <v>243</v>
      </c>
    </row>
    <row r="21" customHeight="1" spans="1:6">
      <c r="A21" s="51">
        <v>2.8</v>
      </c>
      <c r="B21" s="51" t="s">
        <v>250</v>
      </c>
      <c r="C21" s="51" t="s">
        <v>165</v>
      </c>
      <c r="D21" s="51"/>
      <c r="E21" s="52">
        <f>五金配置表!F27+五金配置表!F28</f>
        <v>35</v>
      </c>
      <c r="F21" s="51" t="s">
        <v>243</v>
      </c>
    </row>
    <row r="22" customHeight="1" spans="1:6">
      <c r="A22" s="51">
        <v>2.9</v>
      </c>
      <c r="B22" s="51" t="s">
        <v>251</v>
      </c>
      <c r="C22" s="51" t="s">
        <v>165</v>
      </c>
      <c r="D22" s="51"/>
      <c r="E22" s="52">
        <f>五金配置表!F27+五金配置表!E28*8</f>
        <v>53</v>
      </c>
      <c r="F22" s="51" t="s">
        <v>243</v>
      </c>
    </row>
    <row r="23" customHeight="1" spans="1:6">
      <c r="A23" s="59">
        <v>2.1</v>
      </c>
      <c r="B23" s="51" t="s">
        <v>252</v>
      </c>
      <c r="C23" s="51" t="s">
        <v>165</v>
      </c>
      <c r="D23" s="51"/>
      <c r="E23" s="52">
        <f>五金配置表!F29+五金配置表!F30+五金配置表!F31+五金配置表!F32+五金配置表!F33</f>
        <v>127</v>
      </c>
      <c r="F23" s="51" t="s">
        <v>243</v>
      </c>
    </row>
    <row r="24" customHeight="1" spans="1:6">
      <c r="A24" s="59">
        <v>2.12</v>
      </c>
      <c r="B24" s="51" t="s">
        <v>253</v>
      </c>
      <c r="C24" s="51" t="s">
        <v>165</v>
      </c>
      <c r="D24" s="51"/>
      <c r="E24" s="52">
        <f>五金配置表!F29+五金配置表!F30+五金配置表!F31+五金配置表!F32+五金配置表!F33</f>
        <v>127</v>
      </c>
      <c r="F24" s="51" t="s">
        <v>243</v>
      </c>
    </row>
    <row r="25" customHeight="1" spans="1:6">
      <c r="A25" s="59">
        <v>2.14</v>
      </c>
      <c r="B25" s="51" t="s">
        <v>254</v>
      </c>
      <c r="C25" s="51" t="s">
        <v>165</v>
      </c>
      <c r="D25" s="51"/>
      <c r="E25" s="52">
        <f>五金配置表!F34+五金配置表!F35</f>
        <v>490</v>
      </c>
      <c r="F25" s="51" t="s">
        <v>243</v>
      </c>
    </row>
    <row r="26" customHeight="1" spans="1:6">
      <c r="A26" s="59">
        <v>2.15</v>
      </c>
      <c r="B26" s="51" t="s">
        <v>255</v>
      </c>
      <c r="C26" s="51" t="s">
        <v>165</v>
      </c>
      <c r="D26" s="51"/>
      <c r="E26" s="52">
        <v>135</v>
      </c>
      <c r="F26" s="51" t="s">
        <v>243</v>
      </c>
    </row>
    <row r="27" customHeight="1" spans="1:6">
      <c r="A27" s="60">
        <v>2.16</v>
      </c>
      <c r="B27" s="51" t="s">
        <v>256</v>
      </c>
      <c r="C27" s="51" t="s">
        <v>165</v>
      </c>
      <c r="D27" s="51"/>
      <c r="E27" s="52">
        <v>165</v>
      </c>
      <c r="F27" s="51" t="s">
        <v>243</v>
      </c>
    </row>
    <row r="28" customHeight="1" spans="1:6">
      <c r="A28" s="53">
        <v>3</v>
      </c>
      <c r="B28" s="53" t="s">
        <v>166</v>
      </c>
      <c r="C28" s="53"/>
      <c r="D28" s="53"/>
      <c r="E28" s="57"/>
      <c r="F28" s="58"/>
    </row>
    <row r="29" customHeight="1" spans="1:6">
      <c r="A29" s="51">
        <v>3.1</v>
      </c>
      <c r="B29" s="33" t="s">
        <v>257</v>
      </c>
      <c r="C29" s="51" t="s">
        <v>258</v>
      </c>
      <c r="D29" s="51"/>
      <c r="E29" s="52">
        <f>玻璃调整表!E4</f>
        <v>48</v>
      </c>
      <c r="F29" s="51" t="s">
        <v>259</v>
      </c>
    </row>
    <row r="30" customHeight="1" spans="1:6">
      <c r="A30" s="51">
        <v>3.2</v>
      </c>
      <c r="B30" s="33" t="s">
        <v>260</v>
      </c>
      <c r="C30" s="61" t="s">
        <v>258</v>
      </c>
      <c r="D30" s="51"/>
      <c r="E30" s="52">
        <f>玻璃调整表!E5</f>
        <v>55</v>
      </c>
      <c r="F30" s="51" t="s">
        <v>259</v>
      </c>
    </row>
    <row r="31" customHeight="1" spans="1:6">
      <c r="A31" s="51">
        <v>3.3</v>
      </c>
      <c r="B31" s="33" t="s">
        <v>213</v>
      </c>
      <c r="C31" s="61" t="s">
        <v>258</v>
      </c>
      <c r="D31" s="51"/>
      <c r="E31" s="52">
        <f>玻璃调整表!D6</f>
        <v>95</v>
      </c>
      <c r="F31" s="51" t="s">
        <v>259</v>
      </c>
    </row>
    <row r="32" customHeight="1" spans="1:6">
      <c r="A32" s="51">
        <v>3.4</v>
      </c>
      <c r="B32" s="33" t="s">
        <v>212</v>
      </c>
      <c r="C32" s="61" t="s">
        <v>258</v>
      </c>
      <c r="D32" s="51"/>
      <c r="E32" s="52">
        <f>玻璃调整表!E7</f>
        <v>105</v>
      </c>
      <c r="F32" s="51" t="s">
        <v>259</v>
      </c>
    </row>
    <row r="33" customHeight="1" spans="1:6">
      <c r="A33" s="51">
        <v>3.5</v>
      </c>
      <c r="B33" s="33" t="s">
        <v>214</v>
      </c>
      <c r="C33" s="61" t="s">
        <v>258</v>
      </c>
      <c r="D33" s="51"/>
      <c r="E33" s="52">
        <f>玻璃调整表!E8</f>
        <v>115</v>
      </c>
      <c r="F33" s="51" t="s">
        <v>259</v>
      </c>
    </row>
    <row r="34" customHeight="1" spans="1:6">
      <c r="A34" s="51">
        <v>3.6</v>
      </c>
      <c r="B34" s="33" t="s">
        <v>209</v>
      </c>
      <c r="C34" s="61" t="s">
        <v>258</v>
      </c>
      <c r="D34" s="51"/>
      <c r="E34" s="52">
        <v>115</v>
      </c>
      <c r="F34" s="51" t="s">
        <v>259</v>
      </c>
    </row>
    <row r="35" customHeight="1" spans="1:6">
      <c r="A35" s="51">
        <v>3.7</v>
      </c>
      <c r="B35" s="33" t="s">
        <v>205</v>
      </c>
      <c r="C35" s="61" t="s">
        <v>258</v>
      </c>
      <c r="D35" s="51"/>
      <c r="E35" s="52">
        <f>玻璃调整表!F9</f>
        <v>125</v>
      </c>
      <c r="F35" s="51" t="s">
        <v>259</v>
      </c>
    </row>
    <row r="36" customHeight="1" spans="1:6">
      <c r="A36" s="51">
        <v>3.8</v>
      </c>
      <c r="B36" s="33" t="s">
        <v>218</v>
      </c>
      <c r="C36" s="61" t="s">
        <v>258</v>
      </c>
      <c r="D36" s="51"/>
      <c r="E36" s="52">
        <f>玻璃调整表!E12</f>
        <v>132</v>
      </c>
      <c r="F36" s="51" t="s">
        <v>259</v>
      </c>
    </row>
    <row r="37" customHeight="1" spans="1:6">
      <c r="A37" s="59">
        <v>3.9</v>
      </c>
      <c r="B37" s="33" t="s">
        <v>201</v>
      </c>
      <c r="C37" s="61" t="s">
        <v>258</v>
      </c>
      <c r="D37" s="51"/>
      <c r="E37" s="52">
        <f>玻璃调整表!F13</f>
        <v>165</v>
      </c>
      <c r="F37" s="51" t="s">
        <v>259</v>
      </c>
    </row>
    <row r="38" customHeight="1" spans="1:6">
      <c r="A38" s="59">
        <v>3.1</v>
      </c>
      <c r="B38" s="33" t="s">
        <v>202</v>
      </c>
      <c r="C38" s="61" t="s">
        <v>258</v>
      </c>
      <c r="D38" s="51"/>
      <c r="E38" s="52">
        <f>玻璃调整表!F14</f>
        <v>185</v>
      </c>
      <c r="F38" s="51" t="s">
        <v>259</v>
      </c>
    </row>
    <row r="39" customHeight="1" spans="1:6">
      <c r="A39" s="59">
        <v>3.11</v>
      </c>
      <c r="B39" s="33" t="s">
        <v>203</v>
      </c>
      <c r="C39" s="61" t="s">
        <v>258</v>
      </c>
      <c r="D39" s="51"/>
      <c r="E39" s="52">
        <f>玻璃调整表!F15</f>
        <v>265</v>
      </c>
      <c r="F39" s="51" t="s">
        <v>259</v>
      </c>
    </row>
    <row r="40" customHeight="1" spans="1:6">
      <c r="A40" s="59">
        <v>3.12</v>
      </c>
      <c r="B40" s="33" t="s">
        <v>206</v>
      </c>
      <c r="C40" s="61" t="s">
        <v>258</v>
      </c>
      <c r="D40" s="51"/>
      <c r="E40" s="52">
        <f>玻璃调整表!F16</f>
        <v>187</v>
      </c>
      <c r="F40" s="51" t="s">
        <v>259</v>
      </c>
    </row>
    <row r="41" customHeight="1" spans="1:6">
      <c r="A41" s="60">
        <v>3.13</v>
      </c>
      <c r="B41" s="33" t="s">
        <v>207</v>
      </c>
      <c r="C41" s="61" t="s">
        <v>258</v>
      </c>
      <c r="D41" s="51"/>
      <c r="E41" s="52">
        <f>玻璃调整表!F17</f>
        <v>206</v>
      </c>
      <c r="F41" s="51" t="s">
        <v>259</v>
      </c>
    </row>
    <row r="42" s="46" customFormat="1" customHeight="1" spans="1:6">
      <c r="A42" s="62">
        <v>4</v>
      </c>
      <c r="B42" s="53" t="s">
        <v>169</v>
      </c>
      <c r="C42" s="53"/>
      <c r="D42" s="53"/>
      <c r="E42" s="57"/>
      <c r="F42" s="58"/>
    </row>
    <row r="43" s="46" customFormat="1" customHeight="1" spans="1:6">
      <c r="A43" s="63">
        <v>4.1</v>
      </c>
      <c r="B43" s="56" t="s">
        <v>173</v>
      </c>
      <c r="C43" s="56" t="s">
        <v>172</v>
      </c>
      <c r="D43" s="56"/>
      <c r="E43" s="64">
        <v>11.5</v>
      </c>
      <c r="F43" s="56" t="s">
        <v>261</v>
      </c>
    </row>
    <row r="44" s="46" customFormat="1" customHeight="1" spans="1:6">
      <c r="A44" s="63">
        <v>4.2</v>
      </c>
      <c r="B44" s="56" t="s">
        <v>171</v>
      </c>
      <c r="C44" s="56" t="s">
        <v>172</v>
      </c>
      <c r="D44" s="56"/>
      <c r="E44" s="64">
        <v>11.5</v>
      </c>
      <c r="F44" s="56" t="s">
        <v>261</v>
      </c>
    </row>
    <row r="45" s="46" customFormat="1" customHeight="1" spans="1:6">
      <c r="A45" s="63">
        <v>4.3</v>
      </c>
      <c r="B45" s="56" t="s">
        <v>174</v>
      </c>
      <c r="C45" s="56" t="s">
        <v>172</v>
      </c>
      <c r="D45" s="56"/>
      <c r="E45" s="64">
        <v>13.5</v>
      </c>
      <c r="F45" s="56" t="s">
        <v>261</v>
      </c>
    </row>
    <row r="46" s="46" customFormat="1" customHeight="1" spans="1:6">
      <c r="A46" s="63">
        <v>4.4</v>
      </c>
      <c r="B46" s="56" t="s">
        <v>175</v>
      </c>
      <c r="C46" s="56" t="s">
        <v>172</v>
      </c>
      <c r="D46" s="56"/>
      <c r="E46" s="64">
        <v>18</v>
      </c>
      <c r="F46" s="56" t="s">
        <v>261</v>
      </c>
    </row>
    <row r="47" s="46" customFormat="1" customHeight="1" spans="1:6">
      <c r="A47" s="62">
        <v>5</v>
      </c>
      <c r="B47" s="53" t="s">
        <v>178</v>
      </c>
      <c r="C47" s="53"/>
      <c r="D47" s="53"/>
      <c r="E47" s="57"/>
      <c r="F47" s="58"/>
    </row>
    <row r="48" s="46" customFormat="1" customHeight="1" spans="1:6">
      <c r="A48" s="63">
        <v>5.1</v>
      </c>
      <c r="B48" s="56" t="s">
        <v>179</v>
      </c>
      <c r="C48" s="53" t="s">
        <v>180</v>
      </c>
      <c r="D48" s="56"/>
      <c r="E48" s="64">
        <v>13</v>
      </c>
      <c r="F48" s="53" t="s">
        <v>262</v>
      </c>
    </row>
    <row r="49" s="46" customFormat="1" customHeight="1" spans="1:6">
      <c r="A49" s="63">
        <v>5.2</v>
      </c>
      <c r="B49" s="56" t="s">
        <v>181</v>
      </c>
      <c r="C49" s="56" t="s">
        <v>177</v>
      </c>
      <c r="D49" s="56"/>
      <c r="E49" s="64">
        <v>0.45</v>
      </c>
      <c r="F49" s="53" t="s">
        <v>262</v>
      </c>
    </row>
    <row r="50" s="46" customFormat="1" customHeight="1" spans="1:6">
      <c r="A50" s="62">
        <v>6</v>
      </c>
      <c r="B50" s="53" t="s">
        <v>263</v>
      </c>
      <c r="C50" s="51" t="s">
        <v>180</v>
      </c>
      <c r="D50" s="53"/>
      <c r="E50" s="57">
        <v>5800</v>
      </c>
      <c r="F50" s="58"/>
    </row>
    <row r="51" s="46" customFormat="1" customHeight="1" spans="1:6">
      <c r="A51" s="62">
        <v>7</v>
      </c>
      <c r="B51" s="53" t="s">
        <v>264</v>
      </c>
      <c r="C51" s="51" t="s">
        <v>180</v>
      </c>
      <c r="D51" s="53"/>
      <c r="E51" s="57">
        <v>6800</v>
      </c>
      <c r="F51" s="58"/>
    </row>
    <row r="52" s="46" customFormat="1" customHeight="1" spans="1:6">
      <c r="A52" s="62">
        <v>8</v>
      </c>
      <c r="B52" s="53" t="s">
        <v>265</v>
      </c>
      <c r="C52" s="51" t="s">
        <v>180</v>
      </c>
      <c r="D52" s="53"/>
      <c r="E52" s="57">
        <v>7200</v>
      </c>
      <c r="F52" s="58"/>
    </row>
    <row r="53" s="46" customFormat="1" customHeight="1" spans="1:6">
      <c r="A53" s="62">
        <v>9</v>
      </c>
      <c r="B53" s="53" t="s">
        <v>266</v>
      </c>
      <c r="C53" s="51" t="s">
        <v>180</v>
      </c>
      <c r="D53" s="53"/>
      <c r="E53" s="57">
        <v>7200</v>
      </c>
      <c r="F53" s="58"/>
    </row>
    <row r="54" customHeight="1" spans="1:6">
      <c r="A54" s="65" t="s">
        <v>267</v>
      </c>
      <c r="B54" s="65"/>
      <c r="C54" s="65"/>
      <c r="D54" s="65"/>
      <c r="E54" s="65"/>
      <c r="F54" s="65"/>
    </row>
    <row r="55" ht="27.95" customHeight="1" spans="1:6">
      <c r="A55" s="65"/>
      <c r="B55" s="65"/>
      <c r="C55" s="65"/>
      <c r="D55" s="65"/>
      <c r="E55" s="65"/>
      <c r="F55" s="65"/>
    </row>
  </sheetData>
  <mergeCells count="3">
    <mergeCell ref="A1:F1"/>
    <mergeCell ref="A2:F2"/>
    <mergeCell ref="A54:F5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5"/>
  <sheetViews>
    <sheetView topLeftCell="A20" workbookViewId="0">
      <selection activeCell="E30" sqref="E30"/>
    </sheetView>
  </sheetViews>
  <sheetFormatPr defaultColWidth="9" defaultRowHeight="13.5" outlineLevelCol="6"/>
  <cols>
    <col min="2" max="2" width="12.5" customWidth="1"/>
    <col min="3" max="3" width="16" customWidth="1"/>
    <col min="5" max="5" width="11" customWidth="1"/>
    <col min="6" max="6" width="12.5" customWidth="1"/>
    <col min="7" max="7" width="21.1333333333333" customWidth="1"/>
  </cols>
  <sheetData>
    <row r="1" ht="39" customHeight="1" spans="1:7">
      <c r="A1" s="36" t="s">
        <v>268</v>
      </c>
      <c r="B1" s="36"/>
      <c r="C1" s="36"/>
      <c r="D1" s="36"/>
      <c r="E1" s="36"/>
      <c r="F1" s="36"/>
      <c r="G1" s="36"/>
    </row>
    <row r="2" spans="1:7">
      <c r="A2" s="37" t="s">
        <v>38</v>
      </c>
      <c r="B2" s="37" t="s">
        <v>81</v>
      </c>
      <c r="C2" s="37" t="s">
        <v>269</v>
      </c>
      <c r="D2" s="37" t="s">
        <v>270</v>
      </c>
      <c r="E2" s="37" t="s">
        <v>271</v>
      </c>
      <c r="F2" s="37" t="s">
        <v>272</v>
      </c>
      <c r="G2" s="37" t="s">
        <v>44</v>
      </c>
    </row>
    <row r="3" spans="1:7">
      <c r="A3" s="37">
        <v>1</v>
      </c>
      <c r="B3" s="38" t="s">
        <v>273</v>
      </c>
      <c r="C3" s="37" t="s">
        <v>274</v>
      </c>
      <c r="D3" s="39">
        <v>1</v>
      </c>
      <c r="E3" s="40">
        <v>18</v>
      </c>
      <c r="F3" s="39">
        <f t="shared" ref="F3:F9" si="0">D3*E3</f>
        <v>18</v>
      </c>
      <c r="G3" s="38" t="s">
        <v>275</v>
      </c>
    </row>
    <row r="4" spans="1:7">
      <c r="A4" s="37"/>
      <c r="B4" s="38"/>
      <c r="C4" s="39" t="s">
        <v>276</v>
      </c>
      <c r="D4" s="39">
        <v>1</v>
      </c>
      <c r="E4" s="40">
        <v>9</v>
      </c>
      <c r="F4" s="39">
        <f t="shared" si="0"/>
        <v>9</v>
      </c>
      <c r="G4" s="38" t="s">
        <v>275</v>
      </c>
    </row>
    <row r="5" spans="1:7">
      <c r="A5" s="37"/>
      <c r="B5" s="38"/>
      <c r="C5" s="39" t="s">
        <v>277</v>
      </c>
      <c r="D5" s="39">
        <v>2</v>
      </c>
      <c r="E5" s="40">
        <v>0.85</v>
      </c>
      <c r="F5" s="39">
        <f t="shared" si="0"/>
        <v>1.7</v>
      </c>
      <c r="G5" s="38" t="s">
        <v>275</v>
      </c>
    </row>
    <row r="6" spans="1:7">
      <c r="A6" s="37"/>
      <c r="B6" s="38"/>
      <c r="C6" s="39" t="s">
        <v>278</v>
      </c>
      <c r="D6" s="39">
        <v>1</v>
      </c>
      <c r="E6" s="40">
        <v>11</v>
      </c>
      <c r="F6" s="39">
        <f t="shared" si="0"/>
        <v>11</v>
      </c>
      <c r="G6" s="38" t="s">
        <v>275</v>
      </c>
    </row>
    <row r="7" spans="1:7">
      <c r="A7" s="37"/>
      <c r="B7" s="38"/>
      <c r="C7" s="39" t="s">
        <v>279</v>
      </c>
      <c r="D7" s="39">
        <v>2</v>
      </c>
      <c r="E7" s="40">
        <v>16</v>
      </c>
      <c r="F7" s="39">
        <f t="shared" si="0"/>
        <v>32</v>
      </c>
      <c r="G7" s="38" t="s">
        <v>275</v>
      </c>
    </row>
    <row r="8" spans="1:7">
      <c r="A8" s="41">
        <v>2</v>
      </c>
      <c r="B8" s="38" t="s">
        <v>280</v>
      </c>
      <c r="C8" s="39" t="s">
        <v>281</v>
      </c>
      <c r="D8" s="39">
        <v>1</v>
      </c>
      <c r="E8" s="40">
        <v>18</v>
      </c>
      <c r="F8" s="39">
        <f t="shared" si="0"/>
        <v>18</v>
      </c>
      <c r="G8" s="38" t="s">
        <v>275</v>
      </c>
    </row>
    <row r="9" spans="1:7">
      <c r="A9" s="42"/>
      <c r="B9" s="38"/>
      <c r="C9" s="39" t="s">
        <v>282</v>
      </c>
      <c r="D9" s="39">
        <v>2</v>
      </c>
      <c r="E9" s="40">
        <v>16</v>
      </c>
      <c r="F9" s="39">
        <f t="shared" si="0"/>
        <v>32</v>
      </c>
      <c r="G9" s="38" t="s">
        <v>275</v>
      </c>
    </row>
    <row r="10" spans="1:7">
      <c r="A10" s="42"/>
      <c r="B10" s="38"/>
      <c r="C10" s="39" t="s">
        <v>283</v>
      </c>
      <c r="D10" s="39">
        <v>1</v>
      </c>
      <c r="E10" s="40">
        <v>9</v>
      </c>
      <c r="F10" s="39">
        <f t="shared" ref="F10:F35" si="1">D10*E10</f>
        <v>9</v>
      </c>
      <c r="G10" s="38" t="s">
        <v>275</v>
      </c>
    </row>
    <row r="11" spans="1:7">
      <c r="A11" s="42"/>
      <c r="B11" s="38"/>
      <c r="C11" s="39" t="s">
        <v>284</v>
      </c>
      <c r="D11" s="39">
        <v>2</v>
      </c>
      <c r="E11" s="40">
        <v>0.85</v>
      </c>
      <c r="F11" s="39">
        <f t="shared" si="1"/>
        <v>1.7</v>
      </c>
      <c r="G11" s="38" t="s">
        <v>275</v>
      </c>
    </row>
    <row r="12" spans="1:7">
      <c r="A12" s="43"/>
      <c r="B12" s="38"/>
      <c r="C12" s="37" t="s">
        <v>285</v>
      </c>
      <c r="D12" s="39">
        <v>2</v>
      </c>
      <c r="E12" s="40">
        <v>9</v>
      </c>
      <c r="F12" s="39">
        <f t="shared" si="1"/>
        <v>18</v>
      </c>
      <c r="G12" s="38" t="s">
        <v>275</v>
      </c>
    </row>
    <row r="13" spans="1:7">
      <c r="A13" s="41">
        <v>3</v>
      </c>
      <c r="B13" s="41" t="s">
        <v>286</v>
      </c>
      <c r="C13" s="37" t="s">
        <v>281</v>
      </c>
      <c r="D13" s="39">
        <v>1</v>
      </c>
      <c r="E13" s="40">
        <v>17</v>
      </c>
      <c r="F13" s="39">
        <f t="shared" si="1"/>
        <v>17</v>
      </c>
      <c r="G13" s="38" t="s">
        <v>275</v>
      </c>
    </row>
    <row r="14" spans="1:7">
      <c r="A14" s="42"/>
      <c r="B14" s="42"/>
      <c r="C14" s="39" t="s">
        <v>276</v>
      </c>
      <c r="D14" s="39">
        <v>1</v>
      </c>
      <c r="E14" s="40">
        <v>9</v>
      </c>
      <c r="F14" s="39">
        <f t="shared" si="1"/>
        <v>9</v>
      </c>
      <c r="G14" s="38" t="s">
        <v>275</v>
      </c>
    </row>
    <row r="15" spans="1:7">
      <c r="A15" s="42"/>
      <c r="B15" s="42"/>
      <c r="C15" s="39" t="s">
        <v>287</v>
      </c>
      <c r="D15" s="39">
        <v>2</v>
      </c>
      <c r="E15" s="40">
        <v>0.85</v>
      </c>
      <c r="F15" s="39">
        <f t="shared" si="1"/>
        <v>1.7</v>
      </c>
      <c r="G15" s="38" t="s">
        <v>275</v>
      </c>
    </row>
    <row r="16" spans="1:7">
      <c r="A16" s="42"/>
      <c r="B16" s="42"/>
      <c r="C16" s="39" t="s">
        <v>288</v>
      </c>
      <c r="D16" s="39">
        <v>2</v>
      </c>
      <c r="E16" s="40">
        <v>7.5</v>
      </c>
      <c r="F16" s="39">
        <f t="shared" si="1"/>
        <v>15</v>
      </c>
      <c r="G16" s="38" t="s">
        <v>275</v>
      </c>
    </row>
    <row r="17" spans="1:7">
      <c r="A17" s="42"/>
      <c r="B17" s="42"/>
      <c r="C17" s="39" t="s">
        <v>289</v>
      </c>
      <c r="D17" s="39">
        <v>4</v>
      </c>
      <c r="E17" s="40">
        <v>0.1</v>
      </c>
      <c r="F17" s="39">
        <f t="shared" si="1"/>
        <v>0.4</v>
      </c>
      <c r="G17" s="38" t="s">
        <v>275</v>
      </c>
    </row>
    <row r="18" spans="1:7">
      <c r="A18" s="42"/>
      <c r="B18" s="42"/>
      <c r="C18" s="37" t="s">
        <v>290</v>
      </c>
      <c r="D18" s="39">
        <v>2</v>
      </c>
      <c r="E18" s="40">
        <v>0.1</v>
      </c>
      <c r="F18" s="39">
        <f t="shared" si="1"/>
        <v>0.2</v>
      </c>
      <c r="G18" s="38" t="s">
        <v>275</v>
      </c>
    </row>
    <row r="19" spans="1:7">
      <c r="A19" s="43"/>
      <c r="B19" s="42"/>
      <c r="C19" s="39" t="s">
        <v>285</v>
      </c>
      <c r="D19" s="39">
        <v>1</v>
      </c>
      <c r="E19" s="40">
        <v>9</v>
      </c>
      <c r="F19" s="39">
        <f t="shared" si="1"/>
        <v>9</v>
      </c>
      <c r="G19" s="38" t="s">
        <v>275</v>
      </c>
    </row>
    <row r="20" spans="1:7">
      <c r="A20" s="41">
        <v>4</v>
      </c>
      <c r="B20" s="41" t="s">
        <v>291</v>
      </c>
      <c r="C20" s="37" t="s">
        <v>292</v>
      </c>
      <c r="D20" s="39"/>
      <c r="E20" s="40"/>
      <c r="F20" s="39">
        <f t="shared" si="1"/>
        <v>0</v>
      </c>
      <c r="G20" s="38" t="s">
        <v>275</v>
      </c>
    </row>
    <row r="21" spans="1:7">
      <c r="A21" s="42"/>
      <c r="B21" s="42"/>
      <c r="C21" s="39"/>
      <c r="D21" s="39"/>
      <c r="E21" s="40"/>
      <c r="F21" s="39">
        <f t="shared" si="1"/>
        <v>0</v>
      </c>
      <c r="G21" s="38" t="s">
        <v>275</v>
      </c>
    </row>
    <row r="22" spans="1:7">
      <c r="A22" s="42"/>
      <c r="B22" s="42"/>
      <c r="C22" s="39"/>
      <c r="D22" s="39"/>
      <c r="E22" s="40"/>
      <c r="F22" s="39">
        <f t="shared" si="1"/>
        <v>0</v>
      </c>
      <c r="G22" s="38" t="s">
        <v>275</v>
      </c>
    </row>
    <row r="23" spans="1:7">
      <c r="A23" s="41">
        <v>5</v>
      </c>
      <c r="B23" s="41" t="s">
        <v>293</v>
      </c>
      <c r="C23" s="39" t="s">
        <v>294</v>
      </c>
      <c r="D23" s="39">
        <v>1</v>
      </c>
      <c r="E23" s="40">
        <v>7.5</v>
      </c>
      <c r="F23" s="39">
        <f t="shared" si="1"/>
        <v>7.5</v>
      </c>
      <c r="G23" s="38" t="s">
        <v>275</v>
      </c>
    </row>
    <row r="24" spans="1:7">
      <c r="A24" s="42"/>
      <c r="B24" s="42"/>
      <c r="C24" s="39" t="s">
        <v>295</v>
      </c>
      <c r="D24" s="39">
        <v>1</v>
      </c>
      <c r="E24" s="40">
        <v>8.5</v>
      </c>
      <c r="F24" s="39">
        <f t="shared" si="1"/>
        <v>8.5</v>
      </c>
      <c r="G24" s="38" t="s">
        <v>275</v>
      </c>
    </row>
    <row r="25" spans="1:7">
      <c r="A25" s="43"/>
      <c r="B25" s="42"/>
      <c r="C25" s="39" t="s">
        <v>296</v>
      </c>
      <c r="D25" s="39">
        <v>4</v>
      </c>
      <c r="E25" s="40">
        <v>4.5</v>
      </c>
      <c r="F25" s="39">
        <f t="shared" si="1"/>
        <v>18</v>
      </c>
      <c r="G25" s="38" t="s">
        <v>275</v>
      </c>
    </row>
    <row r="26" spans="1:7">
      <c r="A26" s="37">
        <v>6</v>
      </c>
      <c r="B26" s="38" t="s">
        <v>297</v>
      </c>
      <c r="C26" s="39" t="s">
        <v>294</v>
      </c>
      <c r="D26" s="39">
        <v>2</v>
      </c>
      <c r="E26" s="40">
        <v>7.5</v>
      </c>
      <c r="F26" s="39">
        <f t="shared" si="1"/>
        <v>15</v>
      </c>
      <c r="G26" s="38" t="s">
        <v>298</v>
      </c>
    </row>
    <row r="27" spans="1:7">
      <c r="A27" s="37"/>
      <c r="B27" s="38"/>
      <c r="C27" s="39" t="s">
        <v>295</v>
      </c>
      <c r="D27" s="39">
        <v>2</v>
      </c>
      <c r="E27" s="40">
        <v>8.5</v>
      </c>
      <c r="F27" s="39">
        <f t="shared" si="1"/>
        <v>17</v>
      </c>
      <c r="G27" s="38" t="s">
        <v>298</v>
      </c>
    </row>
    <row r="28" spans="1:7">
      <c r="A28" s="37"/>
      <c r="B28" s="38"/>
      <c r="C28" s="39" t="s">
        <v>296</v>
      </c>
      <c r="D28" s="39">
        <v>4</v>
      </c>
      <c r="E28" s="40">
        <v>4.5</v>
      </c>
      <c r="F28" s="39">
        <f t="shared" si="1"/>
        <v>18</v>
      </c>
      <c r="G28" s="38" t="s">
        <v>298</v>
      </c>
    </row>
    <row r="29" spans="1:7">
      <c r="A29" s="37">
        <v>7</v>
      </c>
      <c r="B29" s="38" t="s">
        <v>299</v>
      </c>
      <c r="C29" s="39" t="s">
        <v>281</v>
      </c>
      <c r="D29" s="44">
        <v>1</v>
      </c>
      <c r="E29" s="44">
        <v>25</v>
      </c>
      <c r="F29" s="39">
        <f t="shared" si="1"/>
        <v>25</v>
      </c>
      <c r="G29" s="38" t="s">
        <v>298</v>
      </c>
    </row>
    <row r="30" spans="1:7">
      <c r="A30" s="37"/>
      <c r="B30" s="38"/>
      <c r="C30" s="39" t="s">
        <v>300</v>
      </c>
      <c r="D30" s="44">
        <v>1</v>
      </c>
      <c r="E30" s="44">
        <v>28</v>
      </c>
      <c r="F30" s="39">
        <f t="shared" si="1"/>
        <v>28</v>
      </c>
      <c r="G30" s="38" t="s">
        <v>298</v>
      </c>
    </row>
    <row r="31" spans="1:7">
      <c r="A31" s="37"/>
      <c r="B31" s="38"/>
      <c r="C31" s="39" t="s">
        <v>301</v>
      </c>
      <c r="D31" s="44">
        <v>1</v>
      </c>
      <c r="E31" s="44">
        <v>30</v>
      </c>
      <c r="F31" s="39">
        <f t="shared" si="1"/>
        <v>30</v>
      </c>
      <c r="G31" s="38" t="s">
        <v>298</v>
      </c>
    </row>
    <row r="32" spans="1:7">
      <c r="A32" s="37"/>
      <c r="B32" s="38"/>
      <c r="C32" s="39" t="s">
        <v>302</v>
      </c>
      <c r="D32" s="44">
        <v>1</v>
      </c>
      <c r="E32" s="44">
        <v>8</v>
      </c>
      <c r="F32" s="39">
        <f t="shared" si="1"/>
        <v>8</v>
      </c>
      <c r="G32" s="38" t="s">
        <v>298</v>
      </c>
    </row>
    <row r="33" spans="1:7">
      <c r="A33" s="37"/>
      <c r="B33" s="38"/>
      <c r="C33" s="39" t="s">
        <v>288</v>
      </c>
      <c r="D33" s="44">
        <v>3</v>
      </c>
      <c r="E33" s="44">
        <v>12</v>
      </c>
      <c r="F33" s="39">
        <f t="shared" si="1"/>
        <v>36</v>
      </c>
      <c r="G33" s="38" t="s">
        <v>298</v>
      </c>
    </row>
    <row r="34" spans="1:7">
      <c r="A34" s="41">
        <v>8</v>
      </c>
      <c r="B34" s="38" t="s">
        <v>303</v>
      </c>
      <c r="C34" s="44" t="s">
        <v>304</v>
      </c>
      <c r="D34" s="44">
        <v>2</v>
      </c>
      <c r="E34" s="45">
        <v>35</v>
      </c>
      <c r="F34" s="39">
        <f t="shared" si="1"/>
        <v>70</v>
      </c>
      <c r="G34" s="38" t="s">
        <v>298</v>
      </c>
    </row>
    <row r="35" spans="1:7">
      <c r="A35" s="43"/>
      <c r="B35" s="38"/>
      <c r="C35" s="44" t="s">
        <v>305</v>
      </c>
      <c r="D35" s="44">
        <v>2</v>
      </c>
      <c r="E35" s="45">
        <v>210</v>
      </c>
      <c r="F35" s="39">
        <f t="shared" si="1"/>
        <v>420</v>
      </c>
      <c r="G35" s="38" t="s">
        <v>298</v>
      </c>
    </row>
  </sheetData>
  <mergeCells count="17">
    <mergeCell ref="A1:G1"/>
    <mergeCell ref="A3:A7"/>
    <mergeCell ref="A8:A12"/>
    <mergeCell ref="A13:A19"/>
    <mergeCell ref="A20:A22"/>
    <mergeCell ref="A23:A25"/>
    <mergeCell ref="A26:A28"/>
    <mergeCell ref="A29:A33"/>
    <mergeCell ref="A34:A35"/>
    <mergeCell ref="B3:B7"/>
    <mergeCell ref="B8:B12"/>
    <mergeCell ref="B13:B19"/>
    <mergeCell ref="B20:B22"/>
    <mergeCell ref="B23:B25"/>
    <mergeCell ref="B26:B28"/>
    <mergeCell ref="B29:B33"/>
    <mergeCell ref="B34:B35"/>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topLeftCell="A11" workbookViewId="0">
      <selection activeCell="F18" sqref="F18"/>
    </sheetView>
  </sheetViews>
  <sheetFormatPr defaultColWidth="9" defaultRowHeight="24.95" customHeight="1" outlineLevelCol="6"/>
  <cols>
    <col min="2" max="2" width="22" customWidth="1"/>
    <col min="3" max="4" width="14.6333333333333" customWidth="1"/>
    <col min="5" max="5" width="16.6333333333333" customWidth="1"/>
    <col min="6" max="6" width="14.5" style="1" customWidth="1"/>
    <col min="7" max="7" width="16.3833333333333" customWidth="1"/>
  </cols>
  <sheetData>
    <row r="1" customHeight="1" spans="1:7">
      <c r="A1" s="28" t="s">
        <v>306</v>
      </c>
      <c r="B1" s="29"/>
      <c r="C1" s="29"/>
      <c r="D1" s="29"/>
      <c r="E1" s="29"/>
      <c r="F1" s="28"/>
      <c r="G1" s="28"/>
    </row>
    <row r="2" customHeight="1" spans="1:7">
      <c r="A2" s="30" t="s">
        <v>221</v>
      </c>
      <c r="B2" s="30"/>
      <c r="C2" s="30"/>
      <c r="D2" s="30"/>
      <c r="E2" s="30"/>
      <c r="F2" s="31"/>
      <c r="G2" s="30"/>
    </row>
    <row r="3" customHeight="1" spans="1:7">
      <c r="A3" s="32" t="s">
        <v>38</v>
      </c>
      <c r="B3" s="32" t="s">
        <v>307</v>
      </c>
      <c r="C3" s="32" t="s">
        <v>153</v>
      </c>
      <c r="D3" s="32" t="s">
        <v>308</v>
      </c>
      <c r="E3" s="32" t="s">
        <v>309</v>
      </c>
      <c r="F3" s="32" t="s">
        <v>310</v>
      </c>
      <c r="G3" s="32" t="s">
        <v>44</v>
      </c>
    </row>
    <row r="4" customHeight="1" spans="1:7">
      <c r="A4" s="32">
        <v>1</v>
      </c>
      <c r="B4" s="33" t="s">
        <v>257</v>
      </c>
      <c r="C4" s="33" t="s">
        <v>168</v>
      </c>
      <c r="D4" s="32"/>
      <c r="E4" s="32">
        <v>48</v>
      </c>
      <c r="F4" s="32"/>
      <c r="G4" s="32"/>
    </row>
    <row r="5" customHeight="1" spans="1:7">
      <c r="A5" s="32">
        <v>2</v>
      </c>
      <c r="B5" s="33" t="s">
        <v>260</v>
      </c>
      <c r="C5" s="33" t="s">
        <v>168</v>
      </c>
      <c r="D5" s="32"/>
      <c r="E5" s="32">
        <v>55</v>
      </c>
      <c r="F5" s="32"/>
      <c r="G5" s="32"/>
    </row>
    <row r="6" customHeight="1" spans="1:7">
      <c r="A6" s="32">
        <v>3</v>
      </c>
      <c r="B6" s="33" t="s">
        <v>213</v>
      </c>
      <c r="C6" s="33" t="s">
        <v>168</v>
      </c>
      <c r="D6" s="32">
        <v>95</v>
      </c>
      <c r="E6" s="32"/>
      <c r="F6" s="32"/>
      <c r="G6" s="32"/>
    </row>
    <row r="7" customHeight="1" spans="1:7">
      <c r="A7" s="32">
        <v>4</v>
      </c>
      <c r="B7" s="33" t="s">
        <v>212</v>
      </c>
      <c r="C7" s="33" t="s">
        <v>168</v>
      </c>
      <c r="D7" s="32"/>
      <c r="E7" s="32">
        <v>105</v>
      </c>
      <c r="F7" s="32"/>
      <c r="G7" s="32"/>
    </row>
    <row r="8" customHeight="1" spans="1:7">
      <c r="A8" s="32">
        <v>5</v>
      </c>
      <c r="B8" s="33" t="s">
        <v>214</v>
      </c>
      <c r="C8" s="33" t="s">
        <v>168</v>
      </c>
      <c r="D8" s="32"/>
      <c r="E8" s="32">
        <v>115</v>
      </c>
      <c r="F8" s="32"/>
      <c r="G8" s="32"/>
    </row>
    <row r="9" customHeight="1" spans="1:7">
      <c r="A9" s="32">
        <v>6</v>
      </c>
      <c r="B9" s="33" t="s">
        <v>311</v>
      </c>
      <c r="C9" s="33" t="s">
        <v>168</v>
      </c>
      <c r="D9" s="32"/>
      <c r="E9" s="32"/>
      <c r="F9" s="32">
        <v>125</v>
      </c>
      <c r="G9" s="32"/>
    </row>
    <row r="10" customHeight="1" spans="1:7">
      <c r="A10" s="32">
        <v>7</v>
      </c>
      <c r="B10" s="33" t="s">
        <v>312</v>
      </c>
      <c r="C10" s="33" t="s">
        <v>168</v>
      </c>
      <c r="D10" s="32"/>
      <c r="E10" s="32"/>
      <c r="F10" s="32">
        <v>128</v>
      </c>
      <c r="G10" s="32"/>
    </row>
    <row r="11" customHeight="1" spans="1:7">
      <c r="A11" s="32">
        <v>8</v>
      </c>
      <c r="B11" s="33" t="s">
        <v>313</v>
      </c>
      <c r="C11" s="33" t="s">
        <v>168</v>
      </c>
      <c r="D11" s="33">
        <v>125</v>
      </c>
      <c r="E11" s="33"/>
      <c r="F11" s="33"/>
      <c r="G11" s="34"/>
    </row>
    <row r="12" customHeight="1" spans="1:7">
      <c r="A12" s="32">
        <v>9</v>
      </c>
      <c r="B12" s="33" t="s">
        <v>218</v>
      </c>
      <c r="C12" s="33" t="s">
        <v>168</v>
      </c>
      <c r="D12" s="33"/>
      <c r="E12" s="33">
        <v>132</v>
      </c>
      <c r="F12" s="33"/>
      <c r="G12" s="34"/>
    </row>
    <row r="13" customHeight="1" spans="1:7">
      <c r="A13" s="32">
        <v>10</v>
      </c>
      <c r="B13" s="33" t="s">
        <v>201</v>
      </c>
      <c r="C13" s="33" t="s">
        <v>168</v>
      </c>
      <c r="D13" s="33"/>
      <c r="E13" s="35"/>
      <c r="F13" s="33">
        <v>165</v>
      </c>
      <c r="G13" s="34"/>
    </row>
    <row r="14" ht="40" customHeight="1" spans="1:7">
      <c r="A14" s="32">
        <v>11</v>
      </c>
      <c r="B14" s="33" t="s">
        <v>202</v>
      </c>
      <c r="C14" s="33" t="s">
        <v>168</v>
      </c>
      <c r="D14" s="15"/>
      <c r="E14" s="15"/>
      <c r="F14" s="9">
        <v>185</v>
      </c>
      <c r="G14" s="15"/>
    </row>
    <row r="15" ht="40" customHeight="1" spans="1:7">
      <c r="A15" s="32">
        <v>12</v>
      </c>
      <c r="B15" s="33" t="s">
        <v>203</v>
      </c>
      <c r="C15" s="33" t="s">
        <v>168</v>
      </c>
      <c r="D15" s="15"/>
      <c r="E15" s="15"/>
      <c r="F15" s="9">
        <v>265</v>
      </c>
      <c r="G15" s="15"/>
    </row>
    <row r="16" customHeight="1" spans="1:7">
      <c r="A16" s="32">
        <v>13</v>
      </c>
      <c r="B16" s="33" t="s">
        <v>206</v>
      </c>
      <c r="C16" s="33" t="s">
        <v>168</v>
      </c>
      <c r="D16" s="15"/>
      <c r="E16" s="15"/>
      <c r="F16" s="9">
        <v>187</v>
      </c>
      <c r="G16" s="15"/>
    </row>
    <row r="17" customHeight="1" spans="1:7">
      <c r="A17" s="32">
        <v>14</v>
      </c>
      <c r="B17" s="33" t="s">
        <v>207</v>
      </c>
      <c r="C17" s="33" t="s">
        <v>168</v>
      </c>
      <c r="D17" s="15"/>
      <c r="E17" s="15"/>
      <c r="F17" s="9">
        <v>206</v>
      </c>
      <c r="G17" s="15"/>
    </row>
  </sheetData>
  <mergeCells count="2">
    <mergeCell ref="A1:G1"/>
    <mergeCell ref="A2:G2"/>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9"/>
  <sheetViews>
    <sheetView topLeftCell="A84" workbookViewId="0">
      <selection activeCell="A98" sqref="A98"/>
    </sheetView>
  </sheetViews>
  <sheetFormatPr defaultColWidth="9" defaultRowHeight="35" customHeight="1"/>
  <cols>
    <col min="1" max="1" width="7.5" style="1" customWidth="1"/>
    <col min="2" max="2" width="21.25" customWidth="1"/>
    <col min="3" max="3" width="9.84166666666667" customWidth="1"/>
    <col min="4" max="4" width="45.5" customWidth="1"/>
    <col min="5" max="5" width="12.625" style="1" customWidth="1"/>
    <col min="6" max="6" width="8.38333333333333" style="1" customWidth="1"/>
    <col min="7" max="7" width="8.63333333333333" style="1" customWidth="1"/>
    <col min="8" max="8" width="7.75" style="1" customWidth="1"/>
    <col min="9" max="9" width="8.5" style="1" customWidth="1"/>
    <col min="10" max="10" width="9.13333333333333" style="1" customWidth="1"/>
    <col min="11" max="11" width="12.625" style="1" customWidth="1"/>
    <col min="12" max="12" width="17.1833333333333" customWidth="1"/>
    <col min="13" max="13" width="29.125" style="2" customWidth="1"/>
    <col min="14" max="14" width="12.625" customWidth="1"/>
  </cols>
  <sheetData>
    <row r="1" customHeight="1" spans="1:12">
      <c r="A1" s="3" t="s">
        <v>314</v>
      </c>
      <c r="B1" s="3"/>
      <c r="C1" s="3"/>
      <c r="D1" s="3"/>
      <c r="E1" s="3"/>
      <c r="F1" s="3"/>
      <c r="G1" s="3"/>
      <c r="H1" s="3"/>
      <c r="I1" s="3"/>
      <c r="J1" s="3"/>
      <c r="K1" s="3"/>
      <c r="L1" s="3"/>
    </row>
    <row r="2" customHeight="1" spans="1:12">
      <c r="A2" s="4" t="s">
        <v>38</v>
      </c>
      <c r="B2" s="4" t="s">
        <v>81</v>
      </c>
      <c r="C2" s="5" t="s">
        <v>82</v>
      </c>
      <c r="D2" s="5" t="s">
        <v>40</v>
      </c>
      <c r="E2" s="6" t="s">
        <v>315</v>
      </c>
      <c r="F2" s="5" t="s">
        <v>316</v>
      </c>
      <c r="G2" s="5" t="s">
        <v>317</v>
      </c>
      <c r="H2" s="5" t="s">
        <v>318</v>
      </c>
      <c r="I2" s="5" t="s">
        <v>319</v>
      </c>
      <c r="J2" s="5" t="s">
        <v>320</v>
      </c>
      <c r="K2" s="5" t="s">
        <v>83</v>
      </c>
      <c r="L2" s="17" t="s">
        <v>44</v>
      </c>
    </row>
    <row r="3" customHeight="1" spans="1:14">
      <c r="A3" s="7" t="s">
        <v>88</v>
      </c>
      <c r="B3" s="8"/>
      <c r="C3" s="8"/>
      <c r="D3" s="8"/>
      <c r="E3" s="8"/>
      <c r="F3" s="8"/>
      <c r="G3" s="8"/>
      <c r="H3" s="8"/>
      <c r="I3" s="8"/>
      <c r="J3" s="8"/>
      <c r="K3" s="8"/>
      <c r="L3" s="8"/>
      <c r="N3">
        <f t="shared" ref="N3:N19" si="0">K3</f>
        <v>0</v>
      </c>
    </row>
    <row r="4" customHeight="1" outlineLevel="1" spans="1:14">
      <c r="A4" s="9">
        <v>1</v>
      </c>
      <c r="B4" s="10" t="s">
        <v>321</v>
      </c>
      <c r="C4" s="11" t="s">
        <v>322</v>
      </c>
      <c r="D4" s="12" t="s">
        <v>59</v>
      </c>
      <c r="E4" s="13" t="s">
        <v>323</v>
      </c>
      <c r="F4" s="14">
        <v>900</v>
      </c>
      <c r="G4" s="14">
        <v>1400</v>
      </c>
      <c r="H4" s="14">
        <v>900</v>
      </c>
      <c r="I4" s="14">
        <v>1400</v>
      </c>
      <c r="J4" s="9">
        <f>7*3</f>
        <v>21</v>
      </c>
      <c r="K4" s="13">
        <f>J4*G4*F4/1000000</f>
        <v>26.46</v>
      </c>
      <c r="L4" s="18" t="s">
        <v>88</v>
      </c>
      <c r="M4" s="19" t="s">
        <v>324</v>
      </c>
      <c r="N4">
        <f t="shared" si="0"/>
        <v>26.46</v>
      </c>
    </row>
    <row r="5" customHeight="1" outlineLevel="1" spans="1:14">
      <c r="A5" s="9">
        <v>2</v>
      </c>
      <c r="B5" s="10" t="s">
        <v>321</v>
      </c>
      <c r="C5" s="11" t="s">
        <v>322</v>
      </c>
      <c r="D5" s="12" t="s">
        <v>59</v>
      </c>
      <c r="E5" s="13" t="s">
        <v>325</v>
      </c>
      <c r="F5" s="14">
        <v>900</v>
      </c>
      <c r="G5" s="14">
        <v>1400</v>
      </c>
      <c r="H5" s="14">
        <v>900</v>
      </c>
      <c r="I5" s="14">
        <v>1400</v>
      </c>
      <c r="J5" s="9">
        <f>16*3</f>
        <v>48</v>
      </c>
      <c r="K5" s="13">
        <f t="shared" ref="K5:K36" si="1">J5*G5*F5/1000000</f>
        <v>60.48</v>
      </c>
      <c r="L5" s="18" t="s">
        <v>88</v>
      </c>
      <c r="N5">
        <f t="shared" si="0"/>
        <v>60.48</v>
      </c>
    </row>
    <row r="6" customHeight="1" outlineLevel="1" spans="1:14">
      <c r="A6" s="9">
        <v>3</v>
      </c>
      <c r="B6" s="10" t="s">
        <v>321</v>
      </c>
      <c r="C6" s="11" t="s">
        <v>326</v>
      </c>
      <c r="D6" s="12" t="s">
        <v>59</v>
      </c>
      <c r="E6" s="13" t="s">
        <v>323</v>
      </c>
      <c r="F6" s="9">
        <v>600</v>
      </c>
      <c r="G6" s="9">
        <v>1400</v>
      </c>
      <c r="H6" s="9">
        <v>600</v>
      </c>
      <c r="I6" s="9">
        <v>1400</v>
      </c>
      <c r="J6" s="9">
        <f>5+6*7</f>
        <v>47</v>
      </c>
      <c r="K6" s="13">
        <f t="shared" si="1"/>
        <v>39.48</v>
      </c>
      <c r="L6" s="18" t="s">
        <v>88</v>
      </c>
      <c r="M6" s="19" t="s">
        <v>324</v>
      </c>
      <c r="N6">
        <f t="shared" si="0"/>
        <v>39.48</v>
      </c>
    </row>
    <row r="7" customHeight="1" outlineLevel="1" spans="1:14">
      <c r="A7" s="9">
        <v>4</v>
      </c>
      <c r="B7" s="10" t="s">
        <v>321</v>
      </c>
      <c r="C7" s="11" t="s">
        <v>326</v>
      </c>
      <c r="D7" s="12" t="s">
        <v>59</v>
      </c>
      <c r="E7" s="13" t="s">
        <v>325</v>
      </c>
      <c r="F7" s="9">
        <v>600</v>
      </c>
      <c r="G7" s="9">
        <v>1400</v>
      </c>
      <c r="H7" s="9">
        <v>600</v>
      </c>
      <c r="I7" s="9">
        <v>1400</v>
      </c>
      <c r="J7" s="9">
        <f>16*7</f>
        <v>112</v>
      </c>
      <c r="K7" s="13">
        <f t="shared" si="1"/>
        <v>94.08</v>
      </c>
      <c r="L7" s="18" t="s">
        <v>88</v>
      </c>
      <c r="N7">
        <f t="shared" si="0"/>
        <v>94.08</v>
      </c>
    </row>
    <row r="8" customHeight="1" outlineLevel="1" spans="1:14">
      <c r="A8" s="9">
        <v>5</v>
      </c>
      <c r="B8" s="10" t="s">
        <v>321</v>
      </c>
      <c r="C8" s="11" t="s">
        <v>327</v>
      </c>
      <c r="D8" s="12" t="s">
        <v>59</v>
      </c>
      <c r="E8" s="13" t="s">
        <v>323</v>
      </c>
      <c r="F8" s="9">
        <v>500</v>
      </c>
      <c r="G8" s="9">
        <v>1400</v>
      </c>
      <c r="H8" s="9">
        <v>500</v>
      </c>
      <c r="I8" s="9">
        <v>1400</v>
      </c>
      <c r="J8" s="9">
        <v>7</v>
      </c>
      <c r="K8" s="13">
        <f t="shared" si="1"/>
        <v>4.9</v>
      </c>
      <c r="L8" s="18" t="s">
        <v>88</v>
      </c>
      <c r="M8" s="19" t="s">
        <v>324</v>
      </c>
      <c r="N8">
        <f t="shared" si="0"/>
        <v>4.9</v>
      </c>
    </row>
    <row r="9" customHeight="1" outlineLevel="1" spans="1:14">
      <c r="A9" s="9">
        <v>6</v>
      </c>
      <c r="B9" s="10" t="s">
        <v>321</v>
      </c>
      <c r="C9" s="11" t="s">
        <v>327</v>
      </c>
      <c r="D9" s="12" t="s">
        <v>59</v>
      </c>
      <c r="E9" s="13" t="s">
        <v>325</v>
      </c>
      <c r="F9" s="9">
        <v>500</v>
      </c>
      <c r="G9" s="9">
        <v>1400</v>
      </c>
      <c r="H9" s="9">
        <v>500</v>
      </c>
      <c r="I9" s="9">
        <v>1400</v>
      </c>
      <c r="J9" s="9">
        <v>16</v>
      </c>
      <c r="K9" s="13">
        <f t="shared" si="1"/>
        <v>11.2</v>
      </c>
      <c r="L9" s="18" t="s">
        <v>88</v>
      </c>
      <c r="N9">
        <f t="shared" si="0"/>
        <v>11.2</v>
      </c>
    </row>
    <row r="10" customHeight="1" outlineLevel="1" spans="1:14">
      <c r="A10" s="9">
        <v>7</v>
      </c>
      <c r="B10" s="10" t="s">
        <v>321</v>
      </c>
      <c r="C10" s="11" t="s">
        <v>328</v>
      </c>
      <c r="D10" s="12" t="s">
        <v>59</v>
      </c>
      <c r="E10" s="13" t="s">
        <v>323</v>
      </c>
      <c r="F10" s="9">
        <v>550</v>
      </c>
      <c r="G10" s="9">
        <v>1400</v>
      </c>
      <c r="H10" s="9">
        <v>550</v>
      </c>
      <c r="I10" s="9">
        <v>1400</v>
      </c>
      <c r="J10" s="9">
        <v>7</v>
      </c>
      <c r="K10" s="13">
        <f t="shared" si="1"/>
        <v>5.39</v>
      </c>
      <c r="L10" s="18" t="s">
        <v>88</v>
      </c>
      <c r="M10" s="19" t="s">
        <v>324</v>
      </c>
      <c r="N10">
        <f t="shared" si="0"/>
        <v>5.39</v>
      </c>
    </row>
    <row r="11" customHeight="1" outlineLevel="1" spans="1:14">
      <c r="A11" s="9">
        <v>8</v>
      </c>
      <c r="B11" s="10" t="s">
        <v>321</v>
      </c>
      <c r="C11" s="11" t="s">
        <v>328</v>
      </c>
      <c r="D11" s="12" t="s">
        <v>59</v>
      </c>
      <c r="E11" s="13" t="s">
        <v>325</v>
      </c>
      <c r="F11" s="9">
        <v>550</v>
      </c>
      <c r="G11" s="9">
        <v>1400</v>
      </c>
      <c r="H11" s="9">
        <v>550</v>
      </c>
      <c r="I11" s="9">
        <v>1400</v>
      </c>
      <c r="J11" s="9">
        <v>16</v>
      </c>
      <c r="K11" s="13">
        <f t="shared" si="1"/>
        <v>12.32</v>
      </c>
      <c r="L11" s="18" t="s">
        <v>88</v>
      </c>
      <c r="N11">
        <f t="shared" si="0"/>
        <v>12.32</v>
      </c>
    </row>
    <row r="12" customHeight="1" outlineLevel="1" spans="1:15">
      <c r="A12" s="9">
        <v>9</v>
      </c>
      <c r="B12" s="10" t="s">
        <v>329</v>
      </c>
      <c r="C12" s="11" t="s">
        <v>330</v>
      </c>
      <c r="D12" s="12" t="s">
        <v>53</v>
      </c>
      <c r="E12" s="13" t="s">
        <v>323</v>
      </c>
      <c r="F12" s="14">
        <v>900</v>
      </c>
      <c r="G12" s="9">
        <v>1400</v>
      </c>
      <c r="H12" s="14">
        <v>900</v>
      </c>
      <c r="I12" s="9">
        <v>1400</v>
      </c>
      <c r="J12" s="9">
        <f>4*7</f>
        <v>28</v>
      </c>
      <c r="K12" s="13">
        <f t="shared" si="1"/>
        <v>35.28</v>
      </c>
      <c r="L12" s="18" t="s">
        <v>88</v>
      </c>
      <c r="M12" s="19" t="s">
        <v>331</v>
      </c>
      <c r="N12">
        <f t="shared" si="0"/>
        <v>35.28</v>
      </c>
      <c r="O12" t="e">
        <f>#REF!+#REF!+K12+K44+#REF!+#REF!+K75+#REF!</f>
        <v>#REF!</v>
      </c>
    </row>
    <row r="13" customHeight="1" outlineLevel="1" spans="1:14">
      <c r="A13" s="9">
        <v>10</v>
      </c>
      <c r="B13" s="10" t="s">
        <v>329</v>
      </c>
      <c r="C13" s="11" t="s">
        <v>330</v>
      </c>
      <c r="D13" s="12" t="s">
        <v>53</v>
      </c>
      <c r="E13" s="13" t="s">
        <v>325</v>
      </c>
      <c r="F13" s="14">
        <v>900</v>
      </c>
      <c r="G13" s="9">
        <v>1400</v>
      </c>
      <c r="H13" s="14">
        <v>900</v>
      </c>
      <c r="I13" s="9">
        <v>1400</v>
      </c>
      <c r="J13" s="9">
        <f>4*16</f>
        <v>64</v>
      </c>
      <c r="K13" s="13">
        <f t="shared" si="1"/>
        <v>80.64</v>
      </c>
      <c r="L13" s="18" t="s">
        <v>88</v>
      </c>
      <c r="N13">
        <f t="shared" si="0"/>
        <v>80.64</v>
      </c>
    </row>
    <row r="14" customHeight="1" outlineLevel="1" spans="1:14">
      <c r="A14" s="9">
        <v>11</v>
      </c>
      <c r="B14" s="10" t="s">
        <v>329</v>
      </c>
      <c r="C14" s="11" t="s">
        <v>332</v>
      </c>
      <c r="D14" s="12" t="s">
        <v>53</v>
      </c>
      <c r="E14" s="13" t="s">
        <v>323</v>
      </c>
      <c r="F14" s="14">
        <v>600</v>
      </c>
      <c r="G14" s="14">
        <v>1400</v>
      </c>
      <c r="H14" s="14">
        <v>600</v>
      </c>
      <c r="I14" s="14">
        <v>1400</v>
      </c>
      <c r="J14" s="9">
        <f>2+6*3</f>
        <v>20</v>
      </c>
      <c r="K14" s="13">
        <f t="shared" si="1"/>
        <v>16.8</v>
      </c>
      <c r="L14" s="18" t="s">
        <v>88</v>
      </c>
      <c r="M14" s="19" t="s">
        <v>331</v>
      </c>
      <c r="N14">
        <f t="shared" si="0"/>
        <v>16.8</v>
      </c>
    </row>
    <row r="15" customHeight="1" outlineLevel="1" spans="1:14">
      <c r="A15" s="9">
        <v>12</v>
      </c>
      <c r="B15" s="10" t="s">
        <v>329</v>
      </c>
      <c r="C15" s="11" t="s">
        <v>332</v>
      </c>
      <c r="D15" s="12" t="s">
        <v>53</v>
      </c>
      <c r="E15" s="13" t="s">
        <v>325</v>
      </c>
      <c r="F15" s="14">
        <v>600</v>
      </c>
      <c r="G15" s="14">
        <v>1400</v>
      </c>
      <c r="H15" s="14">
        <v>600</v>
      </c>
      <c r="I15" s="14">
        <v>1400</v>
      </c>
      <c r="J15" s="9">
        <f>16*3</f>
        <v>48</v>
      </c>
      <c r="K15" s="13">
        <f t="shared" si="1"/>
        <v>40.32</v>
      </c>
      <c r="L15" s="18" t="s">
        <v>88</v>
      </c>
      <c r="N15">
        <f t="shared" si="0"/>
        <v>40.32</v>
      </c>
    </row>
    <row r="16" ht="52" customHeight="1" outlineLevel="1" spans="1:14">
      <c r="A16" s="9">
        <v>13</v>
      </c>
      <c r="B16" s="10" t="s">
        <v>333</v>
      </c>
      <c r="C16" s="11" t="s">
        <v>334</v>
      </c>
      <c r="D16" s="12" t="s">
        <v>73</v>
      </c>
      <c r="E16" s="9" t="s">
        <v>335</v>
      </c>
      <c r="F16" s="9">
        <v>1500</v>
      </c>
      <c r="G16" s="9">
        <v>1400</v>
      </c>
      <c r="H16" s="9">
        <v>1500</v>
      </c>
      <c r="I16" s="9">
        <v>1400</v>
      </c>
      <c r="J16" s="9">
        <v>22</v>
      </c>
      <c r="K16" s="13">
        <f t="shared" si="1"/>
        <v>46.2</v>
      </c>
      <c r="L16" s="18" t="s">
        <v>88</v>
      </c>
      <c r="N16">
        <f t="shared" si="0"/>
        <v>46.2</v>
      </c>
    </row>
    <row r="17" ht="59" customHeight="1" outlineLevel="1" spans="1:14">
      <c r="A17" s="9">
        <v>14</v>
      </c>
      <c r="B17" s="10" t="s">
        <v>333</v>
      </c>
      <c r="C17" s="11" t="s">
        <v>336</v>
      </c>
      <c r="D17" s="12" t="s">
        <v>337</v>
      </c>
      <c r="E17" s="14" t="s">
        <v>338</v>
      </c>
      <c r="F17" s="9">
        <v>2100</v>
      </c>
      <c r="G17" s="9">
        <v>2100</v>
      </c>
      <c r="H17" s="9">
        <v>2100</v>
      </c>
      <c r="I17" s="9">
        <v>2100</v>
      </c>
      <c r="J17" s="9">
        <v>138</v>
      </c>
      <c r="K17" s="13">
        <f t="shared" si="1"/>
        <v>608.58</v>
      </c>
      <c r="L17" s="18" t="s">
        <v>88</v>
      </c>
      <c r="N17">
        <f t="shared" si="0"/>
        <v>608.58</v>
      </c>
    </row>
    <row r="18" customHeight="1" outlineLevel="1" spans="1:14">
      <c r="A18" s="9">
        <v>15</v>
      </c>
      <c r="B18" s="10" t="s">
        <v>329</v>
      </c>
      <c r="C18" s="11" t="s">
        <v>334</v>
      </c>
      <c r="D18" s="12" t="s">
        <v>53</v>
      </c>
      <c r="E18" s="9" t="s">
        <v>323</v>
      </c>
      <c r="F18" s="9">
        <v>1500</v>
      </c>
      <c r="G18" s="9">
        <v>1400</v>
      </c>
      <c r="H18" s="9">
        <v>1500</v>
      </c>
      <c r="I18" s="9">
        <v>1400</v>
      </c>
      <c r="J18" s="9">
        <f>2*7</f>
        <v>14</v>
      </c>
      <c r="K18" s="13">
        <f t="shared" si="1"/>
        <v>29.4</v>
      </c>
      <c r="L18" s="18" t="s">
        <v>88</v>
      </c>
      <c r="M18" s="19" t="s">
        <v>331</v>
      </c>
      <c r="N18">
        <f t="shared" si="0"/>
        <v>29.4</v>
      </c>
    </row>
    <row r="19" customHeight="1" outlineLevel="1" spans="1:14">
      <c r="A19" s="9">
        <v>16</v>
      </c>
      <c r="B19" s="10" t="s">
        <v>329</v>
      </c>
      <c r="C19" s="11" t="s">
        <v>334</v>
      </c>
      <c r="D19" s="12" t="s">
        <v>53</v>
      </c>
      <c r="E19" s="14" t="s">
        <v>325</v>
      </c>
      <c r="F19" s="9">
        <v>1500</v>
      </c>
      <c r="G19" s="9">
        <v>1400</v>
      </c>
      <c r="H19" s="9">
        <v>1500</v>
      </c>
      <c r="I19" s="9">
        <v>1400</v>
      </c>
      <c r="J19" s="9">
        <f>2*16</f>
        <v>32</v>
      </c>
      <c r="K19" s="13">
        <f t="shared" si="1"/>
        <v>67.2</v>
      </c>
      <c r="L19" s="18" t="s">
        <v>88</v>
      </c>
      <c r="N19">
        <f t="shared" si="0"/>
        <v>67.2</v>
      </c>
    </row>
    <row r="20" customHeight="1" outlineLevel="1" spans="1:14">
      <c r="A20" s="9">
        <v>17</v>
      </c>
      <c r="B20" s="10" t="s">
        <v>329</v>
      </c>
      <c r="C20" s="11" t="s">
        <v>339</v>
      </c>
      <c r="D20" s="12" t="s">
        <v>55</v>
      </c>
      <c r="E20" s="9" t="s">
        <v>340</v>
      </c>
      <c r="F20" s="13">
        <v>4900</v>
      </c>
      <c r="G20" s="13">
        <v>2100</v>
      </c>
      <c r="H20" s="13">
        <v>4900</v>
      </c>
      <c r="I20" s="13">
        <v>2100</v>
      </c>
      <c r="J20" s="9">
        <v>6</v>
      </c>
      <c r="K20" s="13">
        <f t="shared" si="1"/>
        <v>61.74</v>
      </c>
      <c r="L20" s="18" t="s">
        <v>88</v>
      </c>
      <c r="M20" s="19" t="s">
        <v>113</v>
      </c>
      <c r="N20">
        <f t="shared" ref="N20:N83" si="2">K20</f>
        <v>61.74</v>
      </c>
    </row>
    <row r="21" ht="53" customHeight="1" outlineLevel="1" spans="1:14">
      <c r="A21" s="9">
        <v>18</v>
      </c>
      <c r="B21" s="10" t="s">
        <v>329</v>
      </c>
      <c r="C21" s="11" t="s">
        <v>339</v>
      </c>
      <c r="D21" s="12" t="s">
        <v>55</v>
      </c>
      <c r="E21" s="14" t="s">
        <v>325</v>
      </c>
      <c r="F21" s="13">
        <v>4900</v>
      </c>
      <c r="G21" s="13">
        <v>2100</v>
      </c>
      <c r="H21" s="13">
        <v>4900</v>
      </c>
      <c r="I21" s="13">
        <v>2100</v>
      </c>
      <c r="J21" s="9">
        <v>16</v>
      </c>
      <c r="K21" s="13">
        <f t="shared" si="1"/>
        <v>164.64</v>
      </c>
      <c r="L21" s="18" t="s">
        <v>88</v>
      </c>
      <c r="N21">
        <f t="shared" si="2"/>
        <v>164.64</v>
      </c>
    </row>
    <row r="22" customHeight="1" outlineLevel="1" spans="1:14">
      <c r="A22" s="9">
        <v>19</v>
      </c>
      <c r="B22" s="10" t="s">
        <v>329</v>
      </c>
      <c r="C22" s="11" t="s">
        <v>341</v>
      </c>
      <c r="D22" s="12" t="s">
        <v>53</v>
      </c>
      <c r="E22" s="13" t="s">
        <v>340</v>
      </c>
      <c r="F22" s="9">
        <v>1500</v>
      </c>
      <c r="G22" s="9">
        <v>2100</v>
      </c>
      <c r="H22" s="9">
        <v>1500</v>
      </c>
      <c r="I22" s="9">
        <v>2100</v>
      </c>
      <c r="J22" s="9">
        <v>6</v>
      </c>
      <c r="K22" s="13">
        <f t="shared" si="1"/>
        <v>18.9</v>
      </c>
      <c r="L22" s="18" t="s">
        <v>88</v>
      </c>
      <c r="M22" s="19" t="s">
        <v>331</v>
      </c>
      <c r="N22">
        <f t="shared" si="2"/>
        <v>18.9</v>
      </c>
    </row>
    <row r="23" customHeight="1" outlineLevel="1" spans="1:14">
      <c r="A23" s="9">
        <v>20</v>
      </c>
      <c r="B23" s="10" t="s">
        <v>329</v>
      </c>
      <c r="C23" s="11" t="s">
        <v>341</v>
      </c>
      <c r="D23" s="12" t="s">
        <v>53</v>
      </c>
      <c r="E23" s="13" t="s">
        <v>325</v>
      </c>
      <c r="F23" s="9">
        <v>1500</v>
      </c>
      <c r="G23" s="9">
        <v>2100</v>
      </c>
      <c r="H23" s="9">
        <v>1500</v>
      </c>
      <c r="I23" s="9">
        <v>2100</v>
      </c>
      <c r="J23" s="9">
        <v>16</v>
      </c>
      <c r="K23" s="13">
        <f t="shared" si="1"/>
        <v>50.4</v>
      </c>
      <c r="L23" s="18" t="s">
        <v>88</v>
      </c>
      <c r="N23">
        <f t="shared" si="2"/>
        <v>50.4</v>
      </c>
    </row>
    <row r="24" customHeight="1" outlineLevel="1" spans="1:14">
      <c r="A24" s="9">
        <v>21</v>
      </c>
      <c r="B24" s="10" t="s">
        <v>123</v>
      </c>
      <c r="C24" s="11" t="s">
        <v>342</v>
      </c>
      <c r="D24" s="12" t="s">
        <v>57</v>
      </c>
      <c r="E24" s="9" t="s">
        <v>343</v>
      </c>
      <c r="F24" s="9">
        <v>1200</v>
      </c>
      <c r="G24" s="9">
        <v>1400</v>
      </c>
      <c r="H24" s="9">
        <v>1200</v>
      </c>
      <c r="I24" s="9">
        <v>1400</v>
      </c>
      <c r="J24" s="9">
        <v>48</v>
      </c>
      <c r="K24" s="13">
        <f t="shared" si="1"/>
        <v>80.64</v>
      </c>
      <c r="L24" s="18" t="s">
        <v>88</v>
      </c>
      <c r="M24" s="12" t="s">
        <v>57</v>
      </c>
      <c r="N24">
        <f t="shared" si="2"/>
        <v>80.64</v>
      </c>
    </row>
    <row r="25" customHeight="1" outlineLevel="1" spans="1:14">
      <c r="A25" s="9">
        <v>22</v>
      </c>
      <c r="B25" s="10" t="s">
        <v>344</v>
      </c>
      <c r="C25" s="11" t="s">
        <v>345</v>
      </c>
      <c r="D25" s="12" t="s">
        <v>52</v>
      </c>
      <c r="E25" s="9" t="s">
        <v>346</v>
      </c>
      <c r="F25" s="9">
        <v>1200</v>
      </c>
      <c r="G25" s="9">
        <v>1400</v>
      </c>
      <c r="H25" s="9">
        <v>1200</v>
      </c>
      <c r="I25" s="9">
        <v>1400</v>
      </c>
      <c r="J25" s="9">
        <v>2</v>
      </c>
      <c r="K25" s="13">
        <f t="shared" si="1"/>
        <v>3.36</v>
      </c>
      <c r="L25" s="18" t="s">
        <v>88</v>
      </c>
      <c r="M25" s="12" t="s">
        <v>347</v>
      </c>
      <c r="N25">
        <f t="shared" si="2"/>
        <v>3.36</v>
      </c>
    </row>
    <row r="26" customHeight="1" outlineLevel="1" spans="1:14">
      <c r="A26" s="9">
        <v>23</v>
      </c>
      <c r="B26" s="10" t="s">
        <v>344</v>
      </c>
      <c r="C26" s="11" t="s">
        <v>348</v>
      </c>
      <c r="D26" s="12" t="s">
        <v>52</v>
      </c>
      <c r="E26" s="9" t="s">
        <v>349</v>
      </c>
      <c r="F26" s="9">
        <v>1800</v>
      </c>
      <c r="G26" s="9">
        <v>1700</v>
      </c>
      <c r="H26" s="9">
        <v>1800</v>
      </c>
      <c r="I26" s="9">
        <v>1700</v>
      </c>
      <c r="J26" s="9">
        <v>24</v>
      </c>
      <c r="K26" s="13">
        <f t="shared" si="1"/>
        <v>73.44</v>
      </c>
      <c r="L26" s="18" t="s">
        <v>88</v>
      </c>
      <c r="M26" s="12" t="s">
        <v>347</v>
      </c>
      <c r="N26">
        <f t="shared" si="2"/>
        <v>73.44</v>
      </c>
    </row>
    <row r="27" customHeight="1" outlineLevel="1" spans="1:14">
      <c r="A27" s="9">
        <v>24</v>
      </c>
      <c r="B27" s="10" t="s">
        <v>344</v>
      </c>
      <c r="C27" s="11" t="s">
        <v>350</v>
      </c>
      <c r="D27" s="12" t="s">
        <v>52</v>
      </c>
      <c r="E27" s="9" t="s">
        <v>343</v>
      </c>
      <c r="F27" s="9">
        <v>1500</v>
      </c>
      <c r="G27" s="9">
        <v>1400</v>
      </c>
      <c r="H27" s="9">
        <v>1500</v>
      </c>
      <c r="I27" s="9">
        <v>1400</v>
      </c>
      <c r="J27" s="9">
        <v>23</v>
      </c>
      <c r="K27" s="13">
        <f t="shared" si="1"/>
        <v>48.3</v>
      </c>
      <c r="L27" s="18" t="s">
        <v>88</v>
      </c>
      <c r="M27" s="12" t="s">
        <v>347</v>
      </c>
      <c r="N27">
        <f t="shared" si="2"/>
        <v>48.3</v>
      </c>
    </row>
    <row r="28" customHeight="1" outlineLevel="1" spans="1:14">
      <c r="A28" s="9">
        <v>25</v>
      </c>
      <c r="B28" s="10" t="s">
        <v>344</v>
      </c>
      <c r="C28" s="11" t="s">
        <v>351</v>
      </c>
      <c r="D28" s="12" t="s">
        <v>52</v>
      </c>
      <c r="E28" s="13" t="s">
        <v>340</v>
      </c>
      <c r="F28" s="9">
        <v>900</v>
      </c>
      <c r="G28" s="9">
        <v>1400</v>
      </c>
      <c r="H28" s="9">
        <v>900</v>
      </c>
      <c r="I28" s="9">
        <v>1400</v>
      </c>
      <c r="J28" s="9">
        <f>6*2</f>
        <v>12</v>
      </c>
      <c r="K28" s="13">
        <f t="shared" si="1"/>
        <v>15.12</v>
      </c>
      <c r="L28" s="18" t="s">
        <v>88</v>
      </c>
      <c r="M28" s="19" t="s">
        <v>347</v>
      </c>
      <c r="N28">
        <f t="shared" si="2"/>
        <v>15.12</v>
      </c>
    </row>
    <row r="29" customHeight="1" outlineLevel="1" spans="1:14">
      <c r="A29" s="9">
        <v>26</v>
      </c>
      <c r="B29" s="10" t="s">
        <v>344</v>
      </c>
      <c r="C29" s="11" t="s">
        <v>351</v>
      </c>
      <c r="D29" s="12" t="s">
        <v>52</v>
      </c>
      <c r="E29" s="13" t="s">
        <v>325</v>
      </c>
      <c r="F29" s="9">
        <v>900</v>
      </c>
      <c r="G29" s="9">
        <v>1400</v>
      </c>
      <c r="H29" s="9">
        <v>900</v>
      </c>
      <c r="I29" s="9">
        <v>1400</v>
      </c>
      <c r="J29" s="9">
        <f>17*2</f>
        <v>34</v>
      </c>
      <c r="K29" s="13">
        <f t="shared" si="1"/>
        <v>42.84</v>
      </c>
      <c r="L29" s="18" t="s">
        <v>88</v>
      </c>
      <c r="N29">
        <f t="shared" si="2"/>
        <v>42.84</v>
      </c>
    </row>
    <row r="30" customHeight="1" outlineLevel="1" spans="1:14">
      <c r="A30" s="9">
        <v>27</v>
      </c>
      <c r="B30" s="10" t="s">
        <v>100</v>
      </c>
      <c r="C30" s="15" t="s">
        <v>352</v>
      </c>
      <c r="D30" s="12" t="s">
        <v>50</v>
      </c>
      <c r="E30" s="9" t="s">
        <v>338</v>
      </c>
      <c r="F30" s="9">
        <v>500</v>
      </c>
      <c r="G30" s="9">
        <v>1000</v>
      </c>
      <c r="H30" s="9">
        <v>500</v>
      </c>
      <c r="I30" s="9">
        <v>1000</v>
      </c>
      <c r="J30" s="9">
        <v>276</v>
      </c>
      <c r="K30" s="13">
        <f t="shared" si="1"/>
        <v>138</v>
      </c>
      <c r="L30" s="18" t="s">
        <v>88</v>
      </c>
      <c r="N30">
        <f t="shared" si="2"/>
        <v>138</v>
      </c>
    </row>
    <row r="31" customHeight="1" outlineLevel="1" spans="1:14">
      <c r="A31" s="9">
        <v>28</v>
      </c>
      <c r="B31" s="11" t="s">
        <v>132</v>
      </c>
      <c r="C31" s="16" t="s">
        <v>353</v>
      </c>
      <c r="D31" s="12" t="s">
        <v>69</v>
      </c>
      <c r="E31" s="14" t="s">
        <v>338</v>
      </c>
      <c r="F31" s="9">
        <v>1600</v>
      </c>
      <c r="G31" s="9">
        <v>2300</v>
      </c>
      <c r="H31" s="9">
        <v>1600</v>
      </c>
      <c r="I31" s="9">
        <v>2300</v>
      </c>
      <c r="J31" s="9">
        <v>160</v>
      </c>
      <c r="K31" s="13">
        <f t="shared" si="1"/>
        <v>588.8</v>
      </c>
      <c r="L31" s="18" t="s">
        <v>88</v>
      </c>
      <c r="M31" s="19" t="s">
        <v>354</v>
      </c>
      <c r="N31">
        <f t="shared" si="2"/>
        <v>588.8</v>
      </c>
    </row>
    <row r="32" customHeight="1" outlineLevel="1" spans="1:14">
      <c r="A32" s="9">
        <v>29</v>
      </c>
      <c r="B32" s="11" t="s">
        <v>132</v>
      </c>
      <c r="C32" s="16" t="s">
        <v>355</v>
      </c>
      <c r="D32" s="12" t="s">
        <v>70</v>
      </c>
      <c r="E32" s="14" t="s">
        <v>338</v>
      </c>
      <c r="F32" s="9">
        <v>2100</v>
      </c>
      <c r="G32" s="9">
        <v>2300</v>
      </c>
      <c r="H32" s="9">
        <v>2100</v>
      </c>
      <c r="I32" s="9">
        <v>2300</v>
      </c>
      <c r="J32" s="9">
        <v>182</v>
      </c>
      <c r="K32" s="13">
        <f t="shared" si="1"/>
        <v>879.06</v>
      </c>
      <c r="L32" s="18" t="s">
        <v>88</v>
      </c>
      <c r="M32" s="19" t="s">
        <v>356</v>
      </c>
      <c r="N32">
        <f t="shared" si="2"/>
        <v>879.06</v>
      </c>
    </row>
    <row r="33" customHeight="1" outlineLevel="1" spans="1:14">
      <c r="A33" s="9">
        <v>30</v>
      </c>
      <c r="B33" s="11" t="s">
        <v>127</v>
      </c>
      <c r="C33" s="16" t="s">
        <v>357</v>
      </c>
      <c r="D33" s="12" t="s">
        <v>65</v>
      </c>
      <c r="E33" s="14" t="s">
        <v>338</v>
      </c>
      <c r="F33" s="9">
        <v>1200</v>
      </c>
      <c r="G33" s="9">
        <v>2300</v>
      </c>
      <c r="H33" s="9">
        <v>1200</v>
      </c>
      <c r="I33" s="9">
        <v>2300</v>
      </c>
      <c r="J33" s="9">
        <v>92</v>
      </c>
      <c r="K33" s="13">
        <f t="shared" si="1"/>
        <v>253.92</v>
      </c>
      <c r="L33" s="18" t="s">
        <v>88</v>
      </c>
      <c r="N33">
        <f t="shared" si="2"/>
        <v>253.92</v>
      </c>
    </row>
    <row r="34" customHeight="1" outlineLevel="1" spans="1:14">
      <c r="A34" s="9">
        <v>31</v>
      </c>
      <c r="B34" s="11" t="s">
        <v>217</v>
      </c>
      <c r="C34" s="11" t="s">
        <v>140</v>
      </c>
      <c r="D34" s="12" t="s">
        <v>358</v>
      </c>
      <c r="E34" s="14">
        <v>1</v>
      </c>
      <c r="F34" s="14">
        <v>11400</v>
      </c>
      <c r="G34" s="14">
        <v>4000</v>
      </c>
      <c r="H34" s="14">
        <v>11400</v>
      </c>
      <c r="I34" s="14">
        <v>4000</v>
      </c>
      <c r="J34" s="9">
        <v>1</v>
      </c>
      <c r="K34" s="13">
        <f t="shared" si="1"/>
        <v>45.6</v>
      </c>
      <c r="L34" s="18" t="s">
        <v>88</v>
      </c>
      <c r="N34">
        <f t="shared" si="2"/>
        <v>45.6</v>
      </c>
    </row>
    <row r="35" customHeight="1" outlineLevel="1" spans="1:14">
      <c r="A35" s="9">
        <v>32</v>
      </c>
      <c r="B35" s="11" t="s">
        <v>217</v>
      </c>
      <c r="C35" s="11" t="s">
        <v>140</v>
      </c>
      <c r="D35" s="12" t="s">
        <v>358</v>
      </c>
      <c r="E35" s="14">
        <v>1</v>
      </c>
      <c r="F35" s="14">
        <v>14600</v>
      </c>
      <c r="G35" s="14">
        <v>4000</v>
      </c>
      <c r="H35" s="14">
        <v>14600</v>
      </c>
      <c r="I35" s="14">
        <v>4000</v>
      </c>
      <c r="J35" s="9">
        <v>1</v>
      </c>
      <c r="K35" s="13">
        <f t="shared" si="1"/>
        <v>58.4</v>
      </c>
      <c r="L35" s="18" t="s">
        <v>88</v>
      </c>
      <c r="N35">
        <f t="shared" si="2"/>
        <v>58.4</v>
      </c>
    </row>
    <row r="36" customHeight="1" outlineLevel="1" spans="1:14">
      <c r="A36" s="9">
        <v>33</v>
      </c>
      <c r="B36" s="11" t="s">
        <v>217</v>
      </c>
      <c r="C36" s="11" t="s">
        <v>140</v>
      </c>
      <c r="D36" s="12" t="s">
        <v>358</v>
      </c>
      <c r="E36" s="14">
        <v>1</v>
      </c>
      <c r="F36" s="14">
        <v>30825</v>
      </c>
      <c r="G36" s="14">
        <v>4000</v>
      </c>
      <c r="H36" s="14">
        <v>30825</v>
      </c>
      <c r="I36" s="14">
        <v>4000</v>
      </c>
      <c r="J36" s="9">
        <v>1</v>
      </c>
      <c r="K36" s="13">
        <f t="shared" si="1"/>
        <v>123.3</v>
      </c>
      <c r="L36" s="18" t="s">
        <v>88</v>
      </c>
      <c r="N36">
        <f t="shared" si="2"/>
        <v>123.3</v>
      </c>
    </row>
    <row r="37" customHeight="1" spans="1:14">
      <c r="A37" s="7" t="s">
        <v>89</v>
      </c>
      <c r="B37" s="8"/>
      <c r="C37" s="8"/>
      <c r="D37" s="8"/>
      <c r="E37" s="8"/>
      <c r="F37" s="8"/>
      <c r="G37" s="8"/>
      <c r="H37" s="8"/>
      <c r="I37" s="8"/>
      <c r="J37" s="8"/>
      <c r="K37" s="8"/>
      <c r="L37" s="8"/>
      <c r="N37">
        <f t="shared" si="2"/>
        <v>0</v>
      </c>
    </row>
    <row r="38" customHeight="1" spans="1:14">
      <c r="A38" s="9">
        <v>34</v>
      </c>
      <c r="B38" s="10" t="s">
        <v>321</v>
      </c>
      <c r="C38" s="11" t="s">
        <v>322</v>
      </c>
      <c r="D38" s="12" t="s">
        <v>59</v>
      </c>
      <c r="E38" s="13" t="s">
        <v>323</v>
      </c>
      <c r="F38" s="14">
        <v>500</v>
      </c>
      <c r="G38" s="9">
        <v>1450</v>
      </c>
      <c r="H38" s="14">
        <v>500</v>
      </c>
      <c r="I38" s="9">
        <v>1450</v>
      </c>
      <c r="J38" s="9">
        <f>3*7</f>
        <v>21</v>
      </c>
      <c r="K38" s="13">
        <f>J38*G38*F38/1000000</f>
        <v>15.225</v>
      </c>
      <c r="L38" s="18" t="s">
        <v>89</v>
      </c>
      <c r="M38" s="19" t="s">
        <v>324</v>
      </c>
      <c r="N38">
        <f t="shared" si="2"/>
        <v>15.225</v>
      </c>
    </row>
    <row r="39" customHeight="1" spans="1:14">
      <c r="A39" s="9">
        <v>35</v>
      </c>
      <c r="B39" s="10" t="s">
        <v>321</v>
      </c>
      <c r="C39" s="11" t="s">
        <v>322</v>
      </c>
      <c r="D39" s="12" t="s">
        <v>59</v>
      </c>
      <c r="E39" s="13" t="s">
        <v>359</v>
      </c>
      <c r="F39" s="14">
        <v>500</v>
      </c>
      <c r="G39" s="9">
        <v>1450</v>
      </c>
      <c r="H39" s="14">
        <v>500</v>
      </c>
      <c r="I39" s="9">
        <v>1450</v>
      </c>
      <c r="J39" s="9">
        <f>6*3</f>
        <v>18</v>
      </c>
      <c r="K39" s="13">
        <f>J39*G39*F39/1000000</f>
        <v>13.05</v>
      </c>
      <c r="L39" s="18" t="s">
        <v>89</v>
      </c>
      <c r="N39">
        <f t="shared" si="2"/>
        <v>13.05</v>
      </c>
    </row>
    <row r="40" customHeight="1" spans="1:14">
      <c r="A40" s="9">
        <v>36</v>
      </c>
      <c r="B40" s="10" t="s">
        <v>321</v>
      </c>
      <c r="C40" s="11" t="s">
        <v>330</v>
      </c>
      <c r="D40" s="12" t="s">
        <v>59</v>
      </c>
      <c r="E40" s="13" t="s">
        <v>323</v>
      </c>
      <c r="F40" s="9">
        <v>600</v>
      </c>
      <c r="G40" s="9">
        <v>1450</v>
      </c>
      <c r="H40" s="9">
        <v>600</v>
      </c>
      <c r="I40" s="9">
        <v>1450</v>
      </c>
      <c r="J40" s="9">
        <f>7*2</f>
        <v>14</v>
      </c>
      <c r="K40" s="13">
        <f>J40*G40*F40/1000000</f>
        <v>12.18</v>
      </c>
      <c r="L40" s="18" t="s">
        <v>89</v>
      </c>
      <c r="M40" s="19" t="s">
        <v>324</v>
      </c>
      <c r="N40">
        <f t="shared" si="2"/>
        <v>12.18</v>
      </c>
    </row>
    <row r="41" customHeight="1" spans="1:14">
      <c r="A41" s="9">
        <v>37</v>
      </c>
      <c r="B41" s="10" t="s">
        <v>321</v>
      </c>
      <c r="C41" s="11" t="s">
        <v>330</v>
      </c>
      <c r="D41" s="12" t="s">
        <v>59</v>
      </c>
      <c r="E41" s="13" t="s">
        <v>359</v>
      </c>
      <c r="F41" s="9">
        <v>600</v>
      </c>
      <c r="G41" s="9">
        <v>1450</v>
      </c>
      <c r="H41" s="9">
        <v>600</v>
      </c>
      <c r="I41" s="9">
        <v>1450</v>
      </c>
      <c r="J41" s="9">
        <f>6*2</f>
        <v>12</v>
      </c>
      <c r="K41" s="13">
        <f>J41*G41*F41/1000000</f>
        <v>10.44</v>
      </c>
      <c r="L41" s="18" t="s">
        <v>89</v>
      </c>
      <c r="N41">
        <f t="shared" si="2"/>
        <v>10.44</v>
      </c>
    </row>
    <row r="42" customHeight="1" spans="1:14">
      <c r="A42" s="9">
        <v>38</v>
      </c>
      <c r="B42" s="10" t="s">
        <v>321</v>
      </c>
      <c r="C42" s="11" t="s">
        <v>326</v>
      </c>
      <c r="D42" s="12" t="s">
        <v>59</v>
      </c>
      <c r="E42" s="13" t="s">
        <v>323</v>
      </c>
      <c r="F42" s="9">
        <v>900</v>
      </c>
      <c r="G42" s="9">
        <v>1450</v>
      </c>
      <c r="H42" s="9">
        <v>900</v>
      </c>
      <c r="I42" s="9">
        <v>1450</v>
      </c>
      <c r="J42" s="9">
        <f>3*7</f>
        <v>21</v>
      </c>
      <c r="K42" s="13">
        <f>J42*G42*F42/1000000</f>
        <v>27.405</v>
      </c>
      <c r="L42" s="18" t="s">
        <v>89</v>
      </c>
      <c r="M42" s="19" t="s">
        <v>324</v>
      </c>
      <c r="N42">
        <f t="shared" si="2"/>
        <v>27.405</v>
      </c>
    </row>
    <row r="43" customHeight="1" spans="1:14">
      <c r="A43" s="9">
        <v>39</v>
      </c>
      <c r="B43" s="10" t="s">
        <v>321</v>
      </c>
      <c r="C43" s="11" t="s">
        <v>326</v>
      </c>
      <c r="D43" s="12" t="s">
        <v>59</v>
      </c>
      <c r="E43" s="13" t="s">
        <v>359</v>
      </c>
      <c r="F43" s="9">
        <v>900</v>
      </c>
      <c r="G43" s="9">
        <v>1450</v>
      </c>
      <c r="H43" s="9">
        <v>900</v>
      </c>
      <c r="I43" s="9">
        <v>1450</v>
      </c>
      <c r="J43" s="9">
        <f>3*6</f>
        <v>18</v>
      </c>
      <c r="K43" s="13">
        <f t="shared" ref="K43:K50" si="3">J43*G43*F43/1000000</f>
        <v>23.49</v>
      </c>
      <c r="L43" s="18" t="s">
        <v>89</v>
      </c>
      <c r="N43">
        <f t="shared" si="2"/>
        <v>23.49</v>
      </c>
    </row>
    <row r="44" customHeight="1" spans="1:14">
      <c r="A44" s="9">
        <v>40</v>
      </c>
      <c r="B44" s="10" t="s">
        <v>329</v>
      </c>
      <c r="C44" s="11" t="s">
        <v>326</v>
      </c>
      <c r="D44" s="12" t="s">
        <v>53</v>
      </c>
      <c r="E44" s="13" t="s">
        <v>323</v>
      </c>
      <c r="F44" s="9">
        <v>900</v>
      </c>
      <c r="G44" s="9">
        <v>1400</v>
      </c>
      <c r="H44" s="9">
        <v>900</v>
      </c>
      <c r="I44" s="9">
        <v>1400</v>
      </c>
      <c r="J44" s="9">
        <f>7*4</f>
        <v>28</v>
      </c>
      <c r="K44" s="13">
        <f t="shared" si="3"/>
        <v>35.28</v>
      </c>
      <c r="L44" s="18" t="s">
        <v>89</v>
      </c>
      <c r="M44" s="19" t="s">
        <v>331</v>
      </c>
      <c r="N44">
        <f t="shared" si="2"/>
        <v>35.28</v>
      </c>
    </row>
    <row r="45" customHeight="1" spans="1:14">
      <c r="A45" s="9">
        <v>41</v>
      </c>
      <c r="B45" s="10" t="s">
        <v>329</v>
      </c>
      <c r="C45" s="11" t="s">
        <v>326</v>
      </c>
      <c r="D45" s="12" t="s">
        <v>53</v>
      </c>
      <c r="E45" s="13" t="s">
        <v>359</v>
      </c>
      <c r="F45" s="9">
        <v>900</v>
      </c>
      <c r="G45" s="9">
        <v>1400</v>
      </c>
      <c r="H45" s="9">
        <v>900</v>
      </c>
      <c r="I45" s="9">
        <v>1400</v>
      </c>
      <c r="J45" s="9">
        <f>6*4</f>
        <v>24</v>
      </c>
      <c r="K45" s="13">
        <f t="shared" si="3"/>
        <v>30.24</v>
      </c>
      <c r="L45" s="18" t="s">
        <v>89</v>
      </c>
      <c r="N45">
        <f t="shared" si="2"/>
        <v>30.24</v>
      </c>
    </row>
    <row r="46" customHeight="1" spans="1:14">
      <c r="A46" s="9">
        <v>42</v>
      </c>
      <c r="B46" s="10" t="s">
        <v>329</v>
      </c>
      <c r="C46" s="11" t="s">
        <v>334</v>
      </c>
      <c r="D46" s="12" t="s">
        <v>53</v>
      </c>
      <c r="E46" s="13" t="s">
        <v>323</v>
      </c>
      <c r="F46" s="9">
        <v>1500</v>
      </c>
      <c r="G46" s="9">
        <v>1450</v>
      </c>
      <c r="H46" s="9">
        <v>1500</v>
      </c>
      <c r="I46" s="9">
        <v>1450</v>
      </c>
      <c r="J46" s="9">
        <f>7*3</f>
        <v>21</v>
      </c>
      <c r="K46" s="13">
        <f t="shared" si="3"/>
        <v>45.675</v>
      </c>
      <c r="L46" s="18" t="s">
        <v>89</v>
      </c>
      <c r="M46" s="19" t="s">
        <v>331</v>
      </c>
      <c r="N46">
        <f t="shared" si="2"/>
        <v>45.675</v>
      </c>
    </row>
    <row r="47" customHeight="1" spans="1:14">
      <c r="A47" s="9">
        <v>43</v>
      </c>
      <c r="B47" s="10" t="s">
        <v>329</v>
      </c>
      <c r="C47" s="11" t="s">
        <v>334</v>
      </c>
      <c r="D47" s="12" t="s">
        <v>53</v>
      </c>
      <c r="E47" s="13" t="s">
        <v>359</v>
      </c>
      <c r="F47" s="9">
        <v>1500</v>
      </c>
      <c r="G47" s="9">
        <v>1450</v>
      </c>
      <c r="H47" s="9">
        <v>1500</v>
      </c>
      <c r="I47" s="9">
        <v>1450</v>
      </c>
      <c r="J47" s="9">
        <f>6*3</f>
        <v>18</v>
      </c>
      <c r="K47" s="13">
        <f t="shared" si="3"/>
        <v>39.15</v>
      </c>
      <c r="L47" s="18" t="s">
        <v>89</v>
      </c>
      <c r="N47">
        <f t="shared" si="2"/>
        <v>39.15</v>
      </c>
    </row>
    <row r="48" customHeight="1" spans="1:14">
      <c r="A48" s="9">
        <v>44</v>
      </c>
      <c r="B48" s="10" t="s">
        <v>329</v>
      </c>
      <c r="C48" s="11" t="s">
        <v>327</v>
      </c>
      <c r="D48" s="12" t="s">
        <v>53</v>
      </c>
      <c r="E48" s="13" t="s">
        <v>323</v>
      </c>
      <c r="F48" s="9">
        <v>1600</v>
      </c>
      <c r="G48" s="9">
        <v>2150</v>
      </c>
      <c r="H48" s="9">
        <v>1600</v>
      </c>
      <c r="I48" s="9">
        <v>2150</v>
      </c>
      <c r="J48" s="9">
        <f>7*3</f>
        <v>21</v>
      </c>
      <c r="K48" s="13">
        <f t="shared" si="3"/>
        <v>72.24</v>
      </c>
      <c r="L48" s="18" t="s">
        <v>89</v>
      </c>
      <c r="M48" s="19" t="s">
        <v>331</v>
      </c>
      <c r="N48">
        <f t="shared" si="2"/>
        <v>72.24</v>
      </c>
    </row>
    <row r="49" customHeight="1" spans="1:14">
      <c r="A49" s="9">
        <v>45</v>
      </c>
      <c r="B49" s="10" t="s">
        <v>329</v>
      </c>
      <c r="C49" s="11" t="s">
        <v>327</v>
      </c>
      <c r="D49" s="12" t="s">
        <v>53</v>
      </c>
      <c r="E49" s="13" t="s">
        <v>359</v>
      </c>
      <c r="F49" s="9">
        <v>1600</v>
      </c>
      <c r="G49" s="9">
        <v>2150</v>
      </c>
      <c r="H49" s="9">
        <v>1600</v>
      </c>
      <c r="I49" s="9">
        <v>2150</v>
      </c>
      <c r="J49" s="9">
        <f>6*3</f>
        <v>18</v>
      </c>
      <c r="K49" s="13">
        <f t="shared" si="3"/>
        <v>61.92</v>
      </c>
      <c r="L49" s="18" t="s">
        <v>89</v>
      </c>
      <c r="N49">
        <f t="shared" si="2"/>
        <v>61.92</v>
      </c>
    </row>
    <row r="50" customHeight="1" spans="1:14">
      <c r="A50" s="9">
        <v>46</v>
      </c>
      <c r="B50" s="10" t="s">
        <v>329</v>
      </c>
      <c r="C50" s="11" t="s">
        <v>342</v>
      </c>
      <c r="D50" s="12" t="s">
        <v>54</v>
      </c>
      <c r="E50" s="13" t="s">
        <v>323</v>
      </c>
      <c r="F50" s="9">
        <v>2100</v>
      </c>
      <c r="G50" s="9">
        <v>2150</v>
      </c>
      <c r="H50" s="9">
        <v>2100</v>
      </c>
      <c r="I50" s="9">
        <v>2150</v>
      </c>
      <c r="J50" s="9">
        <f>7*4</f>
        <v>28</v>
      </c>
      <c r="K50" s="13">
        <f t="shared" si="3"/>
        <v>126.42</v>
      </c>
      <c r="L50" s="18" t="s">
        <v>89</v>
      </c>
      <c r="M50" s="19" t="s">
        <v>360</v>
      </c>
      <c r="N50">
        <f t="shared" si="2"/>
        <v>126.42</v>
      </c>
    </row>
    <row r="51" customHeight="1" spans="1:14">
      <c r="A51" s="9">
        <v>47</v>
      </c>
      <c r="B51" s="10" t="s">
        <v>329</v>
      </c>
      <c r="C51" s="11" t="s">
        <v>342</v>
      </c>
      <c r="D51" s="12" t="s">
        <v>54</v>
      </c>
      <c r="E51" s="13" t="s">
        <v>359</v>
      </c>
      <c r="F51" s="9">
        <v>2100</v>
      </c>
      <c r="G51" s="9">
        <v>2150</v>
      </c>
      <c r="H51" s="9">
        <v>2100</v>
      </c>
      <c r="I51" s="9">
        <v>2150</v>
      </c>
      <c r="J51" s="9">
        <f>6*4</f>
        <v>24</v>
      </c>
      <c r="K51" s="13">
        <f t="shared" ref="K51:K59" si="4">J51*G51*F51/1000000</f>
        <v>108.36</v>
      </c>
      <c r="L51" s="18" t="s">
        <v>89</v>
      </c>
      <c r="N51">
        <f t="shared" si="2"/>
        <v>108.36</v>
      </c>
    </row>
    <row r="52" customHeight="1" spans="1:14">
      <c r="A52" s="9">
        <v>48</v>
      </c>
      <c r="B52" s="10" t="s">
        <v>123</v>
      </c>
      <c r="C52" s="11" t="s">
        <v>332</v>
      </c>
      <c r="D52" s="12" t="s">
        <v>57</v>
      </c>
      <c r="E52" s="9" t="s">
        <v>361</v>
      </c>
      <c r="F52" s="9">
        <v>1500</v>
      </c>
      <c r="G52" s="9">
        <v>1500</v>
      </c>
      <c r="H52" s="9">
        <v>1500</v>
      </c>
      <c r="I52" s="9">
        <v>1500</v>
      </c>
      <c r="J52" s="9">
        <v>26</v>
      </c>
      <c r="K52" s="13">
        <f t="shared" si="4"/>
        <v>58.5</v>
      </c>
      <c r="L52" s="18" t="s">
        <v>89</v>
      </c>
      <c r="M52" s="12" t="s">
        <v>362</v>
      </c>
      <c r="N52">
        <f t="shared" si="2"/>
        <v>58.5</v>
      </c>
    </row>
    <row r="53" customHeight="1" spans="1:14">
      <c r="A53" s="9">
        <v>49</v>
      </c>
      <c r="B53" s="10" t="s">
        <v>247</v>
      </c>
      <c r="C53" s="11" t="s">
        <v>363</v>
      </c>
      <c r="D53" s="12" t="s">
        <v>61</v>
      </c>
      <c r="E53" s="9">
        <v>2</v>
      </c>
      <c r="F53" s="9">
        <v>900</v>
      </c>
      <c r="G53" s="9">
        <v>1400</v>
      </c>
      <c r="H53" s="9">
        <v>900</v>
      </c>
      <c r="I53" s="9">
        <v>1400</v>
      </c>
      <c r="J53" s="9">
        <v>2</v>
      </c>
      <c r="K53" s="13">
        <f t="shared" si="4"/>
        <v>2.52</v>
      </c>
      <c r="L53" s="18" t="s">
        <v>89</v>
      </c>
      <c r="M53" s="12" t="s">
        <v>364</v>
      </c>
      <c r="N53">
        <f t="shared" si="2"/>
        <v>2.52</v>
      </c>
    </row>
    <row r="54" customHeight="1" spans="1:14">
      <c r="A54" s="9">
        <v>50</v>
      </c>
      <c r="B54" s="10" t="s">
        <v>344</v>
      </c>
      <c r="C54" s="11" t="s">
        <v>348</v>
      </c>
      <c r="D54" s="12" t="s">
        <v>52</v>
      </c>
      <c r="E54" s="9">
        <v>2</v>
      </c>
      <c r="F54" s="9">
        <v>1200</v>
      </c>
      <c r="G54" s="9">
        <v>1200</v>
      </c>
      <c r="H54" s="9">
        <v>1200</v>
      </c>
      <c r="I54" s="9">
        <v>1200</v>
      </c>
      <c r="J54" s="9">
        <v>2</v>
      </c>
      <c r="K54" s="13">
        <f t="shared" si="4"/>
        <v>2.88</v>
      </c>
      <c r="L54" s="18" t="s">
        <v>89</v>
      </c>
      <c r="M54" s="12" t="s">
        <v>347</v>
      </c>
      <c r="N54">
        <f t="shared" si="2"/>
        <v>2.88</v>
      </c>
    </row>
    <row r="55" customHeight="1" spans="1:14">
      <c r="A55" s="9">
        <v>51</v>
      </c>
      <c r="B55" s="10" t="s">
        <v>344</v>
      </c>
      <c r="C55" s="11" t="s">
        <v>336</v>
      </c>
      <c r="D55" s="12" t="s">
        <v>52</v>
      </c>
      <c r="E55" s="9">
        <v>2</v>
      </c>
      <c r="F55" s="9">
        <v>1500</v>
      </c>
      <c r="G55" s="9">
        <v>1200</v>
      </c>
      <c r="H55" s="9">
        <v>1500</v>
      </c>
      <c r="I55" s="9">
        <v>1200</v>
      </c>
      <c r="J55" s="9">
        <v>2</v>
      </c>
      <c r="K55" s="13">
        <f t="shared" si="4"/>
        <v>3.6</v>
      </c>
      <c r="L55" s="18" t="s">
        <v>89</v>
      </c>
      <c r="M55" s="12" t="s">
        <v>347</v>
      </c>
      <c r="N55">
        <f t="shared" si="2"/>
        <v>3.6</v>
      </c>
    </row>
    <row r="56" customHeight="1" spans="1:14">
      <c r="A56" s="9">
        <v>52</v>
      </c>
      <c r="B56" s="10" t="s">
        <v>100</v>
      </c>
      <c r="C56" s="15" t="s">
        <v>352</v>
      </c>
      <c r="D56" s="12" t="s">
        <v>50</v>
      </c>
      <c r="E56" s="9" t="s">
        <v>365</v>
      </c>
      <c r="F56" s="9">
        <v>500</v>
      </c>
      <c r="G56" s="9">
        <v>1000</v>
      </c>
      <c r="H56" s="9">
        <v>500</v>
      </c>
      <c r="I56" s="9">
        <v>1000</v>
      </c>
      <c r="J56" s="9">
        <v>52</v>
      </c>
      <c r="K56" s="13">
        <f t="shared" si="4"/>
        <v>26</v>
      </c>
      <c r="L56" s="18" t="s">
        <v>89</v>
      </c>
      <c r="N56">
        <f t="shared" si="2"/>
        <v>26</v>
      </c>
    </row>
    <row r="57" customHeight="1" spans="1:14">
      <c r="A57" s="9">
        <v>53</v>
      </c>
      <c r="B57" s="11" t="s">
        <v>125</v>
      </c>
      <c r="C57" s="11" t="s">
        <v>353</v>
      </c>
      <c r="D57" s="12" t="s">
        <v>64</v>
      </c>
      <c r="E57" s="9" t="s">
        <v>365</v>
      </c>
      <c r="F57" s="9">
        <v>1200</v>
      </c>
      <c r="G57" s="9">
        <v>2350</v>
      </c>
      <c r="H57" s="9">
        <v>1200</v>
      </c>
      <c r="I57" s="9">
        <v>2350</v>
      </c>
      <c r="J57" s="9">
        <v>39</v>
      </c>
      <c r="K57" s="13">
        <f t="shared" si="4"/>
        <v>109.98</v>
      </c>
      <c r="L57" s="18" t="s">
        <v>89</v>
      </c>
      <c r="M57" s="19" t="s">
        <v>366</v>
      </c>
      <c r="N57">
        <f t="shared" si="2"/>
        <v>109.98</v>
      </c>
    </row>
    <row r="58" customHeight="1" spans="1:14">
      <c r="A58" s="9">
        <v>54</v>
      </c>
      <c r="B58" s="11" t="s">
        <v>132</v>
      </c>
      <c r="C58" s="11" t="s">
        <v>367</v>
      </c>
      <c r="D58" s="12" t="s">
        <v>70</v>
      </c>
      <c r="E58" s="9" t="s">
        <v>365</v>
      </c>
      <c r="F58" s="9">
        <v>3600</v>
      </c>
      <c r="G58" s="9">
        <v>2350</v>
      </c>
      <c r="H58" s="9">
        <v>3600</v>
      </c>
      <c r="I58" s="9">
        <v>2350</v>
      </c>
      <c r="J58" s="9">
        <v>13</v>
      </c>
      <c r="K58" s="13">
        <f t="shared" si="4"/>
        <v>109.98</v>
      </c>
      <c r="L58" s="18" t="s">
        <v>89</v>
      </c>
      <c r="M58" s="19" t="s">
        <v>356</v>
      </c>
      <c r="N58">
        <f t="shared" si="2"/>
        <v>109.98</v>
      </c>
    </row>
    <row r="59" customHeight="1" spans="1:14">
      <c r="A59" s="9">
        <v>55</v>
      </c>
      <c r="B59" s="11" t="s">
        <v>132</v>
      </c>
      <c r="C59" s="11" t="s">
        <v>368</v>
      </c>
      <c r="D59" s="12" t="s">
        <v>69</v>
      </c>
      <c r="E59" s="9" t="s">
        <v>365</v>
      </c>
      <c r="F59" s="9">
        <v>1500</v>
      </c>
      <c r="G59" s="9">
        <v>2350</v>
      </c>
      <c r="H59" s="9">
        <v>1500</v>
      </c>
      <c r="I59" s="9">
        <v>2350</v>
      </c>
      <c r="J59" s="9">
        <v>13</v>
      </c>
      <c r="K59" s="13">
        <f t="shared" si="4"/>
        <v>45.825</v>
      </c>
      <c r="L59" s="18" t="s">
        <v>89</v>
      </c>
      <c r="M59" s="19" t="s">
        <v>354</v>
      </c>
      <c r="N59">
        <f t="shared" si="2"/>
        <v>45.825</v>
      </c>
    </row>
    <row r="60" customHeight="1" spans="1:14">
      <c r="A60" s="9">
        <v>56</v>
      </c>
      <c r="B60" s="11" t="s">
        <v>132</v>
      </c>
      <c r="C60" s="11" t="s">
        <v>369</v>
      </c>
      <c r="D60" s="12" t="s">
        <v>69</v>
      </c>
      <c r="E60" s="9" t="s">
        <v>365</v>
      </c>
      <c r="F60" s="9">
        <v>1600</v>
      </c>
      <c r="G60" s="9">
        <v>2350</v>
      </c>
      <c r="H60" s="9">
        <v>1600</v>
      </c>
      <c r="I60" s="9">
        <v>2350</v>
      </c>
      <c r="J60" s="9">
        <v>13</v>
      </c>
      <c r="K60" s="13">
        <f t="shared" ref="K60:K67" si="5">J60*G60*F60/1000000</f>
        <v>48.88</v>
      </c>
      <c r="L60" s="18" t="s">
        <v>89</v>
      </c>
      <c r="M60" s="19" t="s">
        <v>354</v>
      </c>
      <c r="N60">
        <f t="shared" si="2"/>
        <v>48.88</v>
      </c>
    </row>
    <row r="61" customHeight="1" spans="1:14">
      <c r="A61" s="9">
        <v>57</v>
      </c>
      <c r="B61" s="11" t="s">
        <v>132</v>
      </c>
      <c r="C61" s="11" t="s">
        <v>370</v>
      </c>
      <c r="D61" s="12" t="s">
        <v>69</v>
      </c>
      <c r="E61" s="9" t="s">
        <v>365</v>
      </c>
      <c r="F61" s="9">
        <v>4800</v>
      </c>
      <c r="G61" s="9">
        <v>2350</v>
      </c>
      <c r="H61" s="9">
        <v>4800</v>
      </c>
      <c r="I61" s="9">
        <v>2350</v>
      </c>
      <c r="J61" s="9">
        <v>39</v>
      </c>
      <c r="K61" s="13">
        <f t="shared" si="5"/>
        <v>439.92</v>
      </c>
      <c r="L61" s="18" t="s">
        <v>89</v>
      </c>
      <c r="M61" s="19" t="s">
        <v>354</v>
      </c>
      <c r="N61">
        <f t="shared" si="2"/>
        <v>439.92</v>
      </c>
    </row>
    <row r="62" customHeight="1" spans="1:14">
      <c r="A62" s="9">
        <v>58</v>
      </c>
      <c r="B62" s="11" t="s">
        <v>125</v>
      </c>
      <c r="C62" s="11" t="s">
        <v>371</v>
      </c>
      <c r="D62" s="12" t="s">
        <v>64</v>
      </c>
      <c r="E62" s="9" t="s">
        <v>365</v>
      </c>
      <c r="F62" s="9">
        <v>700</v>
      </c>
      <c r="G62" s="9">
        <v>2350</v>
      </c>
      <c r="H62" s="9">
        <v>700</v>
      </c>
      <c r="I62" s="9">
        <v>2350</v>
      </c>
      <c r="J62" s="9">
        <v>48</v>
      </c>
      <c r="K62" s="13">
        <f t="shared" si="5"/>
        <v>78.96</v>
      </c>
      <c r="L62" s="18" t="s">
        <v>89</v>
      </c>
      <c r="M62" s="19" t="s">
        <v>366</v>
      </c>
      <c r="N62">
        <f t="shared" si="2"/>
        <v>78.96</v>
      </c>
    </row>
    <row r="63" customHeight="1" spans="1:14">
      <c r="A63" s="9">
        <v>59</v>
      </c>
      <c r="B63" s="11" t="s">
        <v>130</v>
      </c>
      <c r="C63" s="11" t="s">
        <v>372</v>
      </c>
      <c r="D63" s="12" t="s">
        <v>373</v>
      </c>
      <c r="E63" s="9" t="s">
        <v>374</v>
      </c>
      <c r="F63" s="9">
        <v>1200</v>
      </c>
      <c r="G63" s="9">
        <v>2400</v>
      </c>
      <c r="H63" s="9">
        <v>1200</v>
      </c>
      <c r="I63" s="9">
        <v>2400</v>
      </c>
      <c r="J63" s="9">
        <v>2</v>
      </c>
      <c r="K63" s="13">
        <f t="shared" si="5"/>
        <v>5.76</v>
      </c>
      <c r="L63" s="18" t="s">
        <v>89</v>
      </c>
      <c r="N63">
        <f t="shared" si="2"/>
        <v>5.76</v>
      </c>
    </row>
    <row r="64" customHeight="1" spans="1:14">
      <c r="A64" s="9">
        <v>60</v>
      </c>
      <c r="B64" s="10" t="s">
        <v>100</v>
      </c>
      <c r="C64" s="15" t="s">
        <v>375</v>
      </c>
      <c r="D64" s="12" t="s">
        <v>50</v>
      </c>
      <c r="E64" s="9" t="s">
        <v>376</v>
      </c>
      <c r="F64" s="9">
        <v>600</v>
      </c>
      <c r="G64" s="9">
        <v>1200</v>
      </c>
      <c r="H64" s="9">
        <v>600</v>
      </c>
      <c r="I64" s="9">
        <v>1200</v>
      </c>
      <c r="J64" s="9">
        <v>4</v>
      </c>
      <c r="K64" s="13">
        <f t="shared" si="5"/>
        <v>2.88</v>
      </c>
      <c r="L64" s="18" t="s">
        <v>89</v>
      </c>
      <c r="N64">
        <f t="shared" si="2"/>
        <v>2.88</v>
      </c>
    </row>
    <row r="65" customHeight="1" spans="1:14">
      <c r="A65" s="9">
        <v>61</v>
      </c>
      <c r="B65" s="11" t="s">
        <v>217</v>
      </c>
      <c r="C65" s="11" t="s">
        <v>140</v>
      </c>
      <c r="D65" s="12" t="s">
        <v>358</v>
      </c>
      <c r="E65" s="14">
        <v>1</v>
      </c>
      <c r="F65" s="14">
        <v>9800</v>
      </c>
      <c r="G65" s="14">
        <v>2900</v>
      </c>
      <c r="H65" s="14">
        <v>9800</v>
      </c>
      <c r="I65" s="14">
        <v>2900</v>
      </c>
      <c r="J65" s="9">
        <v>1</v>
      </c>
      <c r="K65" s="13">
        <f t="shared" si="5"/>
        <v>28.42</v>
      </c>
      <c r="L65" s="18" t="s">
        <v>89</v>
      </c>
      <c r="N65">
        <f t="shared" si="2"/>
        <v>28.42</v>
      </c>
    </row>
    <row r="66" customHeight="1" spans="1:14">
      <c r="A66" s="9">
        <v>62</v>
      </c>
      <c r="B66" s="11" t="s">
        <v>217</v>
      </c>
      <c r="C66" s="11" t="s">
        <v>140</v>
      </c>
      <c r="D66" s="12" t="s">
        <v>358</v>
      </c>
      <c r="E66" s="14">
        <v>1</v>
      </c>
      <c r="F66" s="14">
        <v>10100</v>
      </c>
      <c r="G66" s="14">
        <v>2900</v>
      </c>
      <c r="H66" s="14">
        <v>10100</v>
      </c>
      <c r="I66" s="14">
        <v>2900</v>
      </c>
      <c r="J66" s="9">
        <v>1</v>
      </c>
      <c r="K66" s="13">
        <f t="shared" si="5"/>
        <v>29.29</v>
      </c>
      <c r="L66" s="18" t="s">
        <v>89</v>
      </c>
      <c r="N66">
        <f t="shared" si="2"/>
        <v>29.29</v>
      </c>
    </row>
    <row r="67" customHeight="1" spans="1:14">
      <c r="A67" s="9">
        <v>63</v>
      </c>
      <c r="B67" s="12" t="s">
        <v>219</v>
      </c>
      <c r="C67" s="11" t="s">
        <v>140</v>
      </c>
      <c r="D67" s="12" t="s">
        <v>377</v>
      </c>
      <c r="E67" s="14">
        <v>1</v>
      </c>
      <c r="F67" s="14">
        <f>6450+5500+31300</f>
        <v>43250</v>
      </c>
      <c r="G67" s="14">
        <v>2900</v>
      </c>
      <c r="H67" s="14">
        <f>6450+5500+31300</f>
        <v>43250</v>
      </c>
      <c r="I67" s="14">
        <v>2900</v>
      </c>
      <c r="J67" s="9">
        <v>1</v>
      </c>
      <c r="K67" s="13">
        <f t="shared" si="5"/>
        <v>125.425</v>
      </c>
      <c r="L67" s="18" t="s">
        <v>89</v>
      </c>
      <c r="N67">
        <f t="shared" si="2"/>
        <v>125.425</v>
      </c>
    </row>
    <row r="68" customHeight="1" spans="1:14">
      <c r="A68" s="7" t="s">
        <v>90</v>
      </c>
      <c r="B68" s="8"/>
      <c r="C68" s="8"/>
      <c r="D68" s="8"/>
      <c r="E68" s="8"/>
      <c r="F68" s="8"/>
      <c r="G68" s="8"/>
      <c r="H68" s="8"/>
      <c r="I68" s="8"/>
      <c r="J68" s="8"/>
      <c r="K68" s="8"/>
      <c r="L68" s="8"/>
      <c r="N68">
        <f t="shared" ref="N68:N128" si="6">K68</f>
        <v>0</v>
      </c>
    </row>
    <row r="69" customHeight="1" spans="1:14">
      <c r="A69" s="9">
        <v>64</v>
      </c>
      <c r="B69" s="10" t="s">
        <v>321</v>
      </c>
      <c r="C69" s="11" t="s">
        <v>322</v>
      </c>
      <c r="D69" s="12" t="s">
        <v>324</v>
      </c>
      <c r="E69" s="13" t="s">
        <v>323</v>
      </c>
      <c r="F69" s="14">
        <v>500</v>
      </c>
      <c r="G69" s="9">
        <v>1450</v>
      </c>
      <c r="H69" s="14">
        <v>500</v>
      </c>
      <c r="I69" s="9">
        <v>1450</v>
      </c>
      <c r="J69" s="9">
        <f>7*3</f>
        <v>21</v>
      </c>
      <c r="K69" s="13">
        <f>J69*G69*F69/1000000</f>
        <v>15.225</v>
      </c>
      <c r="L69" s="18" t="s">
        <v>90</v>
      </c>
      <c r="M69" s="12" t="s">
        <v>324</v>
      </c>
      <c r="N69">
        <f t="shared" si="6"/>
        <v>15.225</v>
      </c>
    </row>
    <row r="70" customHeight="1" spans="1:14">
      <c r="A70" s="9">
        <v>65</v>
      </c>
      <c r="B70" s="10" t="s">
        <v>321</v>
      </c>
      <c r="C70" s="11" t="s">
        <v>322</v>
      </c>
      <c r="D70" s="12" t="s">
        <v>59</v>
      </c>
      <c r="E70" s="13" t="s">
        <v>378</v>
      </c>
      <c r="F70" s="14">
        <v>500</v>
      </c>
      <c r="G70" s="9">
        <v>1450</v>
      </c>
      <c r="H70" s="14">
        <v>500</v>
      </c>
      <c r="I70" s="9">
        <v>1450</v>
      </c>
      <c r="J70" s="9">
        <f>4*3</f>
        <v>12</v>
      </c>
      <c r="K70" s="13">
        <f t="shared" ref="K70:K95" si="7">J70*G70*F70/1000000</f>
        <v>8.7</v>
      </c>
      <c r="L70" s="18" t="s">
        <v>90</v>
      </c>
      <c r="M70" s="2">
        <f>K70</f>
        <v>8.7</v>
      </c>
      <c r="N70">
        <f t="shared" si="6"/>
        <v>8.7</v>
      </c>
    </row>
    <row r="71" customHeight="1" spans="1:14">
      <c r="A71" s="9">
        <v>66</v>
      </c>
      <c r="B71" s="10" t="s">
        <v>321</v>
      </c>
      <c r="C71" s="11" t="s">
        <v>330</v>
      </c>
      <c r="D71" s="12" t="s">
        <v>324</v>
      </c>
      <c r="E71" s="13" t="s">
        <v>323</v>
      </c>
      <c r="F71" s="9">
        <v>600</v>
      </c>
      <c r="G71" s="9">
        <v>1450</v>
      </c>
      <c r="H71" s="9">
        <v>600</v>
      </c>
      <c r="I71" s="9">
        <v>1450</v>
      </c>
      <c r="J71" s="9">
        <v>14</v>
      </c>
      <c r="K71" s="13">
        <f t="shared" si="7"/>
        <v>12.18</v>
      </c>
      <c r="L71" s="18" t="s">
        <v>90</v>
      </c>
      <c r="M71" s="12" t="s">
        <v>324</v>
      </c>
      <c r="N71">
        <f t="shared" si="6"/>
        <v>12.18</v>
      </c>
    </row>
    <row r="72" customHeight="1" spans="1:14">
      <c r="A72" s="9">
        <v>67</v>
      </c>
      <c r="B72" s="10" t="s">
        <v>321</v>
      </c>
      <c r="C72" s="11" t="s">
        <v>330</v>
      </c>
      <c r="D72" s="12" t="s">
        <v>59</v>
      </c>
      <c r="E72" s="13" t="s">
        <v>378</v>
      </c>
      <c r="F72" s="9">
        <v>600</v>
      </c>
      <c r="G72" s="9">
        <v>1450</v>
      </c>
      <c r="H72" s="9">
        <v>600</v>
      </c>
      <c r="I72" s="9">
        <v>1450</v>
      </c>
      <c r="J72" s="9">
        <v>8</v>
      </c>
      <c r="K72" s="13">
        <f t="shared" si="7"/>
        <v>6.96</v>
      </c>
      <c r="L72" s="18" t="s">
        <v>90</v>
      </c>
      <c r="M72" s="2">
        <f>K72</f>
        <v>6.96</v>
      </c>
      <c r="N72">
        <f t="shared" si="6"/>
        <v>6.96</v>
      </c>
    </row>
    <row r="73" customHeight="1" spans="1:14">
      <c r="A73" s="9">
        <v>68</v>
      </c>
      <c r="B73" s="10" t="s">
        <v>321</v>
      </c>
      <c r="C73" s="11" t="s">
        <v>326</v>
      </c>
      <c r="D73" s="12" t="s">
        <v>324</v>
      </c>
      <c r="E73" s="13" t="s">
        <v>323</v>
      </c>
      <c r="F73" s="9">
        <v>900</v>
      </c>
      <c r="G73" s="9">
        <v>1450</v>
      </c>
      <c r="H73" s="9">
        <v>900</v>
      </c>
      <c r="I73" s="9">
        <v>1450</v>
      </c>
      <c r="J73" s="9">
        <f>7*3</f>
        <v>21</v>
      </c>
      <c r="K73" s="13">
        <f t="shared" si="7"/>
        <v>27.405</v>
      </c>
      <c r="L73" s="18" t="s">
        <v>90</v>
      </c>
      <c r="M73" s="12" t="s">
        <v>324</v>
      </c>
      <c r="N73">
        <f t="shared" si="6"/>
        <v>27.405</v>
      </c>
    </row>
    <row r="74" customHeight="1" spans="1:14">
      <c r="A74" s="9">
        <v>69</v>
      </c>
      <c r="B74" s="10" t="s">
        <v>321</v>
      </c>
      <c r="C74" s="11" t="s">
        <v>326</v>
      </c>
      <c r="D74" s="12" t="s">
        <v>59</v>
      </c>
      <c r="E74" s="13" t="s">
        <v>378</v>
      </c>
      <c r="F74" s="9">
        <v>900</v>
      </c>
      <c r="G74" s="9">
        <v>1450</v>
      </c>
      <c r="H74" s="9">
        <v>900</v>
      </c>
      <c r="I74" s="9">
        <v>1450</v>
      </c>
      <c r="J74" s="9">
        <f>4*3</f>
        <v>12</v>
      </c>
      <c r="K74" s="13">
        <f t="shared" si="7"/>
        <v>15.66</v>
      </c>
      <c r="L74" s="18" t="s">
        <v>90</v>
      </c>
      <c r="M74" s="2">
        <f>K74</f>
        <v>15.66</v>
      </c>
      <c r="N74">
        <f t="shared" si="6"/>
        <v>15.66</v>
      </c>
    </row>
    <row r="75" customHeight="1" spans="1:14">
      <c r="A75" s="9">
        <v>70</v>
      </c>
      <c r="B75" s="10" t="s">
        <v>329</v>
      </c>
      <c r="C75" s="11" t="s">
        <v>326</v>
      </c>
      <c r="D75" s="12" t="s">
        <v>331</v>
      </c>
      <c r="E75" s="13" t="s">
        <v>323</v>
      </c>
      <c r="F75" s="9">
        <v>900</v>
      </c>
      <c r="G75" s="9">
        <v>1450</v>
      </c>
      <c r="H75" s="9">
        <v>900</v>
      </c>
      <c r="I75" s="9">
        <v>1450</v>
      </c>
      <c r="J75" s="9">
        <f>7*4</f>
        <v>28</v>
      </c>
      <c r="K75" s="13">
        <f t="shared" si="7"/>
        <v>36.54</v>
      </c>
      <c r="L75" s="18" t="s">
        <v>90</v>
      </c>
      <c r="M75" s="12" t="s">
        <v>331</v>
      </c>
      <c r="N75">
        <f t="shared" si="6"/>
        <v>36.54</v>
      </c>
    </row>
    <row r="76" customHeight="1" spans="1:14">
      <c r="A76" s="9">
        <v>71</v>
      </c>
      <c r="B76" s="10" t="s">
        <v>329</v>
      </c>
      <c r="C76" s="11" t="s">
        <v>326</v>
      </c>
      <c r="D76" s="12" t="s">
        <v>53</v>
      </c>
      <c r="E76" s="13" t="s">
        <v>378</v>
      </c>
      <c r="F76" s="9">
        <v>900</v>
      </c>
      <c r="G76" s="9">
        <v>1450</v>
      </c>
      <c r="H76" s="9">
        <v>900</v>
      </c>
      <c r="I76" s="9">
        <v>1450</v>
      </c>
      <c r="J76" s="9">
        <f>4*4</f>
        <v>16</v>
      </c>
      <c r="K76" s="13">
        <f t="shared" si="7"/>
        <v>20.88</v>
      </c>
      <c r="L76" s="18" t="s">
        <v>90</v>
      </c>
      <c r="M76" s="2">
        <f>K76</f>
        <v>20.88</v>
      </c>
      <c r="N76">
        <f t="shared" si="6"/>
        <v>20.88</v>
      </c>
    </row>
    <row r="77" customHeight="1" spans="1:14">
      <c r="A77" s="9">
        <v>72</v>
      </c>
      <c r="B77" s="10" t="s">
        <v>329</v>
      </c>
      <c r="C77" s="11" t="s">
        <v>334</v>
      </c>
      <c r="D77" s="12" t="s">
        <v>53</v>
      </c>
      <c r="E77" s="13" t="s">
        <v>323</v>
      </c>
      <c r="F77" s="9">
        <v>1500</v>
      </c>
      <c r="G77" s="9">
        <v>1450</v>
      </c>
      <c r="H77" s="9">
        <v>1500</v>
      </c>
      <c r="I77" s="9">
        <v>1450</v>
      </c>
      <c r="J77" s="9">
        <f>7*3</f>
        <v>21</v>
      </c>
      <c r="K77" s="13">
        <f t="shared" si="7"/>
        <v>45.675</v>
      </c>
      <c r="L77" s="18" t="s">
        <v>90</v>
      </c>
      <c r="M77" s="12" t="s">
        <v>331</v>
      </c>
      <c r="N77">
        <f t="shared" si="6"/>
        <v>45.675</v>
      </c>
    </row>
    <row r="78" customHeight="1" spans="1:14">
      <c r="A78" s="9">
        <v>73</v>
      </c>
      <c r="B78" s="10" t="s">
        <v>329</v>
      </c>
      <c r="C78" s="11" t="s">
        <v>334</v>
      </c>
      <c r="D78" s="12" t="s">
        <v>53</v>
      </c>
      <c r="E78" s="13" t="s">
        <v>378</v>
      </c>
      <c r="F78" s="9">
        <v>1500</v>
      </c>
      <c r="G78" s="9">
        <v>1450</v>
      </c>
      <c r="H78" s="9">
        <v>1500</v>
      </c>
      <c r="I78" s="9">
        <v>1450</v>
      </c>
      <c r="J78" s="9">
        <f>4*3</f>
        <v>12</v>
      </c>
      <c r="K78" s="13">
        <f t="shared" si="7"/>
        <v>26.1</v>
      </c>
      <c r="L78" s="18" t="s">
        <v>90</v>
      </c>
      <c r="M78" s="2">
        <f>K78</f>
        <v>26.1</v>
      </c>
      <c r="N78">
        <f t="shared" si="6"/>
        <v>26.1</v>
      </c>
    </row>
    <row r="79" customHeight="1" spans="1:14">
      <c r="A79" s="9">
        <v>74</v>
      </c>
      <c r="B79" s="10" t="s">
        <v>329</v>
      </c>
      <c r="C79" s="11" t="s">
        <v>327</v>
      </c>
      <c r="D79" s="12" t="s">
        <v>331</v>
      </c>
      <c r="E79" s="13" t="s">
        <v>323</v>
      </c>
      <c r="F79" s="9">
        <v>1600</v>
      </c>
      <c r="G79" s="9">
        <v>2150</v>
      </c>
      <c r="H79" s="9">
        <v>1600</v>
      </c>
      <c r="I79" s="9">
        <v>2150</v>
      </c>
      <c r="J79" s="9">
        <f>7*3</f>
        <v>21</v>
      </c>
      <c r="K79" s="13">
        <f t="shared" si="7"/>
        <v>72.24</v>
      </c>
      <c r="L79" s="18" t="s">
        <v>90</v>
      </c>
      <c r="M79" s="12" t="s">
        <v>331</v>
      </c>
      <c r="N79">
        <f t="shared" si="6"/>
        <v>72.24</v>
      </c>
    </row>
    <row r="80" customHeight="1" spans="1:14">
      <c r="A80" s="9">
        <v>75</v>
      </c>
      <c r="B80" s="10" t="s">
        <v>329</v>
      </c>
      <c r="C80" s="11" t="s">
        <v>327</v>
      </c>
      <c r="D80" s="12" t="s">
        <v>53</v>
      </c>
      <c r="E80" s="13" t="s">
        <v>378</v>
      </c>
      <c r="F80" s="9">
        <v>1600</v>
      </c>
      <c r="G80" s="9">
        <v>2150</v>
      </c>
      <c r="H80" s="9">
        <v>1600</v>
      </c>
      <c r="I80" s="9">
        <v>2150</v>
      </c>
      <c r="J80" s="9">
        <f>4*3</f>
        <v>12</v>
      </c>
      <c r="K80" s="13">
        <f t="shared" si="7"/>
        <v>41.28</v>
      </c>
      <c r="L80" s="18" t="s">
        <v>90</v>
      </c>
      <c r="M80" s="2">
        <f>K80</f>
        <v>41.28</v>
      </c>
      <c r="N80">
        <f t="shared" si="6"/>
        <v>41.28</v>
      </c>
    </row>
    <row r="81" customHeight="1" spans="1:14">
      <c r="A81" s="9">
        <v>76</v>
      </c>
      <c r="B81" s="10" t="s">
        <v>329</v>
      </c>
      <c r="C81" s="11" t="s">
        <v>342</v>
      </c>
      <c r="D81" s="12" t="s">
        <v>360</v>
      </c>
      <c r="E81" s="13" t="s">
        <v>323</v>
      </c>
      <c r="F81" s="9">
        <v>2100</v>
      </c>
      <c r="G81" s="9">
        <v>2150</v>
      </c>
      <c r="H81" s="9">
        <v>2100</v>
      </c>
      <c r="I81" s="9">
        <v>2150</v>
      </c>
      <c r="J81" s="9">
        <f>7*4</f>
        <v>28</v>
      </c>
      <c r="K81" s="13">
        <f t="shared" si="7"/>
        <v>126.42</v>
      </c>
      <c r="L81" s="18" t="s">
        <v>90</v>
      </c>
      <c r="M81" s="12" t="s">
        <v>360</v>
      </c>
      <c r="N81">
        <f t="shared" si="6"/>
        <v>126.42</v>
      </c>
    </row>
    <row r="82" customHeight="1" spans="1:14">
      <c r="A82" s="9">
        <v>77</v>
      </c>
      <c r="B82" s="10" t="s">
        <v>329</v>
      </c>
      <c r="C82" s="11" t="s">
        <v>342</v>
      </c>
      <c r="D82" s="12" t="s">
        <v>54</v>
      </c>
      <c r="E82" s="13" t="s">
        <v>378</v>
      </c>
      <c r="F82" s="9">
        <v>2100</v>
      </c>
      <c r="G82" s="9">
        <v>2150</v>
      </c>
      <c r="H82" s="9">
        <v>2100</v>
      </c>
      <c r="I82" s="9">
        <v>2150</v>
      </c>
      <c r="J82" s="9">
        <f>4*4</f>
        <v>16</v>
      </c>
      <c r="K82" s="13">
        <f t="shared" si="7"/>
        <v>72.24</v>
      </c>
      <c r="L82" s="18" t="s">
        <v>90</v>
      </c>
      <c r="M82" s="2">
        <f>K82</f>
        <v>72.24</v>
      </c>
      <c r="N82">
        <f t="shared" si="6"/>
        <v>72.24</v>
      </c>
    </row>
    <row r="83" customHeight="1" spans="1:14">
      <c r="A83" s="9">
        <v>78</v>
      </c>
      <c r="B83" s="10" t="s">
        <v>123</v>
      </c>
      <c r="C83" s="11" t="s">
        <v>332</v>
      </c>
      <c r="D83" s="12" t="s">
        <v>57</v>
      </c>
      <c r="E83" s="9" t="s">
        <v>379</v>
      </c>
      <c r="F83" s="9">
        <v>1100</v>
      </c>
      <c r="G83" s="9">
        <v>1500</v>
      </c>
      <c r="H83" s="9">
        <v>1100</v>
      </c>
      <c r="I83" s="9">
        <v>1500</v>
      </c>
      <c r="J83" s="9">
        <v>22</v>
      </c>
      <c r="K83" s="13">
        <f t="shared" si="7"/>
        <v>36.3</v>
      </c>
      <c r="L83" s="18" t="s">
        <v>90</v>
      </c>
      <c r="M83" s="12" t="s">
        <v>362</v>
      </c>
      <c r="N83">
        <f t="shared" si="6"/>
        <v>36.3</v>
      </c>
    </row>
    <row r="84" customHeight="1" spans="1:14">
      <c r="A84" s="9">
        <v>79</v>
      </c>
      <c r="B84" s="10" t="s">
        <v>344</v>
      </c>
      <c r="C84" s="11" t="s">
        <v>363</v>
      </c>
      <c r="D84" s="12" t="s">
        <v>52</v>
      </c>
      <c r="E84" s="9">
        <v>2</v>
      </c>
      <c r="F84" s="9">
        <v>900</v>
      </c>
      <c r="G84" s="9">
        <v>1400</v>
      </c>
      <c r="H84" s="9">
        <v>900</v>
      </c>
      <c r="I84" s="9">
        <v>1400</v>
      </c>
      <c r="J84" s="9">
        <v>2</v>
      </c>
      <c r="K84" s="13">
        <f t="shared" si="7"/>
        <v>2.52</v>
      </c>
      <c r="L84" s="18" t="s">
        <v>90</v>
      </c>
      <c r="M84" s="12" t="s">
        <v>347</v>
      </c>
      <c r="N84">
        <f t="shared" si="6"/>
        <v>2.52</v>
      </c>
    </row>
    <row r="85" customHeight="1" spans="1:14">
      <c r="A85" s="9">
        <v>80</v>
      </c>
      <c r="B85" s="10" t="s">
        <v>100</v>
      </c>
      <c r="C85" s="15" t="s">
        <v>352</v>
      </c>
      <c r="D85" s="12" t="s">
        <v>50</v>
      </c>
      <c r="E85" s="9" t="s">
        <v>365</v>
      </c>
      <c r="F85" s="9">
        <v>500</v>
      </c>
      <c r="G85" s="9">
        <v>1000</v>
      </c>
      <c r="H85" s="9">
        <v>500</v>
      </c>
      <c r="I85" s="9">
        <v>1000</v>
      </c>
      <c r="J85" s="9">
        <v>33</v>
      </c>
      <c r="K85" s="13">
        <f t="shared" si="7"/>
        <v>16.5</v>
      </c>
      <c r="L85" s="18" t="s">
        <v>90</v>
      </c>
      <c r="M85" s="2">
        <f>K85</f>
        <v>16.5</v>
      </c>
      <c r="N85">
        <f t="shared" si="6"/>
        <v>16.5</v>
      </c>
    </row>
    <row r="86" customHeight="1" spans="1:14">
      <c r="A86" s="9">
        <v>81</v>
      </c>
      <c r="B86" s="11" t="s">
        <v>125</v>
      </c>
      <c r="C86" s="11" t="s">
        <v>353</v>
      </c>
      <c r="D86" s="12" t="s">
        <v>64</v>
      </c>
      <c r="E86" s="9" t="s">
        <v>380</v>
      </c>
      <c r="F86" s="9">
        <v>1200</v>
      </c>
      <c r="G86" s="9">
        <v>2350</v>
      </c>
      <c r="H86" s="9">
        <v>1200</v>
      </c>
      <c r="I86" s="9">
        <v>2350</v>
      </c>
      <c r="J86" s="9">
        <v>33</v>
      </c>
      <c r="K86" s="13">
        <f t="shared" si="7"/>
        <v>93.06</v>
      </c>
      <c r="L86" s="18" t="s">
        <v>90</v>
      </c>
      <c r="M86" s="12" t="s">
        <v>366</v>
      </c>
      <c r="N86">
        <f t="shared" si="6"/>
        <v>93.06</v>
      </c>
    </row>
    <row r="87" customHeight="1" spans="1:14">
      <c r="A87" s="9">
        <v>82</v>
      </c>
      <c r="B87" s="11" t="s">
        <v>132</v>
      </c>
      <c r="C87" s="11" t="s">
        <v>367</v>
      </c>
      <c r="D87" s="12" t="s">
        <v>70</v>
      </c>
      <c r="E87" s="9" t="s">
        <v>380</v>
      </c>
      <c r="F87" s="9">
        <v>3600</v>
      </c>
      <c r="G87" s="9">
        <v>2350</v>
      </c>
      <c r="H87" s="9">
        <v>3600</v>
      </c>
      <c r="I87" s="9">
        <v>2350</v>
      </c>
      <c r="J87" s="9">
        <v>11</v>
      </c>
      <c r="K87" s="13">
        <f t="shared" si="7"/>
        <v>93.06</v>
      </c>
      <c r="L87" s="18" t="s">
        <v>90</v>
      </c>
      <c r="M87" s="12" t="s">
        <v>356</v>
      </c>
      <c r="N87">
        <f t="shared" si="6"/>
        <v>93.06</v>
      </c>
    </row>
    <row r="88" customHeight="1" spans="1:14">
      <c r="A88" s="9">
        <v>83</v>
      </c>
      <c r="B88" s="11" t="s">
        <v>132</v>
      </c>
      <c r="C88" s="11" t="s">
        <v>368</v>
      </c>
      <c r="D88" s="12" t="s">
        <v>69</v>
      </c>
      <c r="E88" s="9" t="s">
        <v>380</v>
      </c>
      <c r="F88" s="9">
        <v>1500</v>
      </c>
      <c r="G88" s="9">
        <v>2350</v>
      </c>
      <c r="H88" s="9">
        <v>1500</v>
      </c>
      <c r="I88" s="9">
        <v>2350</v>
      </c>
      <c r="J88" s="9">
        <v>11</v>
      </c>
      <c r="K88" s="13">
        <f t="shared" si="7"/>
        <v>38.775</v>
      </c>
      <c r="L88" s="18" t="s">
        <v>90</v>
      </c>
      <c r="M88" s="12" t="s">
        <v>354</v>
      </c>
      <c r="N88">
        <f t="shared" si="6"/>
        <v>38.775</v>
      </c>
    </row>
    <row r="89" customHeight="1" spans="1:14">
      <c r="A89" s="9">
        <v>84</v>
      </c>
      <c r="B89" s="11" t="s">
        <v>132</v>
      </c>
      <c r="C89" s="11" t="s">
        <v>369</v>
      </c>
      <c r="D89" s="12" t="s">
        <v>69</v>
      </c>
      <c r="E89" s="9" t="s">
        <v>365</v>
      </c>
      <c r="F89" s="9">
        <v>1600</v>
      </c>
      <c r="G89" s="9">
        <v>2350</v>
      </c>
      <c r="H89" s="9">
        <v>1600</v>
      </c>
      <c r="I89" s="9">
        <v>2350</v>
      </c>
      <c r="J89" s="9">
        <v>11</v>
      </c>
      <c r="K89" s="13">
        <f t="shared" si="7"/>
        <v>41.36</v>
      </c>
      <c r="L89" s="18" t="s">
        <v>90</v>
      </c>
      <c r="M89" s="12" t="s">
        <v>354</v>
      </c>
      <c r="N89">
        <f t="shared" si="6"/>
        <v>41.36</v>
      </c>
    </row>
    <row r="90" customHeight="1" spans="1:14">
      <c r="A90" s="9">
        <v>85</v>
      </c>
      <c r="B90" s="11" t="s">
        <v>132</v>
      </c>
      <c r="C90" s="11" t="s">
        <v>370</v>
      </c>
      <c r="D90" s="12" t="s">
        <v>69</v>
      </c>
      <c r="E90" s="9" t="s">
        <v>365</v>
      </c>
      <c r="F90" s="9">
        <v>4800</v>
      </c>
      <c r="G90" s="9">
        <v>2350</v>
      </c>
      <c r="H90" s="9">
        <v>4800</v>
      </c>
      <c r="I90" s="9">
        <v>2350</v>
      </c>
      <c r="J90" s="9">
        <v>33</v>
      </c>
      <c r="K90" s="13">
        <f t="shared" si="7"/>
        <v>372.24</v>
      </c>
      <c r="L90" s="18" t="s">
        <v>90</v>
      </c>
      <c r="M90" s="12" t="s">
        <v>354</v>
      </c>
      <c r="N90">
        <f t="shared" si="6"/>
        <v>372.24</v>
      </c>
    </row>
    <row r="91" customHeight="1" spans="1:14">
      <c r="A91" s="9">
        <v>86</v>
      </c>
      <c r="B91" s="11" t="s">
        <v>125</v>
      </c>
      <c r="C91" s="11" t="s">
        <v>371</v>
      </c>
      <c r="D91" s="12" t="s">
        <v>64</v>
      </c>
      <c r="E91" s="9" t="s">
        <v>365</v>
      </c>
      <c r="F91" s="9">
        <v>700</v>
      </c>
      <c r="G91" s="9">
        <v>2350</v>
      </c>
      <c r="H91" s="9">
        <v>700</v>
      </c>
      <c r="I91" s="9">
        <v>2350</v>
      </c>
      <c r="J91" s="9">
        <v>40</v>
      </c>
      <c r="K91" s="13">
        <f t="shared" si="7"/>
        <v>65.8</v>
      </c>
      <c r="L91" s="18" t="s">
        <v>90</v>
      </c>
      <c r="M91" s="12" t="s">
        <v>366</v>
      </c>
      <c r="N91">
        <f t="shared" si="6"/>
        <v>65.8</v>
      </c>
    </row>
    <row r="92" customHeight="1" spans="1:14">
      <c r="A92" s="9">
        <v>87</v>
      </c>
      <c r="B92" s="11" t="s">
        <v>130</v>
      </c>
      <c r="C92" s="11" t="s">
        <v>372</v>
      </c>
      <c r="D92" s="12" t="s">
        <v>67</v>
      </c>
      <c r="E92" s="9" t="s">
        <v>374</v>
      </c>
      <c r="F92" s="9">
        <v>1200</v>
      </c>
      <c r="G92" s="9">
        <v>2400</v>
      </c>
      <c r="H92" s="9">
        <v>1200</v>
      </c>
      <c r="I92" s="9">
        <v>2400</v>
      </c>
      <c r="J92" s="9">
        <v>2</v>
      </c>
      <c r="K92" s="13">
        <f t="shared" si="7"/>
        <v>5.76</v>
      </c>
      <c r="L92" s="18" t="s">
        <v>90</v>
      </c>
      <c r="M92" s="2">
        <f>K92</f>
        <v>5.76</v>
      </c>
      <c r="N92">
        <f t="shared" si="6"/>
        <v>5.76</v>
      </c>
    </row>
    <row r="93" customHeight="1" spans="1:14">
      <c r="A93" s="9">
        <v>88</v>
      </c>
      <c r="B93" s="12" t="s">
        <v>381</v>
      </c>
      <c r="C93" s="11" t="s">
        <v>140</v>
      </c>
      <c r="D93" s="12" t="s">
        <v>382</v>
      </c>
      <c r="E93" s="14">
        <v>1</v>
      </c>
      <c r="F93" s="14">
        <f>6750+5500+31300</f>
        <v>43550</v>
      </c>
      <c r="G93" s="14">
        <v>2900</v>
      </c>
      <c r="H93" s="14">
        <f>6750+5500+31300</f>
        <v>43550</v>
      </c>
      <c r="I93" s="14">
        <v>2900</v>
      </c>
      <c r="J93" s="9">
        <v>1</v>
      </c>
      <c r="K93" s="13">
        <f t="shared" si="7"/>
        <v>126.295</v>
      </c>
      <c r="L93" s="18" t="s">
        <v>90</v>
      </c>
      <c r="M93" s="2">
        <f>K93</f>
        <v>126.295</v>
      </c>
      <c r="N93">
        <f t="shared" si="6"/>
        <v>126.295</v>
      </c>
    </row>
    <row r="94" customHeight="1" spans="1:14">
      <c r="A94" s="9">
        <v>89</v>
      </c>
      <c r="B94" s="12" t="s">
        <v>383</v>
      </c>
      <c r="C94" s="11" t="s">
        <v>140</v>
      </c>
      <c r="D94" s="12" t="s">
        <v>384</v>
      </c>
      <c r="E94" s="14">
        <v>1</v>
      </c>
      <c r="F94" s="14">
        <v>10450</v>
      </c>
      <c r="G94" s="14">
        <v>2900</v>
      </c>
      <c r="H94" s="14">
        <v>10450</v>
      </c>
      <c r="I94" s="14">
        <v>2900</v>
      </c>
      <c r="J94" s="9">
        <v>1</v>
      </c>
      <c r="K94" s="13">
        <f t="shared" si="7"/>
        <v>30.305</v>
      </c>
      <c r="L94" s="18" t="s">
        <v>90</v>
      </c>
      <c r="M94" s="2">
        <f>K94</f>
        <v>30.305</v>
      </c>
      <c r="N94">
        <f t="shared" si="6"/>
        <v>30.305</v>
      </c>
    </row>
    <row r="95" customHeight="1" spans="1:14">
      <c r="A95" s="9">
        <v>90</v>
      </c>
      <c r="B95" s="12" t="s">
        <v>383</v>
      </c>
      <c r="C95" s="11" t="s">
        <v>140</v>
      </c>
      <c r="D95" s="12" t="s">
        <v>384</v>
      </c>
      <c r="E95" s="14">
        <v>1</v>
      </c>
      <c r="F95" s="14">
        <v>9800</v>
      </c>
      <c r="G95" s="14">
        <v>2900</v>
      </c>
      <c r="H95" s="14">
        <v>9800</v>
      </c>
      <c r="I95" s="14">
        <v>2900</v>
      </c>
      <c r="J95" s="9">
        <v>1</v>
      </c>
      <c r="K95" s="13">
        <f t="shared" si="7"/>
        <v>28.42</v>
      </c>
      <c r="L95" s="18" t="s">
        <v>90</v>
      </c>
      <c r="M95" s="2">
        <f>K95</f>
        <v>28.42</v>
      </c>
      <c r="N95">
        <f t="shared" si="6"/>
        <v>28.42</v>
      </c>
    </row>
    <row r="96" customHeight="1" spans="1:14">
      <c r="A96" s="20" t="s">
        <v>91</v>
      </c>
      <c r="B96" s="21"/>
      <c r="C96" s="21"/>
      <c r="D96" s="21"/>
      <c r="E96" s="21"/>
      <c r="F96" s="21"/>
      <c r="G96" s="21"/>
      <c r="H96" s="21"/>
      <c r="I96" s="21"/>
      <c r="J96" s="21"/>
      <c r="K96" s="21"/>
      <c r="L96" s="21"/>
      <c r="M96" s="2">
        <f>K96</f>
        <v>0</v>
      </c>
      <c r="N96">
        <f t="shared" si="6"/>
        <v>0</v>
      </c>
    </row>
    <row r="97" customHeight="1" spans="1:14">
      <c r="A97" s="22">
        <v>91</v>
      </c>
      <c r="B97" s="23" t="s">
        <v>329</v>
      </c>
      <c r="C97" s="24" t="s">
        <v>334</v>
      </c>
      <c r="D97" s="12" t="s">
        <v>53</v>
      </c>
      <c r="E97" s="25" t="s">
        <v>385</v>
      </c>
      <c r="F97" s="22">
        <v>1500</v>
      </c>
      <c r="G97" s="22">
        <v>1500</v>
      </c>
      <c r="H97" s="22">
        <v>1500</v>
      </c>
      <c r="I97" s="22">
        <v>1500</v>
      </c>
      <c r="J97" s="22">
        <v>6</v>
      </c>
      <c r="K97" s="26">
        <f>J97*G97*F97/1000000</f>
        <v>13.5</v>
      </c>
      <c r="L97" s="27" t="s">
        <v>91</v>
      </c>
      <c r="M97" s="12" t="s">
        <v>331</v>
      </c>
      <c r="N97">
        <f t="shared" si="6"/>
        <v>13.5</v>
      </c>
    </row>
    <row r="98" customHeight="1" spans="1:14">
      <c r="A98" s="9"/>
      <c r="B98" s="15"/>
      <c r="C98" s="15"/>
      <c r="D98" s="15"/>
      <c r="E98" s="9"/>
      <c r="F98" s="9"/>
      <c r="G98" s="9"/>
      <c r="H98" s="9"/>
      <c r="I98" s="9"/>
      <c r="J98" s="9"/>
      <c r="K98" s="9"/>
      <c r="L98" s="18"/>
      <c r="N98">
        <f t="shared" si="6"/>
        <v>0</v>
      </c>
    </row>
    <row r="99" customHeight="1" spans="13:14">
      <c r="M99" s="2">
        <f>SUM(M3:M98)</f>
        <v>399.1</v>
      </c>
      <c r="N99" s="2">
        <f>SUM(N3:N98)</f>
        <v>7056.485</v>
      </c>
    </row>
    <row r="109" customHeight="1" spans="2:2">
      <c r="B109" t="s">
        <v>386</v>
      </c>
    </row>
  </sheetData>
  <autoFilter xmlns:etc="http://www.wps.cn/officeDocument/2017/etCustomData" ref="A1:N99" etc:filterBottomFollowUsedRange="0">
    <extLst/>
  </autoFilter>
  <mergeCells count="5">
    <mergeCell ref="A1:L1"/>
    <mergeCell ref="A3:L3"/>
    <mergeCell ref="A37:L37"/>
    <mergeCell ref="A68:L68"/>
    <mergeCell ref="A96:L9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封面</vt:lpstr>
      <vt:lpstr>报价说明</vt:lpstr>
      <vt:lpstr>汇总表</vt:lpstr>
      <vt:lpstr>工程量清单清单</vt:lpstr>
      <vt:lpstr>综合单价分析</vt:lpstr>
      <vt:lpstr>主要材料品牌单价</vt:lpstr>
      <vt:lpstr>五金配置表</vt:lpstr>
      <vt:lpstr>玻璃调整表</vt:lpstr>
      <vt:lpstr>工程量计算数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root</dc:creator>
  <cp:lastModifiedBy>岳鹏</cp:lastModifiedBy>
  <dcterms:created xsi:type="dcterms:W3CDTF">2022-06-01T07:32:00Z</dcterms:created>
  <dcterms:modified xsi:type="dcterms:W3CDTF">2024-07-19T06:07:08Z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6B3D5EBBE99345A8B1E41242BA406714_13</vt:lpwstr>
  </property>
  <property fmtid="{D5CDD505-2E9C-101B-9397-08002B2CF9AE}" pid="3" name="KSOProductBuildVer">
    <vt:lpwstr>2052-12.1.0.17468</vt:lpwstr>
  </property>
</Properties>
</file>