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结算审批表" sheetId="3" r:id="rId1"/>
    <sheet name="资料存档目录" sheetId="5" r:id="rId2"/>
    <sheet name="结算汇总表" sheetId="4" r:id="rId3"/>
    <sheet name="园建工程+安装" sheetId="1" r:id="rId4"/>
    <sheet name="零星工程签证明细汇总编号01" sheetId="7" r:id="rId5"/>
    <sheet name="零星工程签证明细汇总编号02" sheetId="10" r:id="rId6"/>
    <sheet name="零星工程签证明细汇总编号04" sheetId="9" r:id="rId7"/>
    <sheet name="零星工程签证明细汇总编号05" sheetId="12" r:id="rId8"/>
    <sheet name="安装--计算过程" sheetId="13" r:id="rId9"/>
    <sheet name="零星工程签证明细汇总编号06" sheetId="11" r:id="rId10"/>
    <sheet name="Sheet6" sheetId="8" state="hidden" r:id="rId11"/>
  </sheets>
  <externalReferences>
    <externalReference r:id="rId12"/>
    <externalReference r:id="rId13"/>
  </externalReferences>
  <definedNames>
    <definedName name="HWSheet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<sst xmlns="http://schemas.openxmlformats.org/spreadsheetml/2006/main" count="725" uniqueCount="323">
  <si>
    <t>伊河湾项目展示区景观停车场及EPDM地垫等零星工程结算审批表</t>
  </si>
  <si>
    <t>工程名称</t>
  </si>
  <si>
    <t>伊河湾项目展示区景观停车场及EPDM地垫等零星工程</t>
  </si>
  <si>
    <t>合同编号</t>
  </si>
  <si>
    <t>施工单位</t>
  </si>
  <si>
    <t>郑州保民建筑材料有限公司</t>
  </si>
  <si>
    <t>造价咨询单位</t>
  </si>
  <si>
    <t xml:space="preserve">YHW-JP-035 </t>
  </si>
  <si>
    <t>目标成本</t>
  </si>
  <si>
    <t>合同造价</t>
  </si>
  <si>
    <t xml:space="preserve"> 949253.81元（暂定）</t>
  </si>
  <si>
    <t>送审造价</t>
  </si>
  <si>
    <t>小写1012640.39元</t>
  </si>
  <si>
    <t>审定造价</t>
  </si>
  <si>
    <t>小写：825093.69元</t>
  </si>
  <si>
    <t>大写：壹佰零壹万贰仟陆佰肆拾元叁角玖分</t>
  </si>
  <si>
    <t>大写：捌拾贰万伍仟零玖拾叁元陆角玖分</t>
  </si>
  <si>
    <t>超目标成本比例</t>
  </si>
  <si>
    <t>超合同造价比例</t>
  </si>
  <si>
    <t>成本部门主办人</t>
  </si>
  <si>
    <t xml:space="preserve"> </t>
  </si>
  <si>
    <t>日期：</t>
  </si>
  <si>
    <t>成本部门经理</t>
  </si>
  <si>
    <t>项目总</t>
  </si>
  <si>
    <t>成本总监</t>
  </si>
  <si>
    <t>大运营中心</t>
  </si>
  <si>
    <t>总裁</t>
  </si>
  <si>
    <t>董事长/董事会</t>
  </si>
  <si>
    <t>伊河湾项目展示区景观停车场及EPDM地垫等零星工程结算资料存档目录</t>
  </si>
  <si>
    <t>序号</t>
  </si>
  <si>
    <t>名称</t>
  </si>
  <si>
    <t>份/页</t>
  </si>
  <si>
    <t>页码</t>
  </si>
  <si>
    <t>原件/复印件</t>
  </si>
  <si>
    <t>备注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</si>
  <si>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</si>
  <si>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</si>
  <si>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</si>
  <si>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</si>
  <si>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</si>
  <si>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</si>
  <si>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</si>
  <si>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</si>
  <si>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清单报价说明及明细</t>
  </si>
  <si>
    <t>第4页</t>
  </si>
  <si>
    <t>结算通知书（工程）</t>
  </si>
  <si>
    <t>第5页</t>
  </si>
  <si>
    <t>结算申请报告（工程）</t>
  </si>
  <si>
    <t>第6页</t>
  </si>
  <si>
    <t>授权委托书</t>
  </si>
  <si>
    <t>第7页</t>
  </si>
  <si>
    <t>工程往来账目明细</t>
  </si>
  <si>
    <t>伊河湾零星工程任务派发单和验收确认单（编号：001  ）</t>
  </si>
  <si>
    <t>1份2页</t>
  </si>
  <si>
    <t>伊河湾零星工程任务派发单和验收确认单（编号：002 ）</t>
  </si>
  <si>
    <t>伊河湾零星工程任务派发单和验收确认单（编号：004 ）</t>
  </si>
  <si>
    <t>伊河湾零星工程任务派发单和验收确认单（编号：005 ）</t>
  </si>
  <si>
    <t>伊河湾零星工程任务派发单和验收确认单（编号：006 ）</t>
  </si>
  <si>
    <t>造价师：</t>
  </si>
  <si>
    <t>伊河湾项目展示区景观停车场及EPDM地垫等零星工程结算汇总表</t>
  </si>
  <si>
    <t>合同编号：YHW-JP-035                          合同金额： 949253.81元（暂定总价）</t>
  </si>
  <si>
    <t>合同名称：伊河湾项目展示区景观停车场及EPDM地垫等零星工程</t>
  </si>
  <si>
    <t>甲    方：河南浩德新澜置业有限公司</t>
  </si>
  <si>
    <t>乙    方:郑州保民建筑材料有限公司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</si>
  <si>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</si>
  <si>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</si>
  <si>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</si>
  <si>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</si>
  <si>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</si>
  <si>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</si>
  <si>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</si>
  <si>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</si>
  <si>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</si>
  <si>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派发单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</si>
  <si>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</si>
  <si>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</si>
  <si>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</si>
  <si>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</si>
  <si>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</si>
  <si>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</si>
  <si>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</si>
  <si>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</si>
  <si>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</si>
  <si>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</si>
  <si>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</si>
  <si>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</si>
  <si>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</si>
  <si>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</si>
  <si>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</si>
  <si>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</si>
  <si>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</si>
  <si>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审减金额超5%部分扣款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</si>
  <si>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</si>
  <si>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</si>
  <si>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</si>
  <si>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</si>
  <si>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</si>
  <si>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</si>
  <si>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价格清单（伊河湾项目展示区景观及室外管网工程）-园建工程</t>
  </si>
  <si>
    <t>工程项目名称</t>
  </si>
  <si>
    <t>工程内容</t>
  </si>
  <si>
    <t>单位</t>
  </si>
  <si>
    <t>核对后
工程量
g</t>
  </si>
  <si>
    <t>其中：各子项构成（元）</t>
  </si>
  <si>
    <t xml:space="preserve">含税综合单价(元)
</t>
  </si>
  <si>
    <t>合价(元)</t>
  </si>
  <si>
    <t>人工费
a</t>
  </si>
  <si>
    <t>主材费
b</t>
  </si>
  <si>
    <t>机械、辅材及其他c</t>
  </si>
  <si>
    <t>综合费
d=(a+b+c)*费率</t>
  </si>
  <si>
    <t>税金
e=(a+b+c+d)*费率</t>
  </si>
  <si>
    <t>铺装</t>
  </si>
  <si>
    <t>车行道地面铺装</t>
  </si>
  <si>
    <t>素土夯实</t>
  </si>
  <si>
    <t>1.密实度要求:夯实系数≥94%
2.夯填材料种类:素土夯实
3.含铺设夯填材料、强夯、夯填材料运输等
4.其他:满足相关规范及图纸设计要求</t>
  </si>
  <si>
    <t>m2</t>
  </si>
  <si>
    <t>碎石垫层</t>
  </si>
  <si>
    <t>1.垫层材料种类、配合比、厚度：200厚碎石垫层
2.含材料拌合、运输、铺设、压实等
3.其它：满足相关规范及图纸设计要求</t>
  </si>
  <si>
    <t>m3</t>
  </si>
  <si>
    <t>混凝土垫层</t>
  </si>
  <si>
    <t>1.混凝土强度等级：200厚C25素混凝土
2.混凝土运输、泵送、浇筑、养护
3.含模板及支撑制作、安装、拆除等一切措施
4.其他：满足相关规范及图纸设计要求</t>
  </si>
  <si>
    <t>沥青面层</t>
  </si>
  <si>
    <t>1.透层采用乳化沥青（1.1L/m2）及一层土工布防裂层，中面层采用60厚中颗粒沥青砼(AC-20C)，粘层采用乳化沥青(0.5L/m2 )，面层采用40厚SMA-13细颗粒沥青砼表面
2.含清理杂物、材料拌合、泵送、铺筑、碾压、养护、材料场内外运输
3.其他：满足相关规范及图纸设计要求</t>
  </si>
  <si>
    <t>原合同价，土工布未施工，费用扣减</t>
  </si>
  <si>
    <t>道牙</t>
  </si>
  <si>
    <r>
      <rPr>
        <sz val="9"/>
        <rFont val="宋体"/>
        <charset val="134"/>
        <scheme val="minor"/>
      </rPr>
      <t>1.材质：600*150*250烧面芝麻灰立道牙（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</si>
  <si>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m</t>
  </si>
  <si>
    <t>弧形道牙</t>
  </si>
  <si>
    <r>
      <rPr>
        <sz val="9"/>
        <rFont val="宋体"/>
        <charset val="134"/>
        <scheme val="minor"/>
      </rPr>
      <t>1.材质：600*150*250烧面芝麻灰立道牙（弧形段，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</si>
  <si>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彩色热熔标线</t>
  </si>
  <si>
    <t>1.200mm宽彩色热熔漆划线
2.含基层清理、放样、涂刷、养护、成品保护
3.其他：满足相关规范及图纸设计要求</t>
  </si>
  <si>
    <t>成品岗亭</t>
  </si>
  <si>
    <t>1.材质：无详图，原宜阳项目岗亭刷漆翻新,铺红地毯
2.其他：宜阳运到项目，刷漆翻新</t>
  </si>
  <si>
    <t>座</t>
  </si>
  <si>
    <t>市政沥青路面拆除</t>
  </si>
  <si>
    <t>暂定100mm沥青面层、700mm碎石垫层，砖渣开挖深度以现场实际开挖为主</t>
  </si>
  <si>
    <t>工程量根据收方记录核算</t>
  </si>
  <si>
    <t>垃圾外运</t>
  </si>
  <si>
    <t>砼、碎石及沥青路面垃圾外运</t>
  </si>
  <si>
    <t>市政透水砖拆除</t>
  </si>
  <si>
    <t>透水砖保护性拆除、堆放至指定地点，码放整齐，150mm砼垫层破坏性拆除</t>
  </si>
  <si>
    <t>道牙拆除</t>
  </si>
  <si>
    <t>市政道牙</t>
  </si>
  <si>
    <t>路灯移位</t>
  </si>
  <si>
    <t>约11m高，报价综合考虑</t>
  </si>
  <si>
    <t>盏</t>
  </si>
  <si>
    <t>广告牌</t>
  </si>
  <si>
    <t>6m高，报价综合考虑</t>
  </si>
  <si>
    <t>停车位</t>
  </si>
  <si>
    <t>1.密实度要求:夯实系数≥93%
2.夯填材料种类:素土夯实
3.含铺设夯填材料、强夯、夯填材料运输等
4.其他:满足相关规范及图纸设计要求</t>
  </si>
  <si>
    <t>混凝土垫层（车档垫层）</t>
  </si>
  <si>
    <t>1.混凝土强度等级：C15素混凝土
2.混凝土运输、泵送、浇筑、养护
3.含模板及支撑制作、安装、拆除等一切措施
4.其他：满足相关规范及图纸设计要求</t>
  </si>
  <si>
    <t>成品车挡</t>
  </si>
  <si>
    <t>1.材质：120*200*600成品车挡
2.其他：满足相关规范及图纸设计要求</t>
  </si>
  <si>
    <t>个</t>
  </si>
  <si>
    <r>
      <rPr>
        <sz val="9"/>
        <rFont val="宋体"/>
        <charset val="134"/>
        <scheme val="minor"/>
      </rPr>
      <t>1.材质：600*150*250烧面芝麻灰立道牙（</t>
    </r>
    <r>
      <rPr>
        <sz val="9"/>
        <color indexed="10"/>
        <rFont val="宋体"/>
        <charset val="134"/>
      </rPr>
      <t>道牙甲供）</t>
    </r>
    <r>
      <rPr>
        <sz val="9"/>
        <rFont val="宋体"/>
        <charset val="134"/>
      </rPr>
      <t xml:space="preserve">
2.结合层：20厚1：2.5水泥砂浆
3.含基层清理、抹灰、铺设、磨边、嵌缝、材料运输等
4.其他：满足相关规范及图纸设计要求</t>
    </r>
  </si>
  <si>
    <r>
      <rPr>
        <sz val="9"/>
        <rFont val="宋体"/>
        <charset val="134"/>
        <scheme val="minor"/>
      </rPr>
      <t>1.材质：600*150*250烧面芝麻灰立道牙（弧形段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</si>
  <si>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彩色冷喷漆划线</t>
  </si>
  <si>
    <t>1.150mm宽浅蓝色冷喷漆划线
2.含基层清理、放样、涂刷、养护、成品保护
3.其他：满足相关规范及图纸设计要求</t>
  </si>
  <si>
    <t>儿童活动场地及舞台空间</t>
  </si>
  <si>
    <t>儿童活动场地</t>
  </si>
  <si>
    <t>夯实地基</t>
  </si>
  <si>
    <t>梦境施工，不再计取</t>
  </si>
  <si>
    <t>EPDM橡胶地垫（造坡）</t>
  </si>
  <si>
    <t>1.现浇13厚EPDM安全橡胶垫（米黄色）
2、20厚1:2.5水泥砂浆找平层
3、100厚C30砼，C8@200单层双向
4、100厚级配碎石垫层
5、含基层清理、抹找平层、面层铺设、嵌缝、材料运输等
6、其他：满足相关规范及图纸设计要求</t>
  </si>
  <si>
    <t>EPDM橡胶地垫</t>
  </si>
  <si>
    <t xml:space="preserve">1.现浇18厚EPDM安全橡胶垫（米黄色）
</t>
  </si>
  <si>
    <t>仅施工面层，费用需要单独约谈</t>
  </si>
  <si>
    <t>1.现浇13厚EPDM安全橡胶垫（浅橙色）
2、20厚1:2.5水泥砂浆找平层
3、100厚C30砼，C8@200单层双向
4、100厚级配碎石垫层
5、含基层清理、抹找平层、面层铺设、嵌缝、材料运输等
6、其他：满足相关规范及图纸设计要求</t>
  </si>
  <si>
    <t>1.现浇13厚EPDM安全橡胶垫（浅橙色）
2、抗裂钢丝挂网，丝径6mm16目
4、50厚细石砼找平层
5、80厚C20垫层
6、100厚碎石垫层
7、50*5厚通长原色不锈钢收边304
8、含基层清理、抹找平层、面层铺设、嵌缝、材料运输等
9、其他：满足相关规范及图纸设计要求</t>
  </si>
  <si>
    <t>1.现浇13厚EPDM安全橡胶垫（浅蓝色）
2、20厚1:2.5水泥砂浆找平层
3、100厚C30砼，C8@200单层双向
4、100厚级配碎石垫层
5、含基层清理、抹找平层、面层铺设、嵌缝、材料运输等
6、其他：满足相关规范及图纸设计要求</t>
  </si>
  <si>
    <t>条形石座凳</t>
  </si>
  <si>
    <t>1.30厚抛光面仿芝麻白水磨石饰面
2.C30钢筋混凝土，c8@150双层双向
3.100厚现浇C20混凝土
4.100厚级配碎石垫层
5.素土夯实,密实度大于95%
6.含基层清理、抹找平层、面层铺设、磨边、嵌缝、材料运输等
7.含混凝土运输、泵送、浇筑、养护。模板及支撑制作、安装、拆除等一切措施
8.其他：满足相关规范及图纸设计要求</t>
  </si>
  <si>
    <t>仅施工水磨石面层，费用扣减</t>
  </si>
  <si>
    <t>舞台空间</t>
  </si>
  <si>
    <t>1.现浇13厚EPDM安全橡胶垫（米黄色）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</si>
  <si>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抗裂钢丝挂网，丝径6mm16目未施工，费用核减</t>
  </si>
  <si>
    <t>1.现浇13厚EPDM安全橡胶垫（浅橙色）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</si>
  <si>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1.现浇13厚EPDM安全橡胶垫（浅蓝色）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</si>
  <si>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1.13厚浅橙色EPDM橡胶地垫（浅橙色拱形）
2.30厚1：2.5水泥砂浆找平层
3.100厚C30混凝土，φ8@150双层双向
4.100厚级配碎石垫层
5.素土夯实,密实度大于95%
6.含基层清理、抹找平层、面层铺设、磨边、嵌缝、材料运输等
7.含混凝土运输、泵送、浇筑、养护，模板及支撑制作、安装、拆除等一切措施</t>
  </si>
  <si>
    <t>十二</t>
  </si>
  <si>
    <t>外摆设施</t>
  </si>
  <si>
    <t>垃圾桶</t>
  </si>
  <si>
    <t>1.材质：黑钛金不锈钢+香槟金色不锈钢
2.规格：600*400*1000
3.含选样、采购、运输、装卸、安装等工作内容
4.其他：满足相关规范及图纸设计要求</t>
  </si>
  <si>
    <t>组合桌椅</t>
  </si>
  <si>
    <t>1.材质：热镀锌钢面喷深灰色氟碳漆
2.桌规格：φ550*600
3.椅规格：750*550*650
4.含选样、采购、运输、装卸、安装等工作内容
5.其他：满足相关规范及图纸设计要求</t>
  </si>
  <si>
    <t>套</t>
  </si>
  <si>
    <t>活动区箱子1</t>
  </si>
  <si>
    <t>1.材质：热镀锌钢箱+面喷红、蓝、黄色氟碳漆
2.规格：850*850*850*3
3.含选样、采购、运输、装卸、安装等工作内容
4.其他：满足相关规范及图纸设计要求</t>
  </si>
  <si>
    <t>未施工</t>
  </si>
  <si>
    <t>活动区箱子2</t>
  </si>
  <si>
    <t>1.材质：热镀锌钢箱+面喷红、蓝、黄色氟碳漆
2.规格：720*720*720*3
3.含选样、采购、运输、装卸、安装等工作内容
4.其他：满足相关规范及图纸设计要求</t>
  </si>
  <si>
    <t>活动区箱子3</t>
  </si>
  <si>
    <t>1.材质：热镀锌钢箱+面喷红、蓝、黄色氟碳漆
2.规格：600*600*600*3
3.含选样、采购、运输、装卸、安装等工作内容
4.其他：满足相关规范及图纸设计要求</t>
  </si>
  <si>
    <t>儿童活动设施</t>
  </si>
  <si>
    <t>含滑梯、攀爬管、攀爬钉、攀爬网
1.材质：滑梯、攀爬管、攀爬钉为热镀锌钢+面喷灰色氟碳漆，攀爬网为黑钛金不锈钢+香槟金色不锈钢
2.规格：滑梯3000*800*300，攀爬管3000*60*300，攀爬钉φ90*45/φ220*110/φ450*220/φ550*220
3.含选样、采购、运输、装卸、安装等工作内容
4.其他：满足相关规范及图纸设计要求</t>
  </si>
  <si>
    <t>项</t>
  </si>
  <si>
    <t>停车场景观排水</t>
  </si>
  <si>
    <t>塑料管</t>
  </si>
  <si>
    <t>1.安装部位:室外
2.介质:排水
3.材质、规格:UPVC双壁波纹管 DN300
4.连接形式：承插口胶圈连接
6.管道检验及试验要求：含管道闭水试验
6.其他:满足相关规范及图纸设计要求</t>
  </si>
  <si>
    <t>1.安装部位:室外
2.介质:排水
3.材质、规格:UPVC排水管DN200
4.连接形式:粘接
5.含管道及管件安装,灌水试验.
6.其他:满足相关规范及图纸设计要求</t>
  </si>
  <si>
    <t>1.安装部位:室外
2.介质:排水
3.材质、规格:UPVC排水管DN100
4.连接形式:粘接
5.含管道及管件安装,灌水试验.
6.其他:满足相关规范及图纸设计要求</t>
  </si>
  <si>
    <t>雨水口</t>
  </si>
  <si>
    <t>1. 名称：雨水口
2..其他：满足相关规范及图纸设计要求</t>
  </si>
  <si>
    <t>挖沟槽土方</t>
  </si>
  <si>
    <t>1.土壤类别:一二类土
2.挖沟深度:1.0m 以内
3.其他:满足相关规范及图纸设计要求</t>
  </si>
  <si>
    <t>宽0.8深0.8</t>
  </si>
  <si>
    <t>回填方</t>
  </si>
  <si>
    <t>1.密实度要求：夯填土
2.填方材料品种：原土回填
3.填方来源、运距：就进取土
4.含槽底夯实
5.其他:满足相关规范及图纸设计要求</t>
  </si>
  <si>
    <t>1.垫层材料种类、配合比、厚度:砂垫层
2.材料品种、规格:采用颗粒小于40mm砂砾、压实度大于等于90%
3.厚度:10mm
4.含材料拌合、运输、铺设、压实等
5.其他:满足相关规范及图纸设计要求</t>
  </si>
  <si>
    <t>外网停车场排水</t>
  </si>
  <si>
    <t>1.安装部位:室外
2.介质:雨水
3.材质、规格:HDPE波纹管 DN300
4.连接形式：承插口胶圈连接
5.管道检验及试验要求：含管道闭水试验
6.其他:满足相关规范及图纸设计要求</t>
  </si>
  <si>
    <t>塑料检查井</t>
  </si>
  <si>
    <t>1.名称：塑料检查井
2.详图集08SS523《建筑小区塑料排水检查井》
3.含土方开挖及回填、含井盖及防坠网
4.其他：满足相关规范及图纸设计要求</t>
  </si>
  <si>
    <t>1.土壤类别:一二类土
2.挖沟深度:2.0m 以内
3.其他:满足相关规范及图纸设计要求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</si>
  <si>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</si>
  <si>
    <r>
      <rPr>
        <sz val="10"/>
        <rFont val="宋体"/>
        <charset val="134"/>
      </rPr>
      <t>伊河湾项目展示区景观停车场及EPDM地垫等零星工程签证</t>
    </r>
    <r>
      <rPr>
        <b/>
        <sz val="10"/>
        <rFont val="宋体"/>
        <charset val="134"/>
      </rPr>
      <t>明细汇总表</t>
    </r>
  </si>
  <si>
    <t>内容、部位</t>
  </si>
  <si>
    <t>日期</t>
  </si>
  <si>
    <t>规格</t>
  </si>
  <si>
    <t>工程量</t>
  </si>
  <si>
    <t>单价</t>
  </si>
  <si>
    <t>金额（元）</t>
  </si>
  <si>
    <t>说明</t>
  </si>
  <si>
    <t>伊河湾项目展示区景观停车场及EPDM地垫等零星工程合同（编号：01  ）</t>
  </si>
  <si>
    <t>拆除村民门口钢架</t>
  </si>
  <si>
    <t>地产承担</t>
  </si>
  <si>
    <t>普工按工程监理确认工程量计入</t>
  </si>
  <si>
    <t>拆除清理北侧村口绿化带，浇筑路面混凝土；</t>
  </si>
  <si>
    <t>车</t>
  </si>
  <si>
    <t>含垃圾归集、装车，运至垃圾场处理全部费用（垃圾运输车容积8m³）</t>
  </si>
  <si>
    <t>C25砼路面厚200mm，C25砼按500元/m3</t>
  </si>
  <si>
    <t>c30混凝土，按照C25砼价格核算</t>
  </si>
  <si>
    <t>150型皮轮挖机吊钢板2块，铺设村口道路</t>
  </si>
  <si>
    <t>台班</t>
  </si>
  <si>
    <t>150型皮轮挖2000/台班</t>
  </si>
  <si>
    <t>北侧村口绿化带拆除，树木拆除，隔离带拆除，垃圾清理，围挡外加宽路面</t>
  </si>
  <si>
    <t>150型皮轮挖机2000/台班</t>
  </si>
  <si>
    <t>北侧村口围挡内路面混凝土浇筑，挖机平整压实基底</t>
  </si>
  <si>
    <t>60挖机0.5个台班</t>
  </si>
  <si>
    <t>售楼部室内楼梯顶喷漆，搭拆活动架，周边防护等</t>
  </si>
  <si>
    <t>参考三方价格</t>
  </si>
  <si>
    <t>入口水景南边市政人行道连接处南侧路基垃圾清理，平整，修补道牙</t>
  </si>
  <si>
    <t>入口水景南边市政人行道剔凿市政井盖混凝土，清理，调整标高</t>
  </si>
  <si>
    <t>停车场市政配电箱涂鸦</t>
  </si>
  <si>
    <t>材料费（后附详单）</t>
  </si>
  <si>
    <t>晚上拆除市政护栏</t>
  </si>
  <si>
    <t>配合售楼部开放，搬运物品等</t>
  </si>
  <si>
    <t>围挡西侧市政人行道垫层底部垃圾清理，平整</t>
  </si>
  <si>
    <t>整理停车场红地毯，运至3号楼地下室，打扫卫生</t>
  </si>
  <si>
    <t>打扫北侧村口道路卫生</t>
  </si>
  <si>
    <t>移村民项目部门口围挡材料</t>
  </si>
  <si>
    <t>2023年6月6日、7日</t>
  </si>
  <si>
    <t>围挡西侧市政人行道混凝土浇筑</t>
  </si>
  <si>
    <t>c20混凝土，平均厚度0.2</t>
  </si>
  <si>
    <t>安乐小院门口路面平整，打地坪</t>
  </si>
  <si>
    <t>技工按工程监理确认工程量计入</t>
  </si>
  <si>
    <t>60挖机个台班</t>
  </si>
  <si>
    <t xml:space="preserve">甲方代表：                                                                      </t>
  </si>
  <si>
    <t>乙方代表：</t>
  </si>
  <si>
    <t>伊河湾项目展示区景观停车场及EPDM地垫等零星工程合同（编号：02 ）</t>
  </si>
  <si>
    <t>保民公司景观借工明细表</t>
  </si>
  <si>
    <t>售楼部门前景观垫层剔凿返工</t>
  </si>
  <si>
    <t>售楼部门前景观垫层返工，垃圾清理</t>
  </si>
  <si>
    <t>晚上加班售楼部门前景观垫层返工，垃圾清理</t>
  </si>
  <si>
    <t>打扫停车场卫生</t>
  </si>
  <si>
    <t>打扫停车场卫生和冲洗地面</t>
  </si>
  <si>
    <t>景观挖机碰坏道牙维修，儿童乐园塑胶地坪基层清清，打扫停车场卫生</t>
  </si>
  <si>
    <t xml:space="preserve">儿童乐园塑胶地坪清理，打扫停车场卫生
</t>
  </si>
  <si>
    <t>景观挖机碰坏道牙维修，打扫停车场卫生</t>
  </si>
  <si>
    <t>清理大新伊大街路边垃圾，打扫售楼部门口卫生</t>
  </si>
  <si>
    <t>20小钩机</t>
  </si>
  <si>
    <t>垃圾车（垃圾运输车容积8m³）</t>
  </si>
  <si>
    <t>清理停车场周围垃圾</t>
  </si>
  <si>
    <t>打扫卫生停车场，清理垃圾</t>
  </si>
  <si>
    <t>清理垃圾，打扫卫生，洒水车冲洗</t>
  </si>
  <si>
    <t>洒水车（12m3）</t>
  </si>
  <si>
    <t>应付检查，打扫卫生31人，
覆盖景观土方，土工布5卷；清理垃圾</t>
  </si>
  <si>
    <t>卷</t>
  </si>
  <si>
    <t>土工布</t>
  </si>
  <si>
    <t>凌晨清理垃圾，铲车配合，垃圾外运
冲洗停车场</t>
  </si>
  <si>
    <t>景观补苗子污染停车场，打扫、冲洗</t>
  </si>
  <si>
    <t>停车场打扫、冲洗</t>
  </si>
  <si>
    <t>现场遗留垃圾清理费用分摊</t>
  </si>
  <si>
    <t>倍</t>
  </si>
  <si>
    <t>景观5280*1.3=6864元1.3倍扣除</t>
  </si>
  <si>
    <t>伊河湾项目展示区景观停车场及EPDM地垫等零星工程合同（编号：04  ）</t>
  </si>
  <si>
    <t>售楼部停车场绿化部分开挖及回填</t>
  </si>
  <si>
    <t>沥青路面拆除及垃圾外运</t>
  </si>
  <si>
    <t>价格参考合同价</t>
  </si>
  <si>
    <t>土方回填</t>
  </si>
  <si>
    <t>参考土方价格</t>
  </si>
  <si>
    <t>伊河湾项目展示区景观停车场及EPDM地垫等零星工程合同（编号：05  ）</t>
  </si>
  <si>
    <t>增加30mm厚沥青</t>
  </si>
  <si>
    <t>停车场挡车石</t>
  </si>
  <si>
    <t>材料费240元/个，人工考虑10元一个，含安装损坏更换</t>
  </si>
  <si>
    <t>原沥青面起刨</t>
  </si>
  <si>
    <t>起刨设备出一趟最低10000元，</t>
  </si>
  <si>
    <t>DN200</t>
  </si>
  <si>
    <t>DN300</t>
  </si>
  <si>
    <t>汇总</t>
  </si>
  <si>
    <t>收水口</t>
  </si>
  <si>
    <t>12个</t>
  </si>
  <si>
    <t xml:space="preserve">伊河湾项目展示区景观停车场及EPDM地垫等零星工程合同（编号：06）  </t>
  </si>
  <si>
    <t>平整压实空调基础周边土方，毛料</t>
  </si>
  <si>
    <t>60挖机1个台班</t>
  </si>
  <si>
    <t>平整压实售楼部景观区一、二垫层</t>
  </si>
  <si>
    <t>微挖机1个台班</t>
  </si>
  <si>
    <t>浇筑售楼部东侧景观区一垫层，空调基础垫层</t>
  </si>
  <si>
    <t>c20混凝土，厚度15cm，按照三方价格折算</t>
  </si>
  <si>
    <t>浇筑景观区二混凝土垫层</t>
  </si>
  <si>
    <t>c20混凝土，景观区厚度15cm，围挡下方厚度6cm，按照三方价格折算</t>
  </si>
  <si>
    <t>4@150网片6张，2m2/张</t>
  </si>
  <si>
    <t>停车场内翻运垃圾土，停车场垃圾土方外运</t>
  </si>
  <si>
    <t>垃圾车（后八轮 ），按照三方合同价折算291/8*20=727.5</t>
  </si>
  <si>
    <t>停车场南边市政绿化带拆除，挖机配合挖树，拉绿化带垃圾</t>
  </si>
  <si>
    <t>景观区二增加排水，剔凿排水沟</t>
  </si>
  <si>
    <t>景观区二增加排水，剔凿两人排水沟</t>
  </si>
  <si>
    <t>晚上打入口水景南边市政人行道垫层，售楼部消防门口垫层</t>
  </si>
  <si>
    <t>c30混凝土，按照合同内C25砼价格核算</t>
  </si>
  <si>
    <t>售楼部东西消防门外侧混凝土垫层浇筑</t>
  </si>
  <si>
    <t>c20混凝土6cm，按照三方价格折算</t>
  </si>
  <si>
    <t>伊河湾项目展示区景观停车场及EPDM地垫等零星工程合同（编号：03  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</si>
</sst>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_ "/>
    <numFmt numFmtId="178" formatCode="#,##0.00&quot;元&quot;"/>
    <numFmt numFmtId="179" formatCode="[DBNum2][$RMB]General;[Red][DBNum2][$RMB]General"/>
    <numFmt numFmtId="180" formatCode="#,##0&quot;元&quot;"/>
  </numFmts>
  <fonts count="5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0"/>
      <color rgb="FF0000FF"/>
      <name val="宋体"/>
      <charset val="0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8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4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6" applyNumberFormat="0" applyFill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39" fillId="0" borderId="4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48" applyNumberFormat="0" applyAlignment="0" applyProtection="0">
      <alignment vertical="center"/>
    </xf>
    <xf numFmtId="0" fontId="41" fillId="7" borderId="49" applyNumberFormat="0" applyAlignment="0" applyProtection="0">
      <alignment vertical="center"/>
    </xf>
    <xf numFmtId="0" fontId="42" fillId="7" borderId="48" applyNumberFormat="0" applyAlignment="0" applyProtection="0">
      <alignment vertical="center"/>
    </xf>
    <xf numFmtId="0" fontId="43" fillId="8" borderId="50" applyNumberFormat="0" applyAlignment="0" applyProtection="0">
      <alignment vertical="center"/>
    </xf>
    <xf numFmtId="0" fontId="44" fillId="0" borderId="51" applyNumberFormat="0" applyFill="0" applyAlignment="0" applyProtection="0">
      <alignment vertical="center"/>
    </xf>
    <xf numFmtId="0" fontId="45" fillId="0" borderId="52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16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98">
    <xf numFmtId="0" fontId="0" fillId="0" borderId="0" xfId="0">
      <alignment vertical="center"/>
    </xf>
    <xf numFmtId="0" fontId="1" fillId="0" borderId="0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2" fillId="0" borderId="0" xfId="53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31" fontId="1" fillId="0" borderId="5" xfId="55" applyNumberFormat="1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2" fontId="1" fillId="0" borderId="3" xfId="53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55" applyFont="1" applyFill="1" applyBorder="1" applyAlignment="1">
      <alignment horizontal="center" vertical="center" wrapText="1"/>
    </xf>
    <xf numFmtId="31" fontId="1" fillId="0" borderId="6" xfId="55" applyNumberFormat="1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177" fontId="1" fillId="0" borderId="3" xfId="53" applyNumberFormat="1" applyFont="1" applyFill="1" applyBorder="1" applyAlignment="1">
      <alignment horizontal="center" vertical="center" wrapText="1"/>
    </xf>
    <xf numFmtId="177" fontId="1" fillId="0" borderId="0" xfId="53" applyNumberFormat="1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left" vertical="center" wrapText="1"/>
    </xf>
    <xf numFmtId="0" fontId="4" fillId="0" borderId="3" xfId="55" applyFont="1" applyFill="1" applyBorder="1" applyAlignment="1">
      <alignment vertical="center" wrapText="1"/>
    </xf>
    <xf numFmtId="177" fontId="1" fillId="0" borderId="0" xfId="53" applyNumberFormat="1" applyFont="1" applyFill="1" applyBorder="1" applyAlignment="1">
      <alignment horizontal="left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left"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2" fillId="2" borderId="3" xfId="55" applyFont="1" applyFill="1" applyBorder="1" applyAlignment="1">
      <alignment horizontal="center" vertical="center" wrapText="1"/>
    </xf>
    <xf numFmtId="0" fontId="2" fillId="0" borderId="8" xfId="55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1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2" fontId="1" fillId="2" borderId="3" xfId="53" applyNumberFormat="1" applyFont="1" applyFill="1" applyBorder="1" applyAlignment="1">
      <alignment horizontal="center" vertical="center" wrapText="1"/>
    </xf>
    <xf numFmtId="31" fontId="5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31" fontId="5" fillId="0" borderId="6" xfId="0" applyNumberFormat="1" applyFont="1" applyFill="1" applyBorder="1" applyAlignment="1">
      <alignment horizontal="center" vertical="center"/>
    </xf>
    <xf numFmtId="3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2" fontId="1" fillId="3" borderId="3" xfId="53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7" fontId="1" fillId="2" borderId="3" xfId="53" applyNumberFormat="1" applyFont="1" applyFill="1" applyBorder="1" applyAlignment="1">
      <alignment horizontal="center" vertical="center" wrapText="1"/>
    </xf>
    <xf numFmtId="177" fontId="1" fillId="2" borderId="0" xfId="53" applyNumberFormat="1" applyFont="1" applyFill="1" applyBorder="1" applyAlignment="1">
      <alignment horizontal="center" vertical="center" wrapText="1"/>
    </xf>
    <xf numFmtId="0" fontId="3" fillId="2" borderId="3" xfId="55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left" vertical="center" wrapText="1"/>
    </xf>
    <xf numFmtId="0" fontId="6" fillId="2" borderId="3" xfId="6" applyNumberFormat="1" applyFont="1" applyFill="1" applyBorder="1" applyAlignment="1" applyProtection="1">
      <alignment horizontal="left" vertical="center" wrapText="1"/>
    </xf>
    <xf numFmtId="0" fontId="4" fillId="2" borderId="3" xfId="55" applyFont="1" applyFill="1" applyBorder="1" applyAlignment="1">
      <alignment vertical="center" wrapText="1"/>
    </xf>
    <xf numFmtId="177" fontId="1" fillId="2" borderId="0" xfId="53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1" fontId="5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55" applyFont="1" applyFill="1" applyBorder="1" applyAlignment="1">
      <alignment horizontal="center" vertical="center" wrapText="1"/>
    </xf>
    <xf numFmtId="31" fontId="5" fillId="0" borderId="9" xfId="0" applyNumberFormat="1" applyFont="1" applyFill="1" applyBorder="1" applyAlignment="1">
      <alignment horizontal="center" vertical="center" wrapText="1"/>
    </xf>
    <xf numFmtId="31" fontId="5" fillId="0" borderId="6" xfId="0" applyNumberFormat="1" applyFont="1" applyFill="1" applyBorder="1" applyAlignment="1">
      <alignment horizontal="center" vertical="center" wrapText="1"/>
    </xf>
    <xf numFmtId="31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31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31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77" fontId="10" fillId="0" borderId="3" xfId="0" applyNumberFormat="1" applyFont="1" applyFill="1" applyBorder="1" applyAlignment="1" applyProtection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177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177" fontId="12" fillId="0" borderId="3" xfId="0" applyNumberFormat="1" applyFont="1" applyFill="1" applyBorder="1" applyAlignment="1" applyProtection="1">
      <alignment vertical="center" wrapText="1"/>
      <protection locked="0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177" fontId="14" fillId="2" borderId="3" xfId="0" applyNumberFormat="1" applyFont="1" applyFill="1" applyBorder="1" applyAlignment="1" applyProtection="1">
      <alignment vertical="center" wrapText="1"/>
      <protection locked="0"/>
    </xf>
    <xf numFmtId="177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14" fillId="2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177" fontId="12" fillId="2" borderId="3" xfId="0" applyNumberFormat="1" applyFont="1" applyFill="1" applyBorder="1" applyAlignment="1">
      <alignment horizontal="center" vertical="center" wrapText="1"/>
    </xf>
    <xf numFmtId="177" fontId="10" fillId="0" borderId="3" xfId="5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left" vertical="center" wrapText="1"/>
    </xf>
    <xf numFmtId="0" fontId="1" fillId="2" borderId="3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/>
    <xf numFmtId="0" fontId="18" fillId="0" borderId="3" xfId="0" applyFont="1" applyFill="1" applyBorder="1" applyAlignment="1"/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 applyProtection="1">
      <alignment horizontal="center" vertical="center"/>
      <protection locked="0"/>
    </xf>
    <xf numFmtId="177" fontId="10" fillId="0" borderId="3" xfId="0" applyNumberFormat="1" applyFont="1" applyFill="1" applyBorder="1" applyAlignment="1">
      <alignment horizontal="center" vertical="center"/>
    </xf>
    <xf numFmtId="177" fontId="14" fillId="2" borderId="3" xfId="0" applyNumberFormat="1" applyFont="1" applyFill="1" applyBorder="1" applyAlignment="1">
      <alignment horizontal="center" vertical="center"/>
    </xf>
    <xf numFmtId="177" fontId="15" fillId="2" borderId="3" xfId="0" applyNumberFormat="1" applyFont="1" applyFill="1" applyBorder="1" applyAlignment="1" applyProtection="1">
      <alignment horizontal="center" vertical="center"/>
      <protection locked="0"/>
    </xf>
    <xf numFmtId="177" fontId="15" fillId="2" borderId="3" xfId="0" applyNumberFormat="1" applyFont="1" applyFill="1" applyBorder="1" applyAlignment="1">
      <alignment horizontal="center" vertical="center"/>
    </xf>
    <xf numFmtId="177" fontId="15" fillId="2" borderId="3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justify" vertical="top" wrapText="1"/>
    </xf>
    <xf numFmtId="0" fontId="22" fillId="0" borderId="18" xfId="0" applyFont="1" applyFill="1" applyBorder="1" applyAlignment="1">
      <alignment horizontal="justify" vertical="top" wrapText="1"/>
    </xf>
    <xf numFmtId="0" fontId="22" fillId="0" borderId="19" xfId="0" applyFont="1" applyFill="1" applyBorder="1" applyAlignment="1">
      <alignment horizontal="justify" vertical="top" wrapText="1"/>
    </xf>
    <xf numFmtId="0" fontId="23" fillId="0" borderId="20" xfId="0" applyFont="1" applyFill="1" applyBorder="1" applyAlignment="1">
      <alignment horizontal="justify" vertical="top" wrapText="1"/>
    </xf>
    <xf numFmtId="177" fontId="23" fillId="0" borderId="20" xfId="0" applyNumberFormat="1" applyFont="1" applyFill="1" applyBorder="1" applyAlignment="1">
      <alignment horizontal="left" vertical="top" wrapText="1"/>
    </xf>
    <xf numFmtId="177" fontId="23" fillId="0" borderId="20" xfId="0" applyNumberFormat="1" applyFont="1" applyFill="1" applyBorder="1" applyAlignment="1">
      <alignment horizontal="justify" vertical="top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justify" vertical="top" wrapText="1"/>
    </xf>
    <xf numFmtId="0" fontId="23" fillId="0" borderId="18" xfId="0" applyFont="1" applyFill="1" applyBorder="1" applyAlignment="1">
      <alignment horizontal="justify" vertical="top" wrapText="1"/>
    </xf>
    <xf numFmtId="0" fontId="23" fillId="0" borderId="19" xfId="0" applyFont="1" applyFill="1" applyBorder="1" applyAlignment="1">
      <alignment horizontal="justify" vertical="top" wrapText="1"/>
    </xf>
    <xf numFmtId="0" fontId="23" fillId="0" borderId="21" xfId="0" applyFont="1" applyFill="1" applyBorder="1" applyAlignment="1">
      <alignment horizontal="justify" vertical="top" wrapText="1"/>
    </xf>
    <xf numFmtId="2" fontId="23" fillId="0" borderId="21" xfId="0" applyNumberFormat="1" applyFont="1" applyFill="1" applyBorder="1" applyAlignment="1">
      <alignment horizontal="justify" vertical="top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justify" vertical="top" wrapText="1"/>
    </xf>
    <xf numFmtId="0" fontId="22" fillId="0" borderId="24" xfId="0" applyFont="1" applyFill="1" applyBorder="1" applyAlignment="1">
      <alignment horizontal="justify" vertical="top" wrapText="1"/>
    </xf>
    <xf numFmtId="178" fontId="23" fillId="0" borderId="17" xfId="0" applyNumberFormat="1" applyFont="1" applyFill="1" applyBorder="1" applyAlignment="1">
      <alignment horizontal="justify" vertical="top" wrapText="1"/>
    </xf>
    <xf numFmtId="178" fontId="23" fillId="0" borderId="18" xfId="0" applyNumberFormat="1" applyFont="1" applyFill="1" applyBorder="1" applyAlignment="1">
      <alignment horizontal="justify" vertical="top" wrapText="1"/>
    </xf>
    <xf numFmtId="178" fontId="23" fillId="0" borderId="25" xfId="0" applyNumberFormat="1" applyFont="1" applyFill="1" applyBorder="1" applyAlignment="1">
      <alignment horizontal="justify" vertical="top" wrapText="1"/>
    </xf>
    <xf numFmtId="0" fontId="22" fillId="0" borderId="26" xfId="0" applyFont="1" applyFill="1" applyBorder="1" applyAlignment="1">
      <alignment horizontal="justify" vertical="top" wrapText="1"/>
    </xf>
    <xf numFmtId="0" fontId="22" fillId="0" borderId="20" xfId="0" applyFont="1" applyFill="1" applyBorder="1" applyAlignment="1">
      <alignment horizontal="justify" vertical="top" wrapText="1"/>
    </xf>
    <xf numFmtId="179" fontId="20" fillId="0" borderId="17" xfId="0" applyNumberFormat="1" applyFont="1" applyFill="1" applyBorder="1" applyAlignment="1">
      <alignment horizontal="left" vertical="top" wrapText="1"/>
    </xf>
    <xf numFmtId="179" fontId="20" fillId="0" borderId="18" xfId="0" applyNumberFormat="1" applyFont="1" applyFill="1" applyBorder="1" applyAlignment="1">
      <alignment horizontal="left" vertical="top" wrapText="1"/>
    </xf>
    <xf numFmtId="179" fontId="20" fillId="0" borderId="25" xfId="0" applyNumberFormat="1" applyFont="1" applyFill="1" applyBorder="1" applyAlignment="1">
      <alignment horizontal="left" vertical="top" wrapText="1"/>
    </xf>
    <xf numFmtId="0" fontId="23" fillId="0" borderId="25" xfId="0" applyFont="1" applyFill="1" applyBorder="1" applyAlignment="1">
      <alignment horizontal="justify" vertical="top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17" xfId="0" applyNumberFormat="1" applyFont="1" applyFill="1" applyBorder="1" applyAlignment="1">
      <alignment horizontal="left" vertical="top" wrapText="1"/>
    </xf>
    <xf numFmtId="177" fontId="23" fillId="0" borderId="18" xfId="0" applyNumberFormat="1" applyFont="1" applyFill="1" applyBorder="1" applyAlignment="1">
      <alignment horizontal="left" vertical="top" wrapText="1"/>
    </xf>
    <xf numFmtId="177" fontId="23" fillId="0" borderId="25" xfId="0" applyNumberFormat="1" applyFont="1" applyFill="1" applyBorder="1" applyAlignment="1">
      <alignment horizontal="left" vertical="top" wrapText="1"/>
    </xf>
    <xf numFmtId="0" fontId="22" fillId="0" borderId="28" xfId="0" applyFont="1" applyFill="1" applyBorder="1" applyAlignment="1">
      <alignment horizontal="justify" vertical="top" wrapText="1"/>
    </xf>
    <xf numFmtId="0" fontId="22" fillId="0" borderId="29" xfId="0" applyFont="1" applyFill="1" applyBorder="1" applyAlignment="1">
      <alignment horizontal="justify" vertical="top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justify" vertical="top" wrapText="1"/>
    </xf>
    <xf numFmtId="0" fontId="23" fillId="0" borderId="32" xfId="0" applyFont="1" applyFill="1" applyBorder="1" applyAlignment="1">
      <alignment horizontal="justify" vertical="top" wrapText="1"/>
    </xf>
    <xf numFmtId="0" fontId="23" fillId="0" borderId="33" xfId="0" applyFont="1" applyFill="1" applyBorder="1" applyAlignment="1">
      <alignment horizontal="justify" vertical="top" wrapText="1"/>
    </xf>
    <xf numFmtId="179" fontId="20" fillId="0" borderId="32" xfId="0" applyNumberFormat="1" applyFont="1" applyFill="1" applyBorder="1" applyAlignment="1">
      <alignment horizontal="left" vertical="top" wrapText="1"/>
    </xf>
    <xf numFmtId="179" fontId="20" fillId="0" borderId="34" xfId="0" applyNumberFormat="1" applyFont="1" applyFill="1" applyBorder="1" applyAlignment="1">
      <alignment horizontal="left" vertical="top" wrapText="1"/>
    </xf>
    <xf numFmtId="179" fontId="20" fillId="0" borderId="35" xfId="0" applyNumberFormat="1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0" fontId="8" fillId="0" borderId="0" xfId="53" applyFont="1" applyFill="1" applyAlignment="1">
      <alignment vertical="center"/>
    </xf>
    <xf numFmtId="0" fontId="8" fillId="0" borderId="0" xfId="54" applyFont="1" applyFill="1" applyAlignment="1">
      <alignment vertical="center"/>
    </xf>
    <xf numFmtId="0" fontId="28" fillId="0" borderId="0" xfId="53" applyFont="1" applyFill="1" applyAlignment="1">
      <alignment horizontal="center" vertical="center" wrapText="1"/>
    </xf>
    <xf numFmtId="0" fontId="29" fillId="0" borderId="3" xfId="53" applyFont="1" applyFill="1" applyBorder="1" applyAlignment="1">
      <alignment horizontal="center" vertical="center"/>
    </xf>
    <xf numFmtId="0" fontId="30" fillId="0" borderId="3" xfId="53" applyFont="1" applyFill="1" applyBorder="1" applyAlignment="1">
      <alignment vertical="center" wrapText="1"/>
    </xf>
    <xf numFmtId="0" fontId="8" fillId="0" borderId="3" xfId="53" applyFont="1" applyFill="1" applyBorder="1" applyAlignment="1">
      <alignment vertical="center"/>
    </xf>
    <xf numFmtId="177" fontId="8" fillId="0" borderId="0" xfId="53" applyNumberFormat="1" applyFont="1" applyFill="1" applyAlignment="1">
      <alignment vertical="center"/>
    </xf>
    <xf numFmtId="0" fontId="31" fillId="0" borderId="3" xfId="53" applyFont="1" applyFill="1" applyBorder="1" applyAlignment="1">
      <alignment vertical="center" wrapText="1"/>
    </xf>
    <xf numFmtId="0" fontId="29" fillId="0" borderId="5" xfId="53" applyFont="1" applyFill="1" applyBorder="1" applyAlignment="1">
      <alignment horizontal="center" vertical="center"/>
    </xf>
    <xf numFmtId="178" fontId="30" fillId="0" borderId="3" xfId="53" applyNumberFormat="1" applyFont="1" applyFill="1" applyBorder="1" applyAlignment="1">
      <alignment horizontal="left" vertical="center" wrapText="1"/>
    </xf>
    <xf numFmtId="0" fontId="29" fillId="0" borderId="6" xfId="53" applyFont="1" applyFill="1" applyBorder="1" applyAlignment="1">
      <alignment horizontal="center" vertical="center"/>
    </xf>
    <xf numFmtId="0" fontId="31" fillId="0" borderId="3" xfId="54" applyFont="1" applyFill="1" applyBorder="1" applyAlignment="1">
      <alignment vertical="center" wrapText="1"/>
    </xf>
    <xf numFmtId="180" fontId="30" fillId="0" borderId="3" xfId="54" applyNumberFormat="1" applyFont="1" applyFill="1" applyBorder="1" applyAlignment="1">
      <alignment horizontal="left" vertical="center" wrapText="1"/>
    </xf>
    <xf numFmtId="0" fontId="29" fillId="0" borderId="42" xfId="53" applyFont="1" applyFill="1" applyBorder="1" applyAlignment="1">
      <alignment wrapText="1"/>
    </xf>
    <xf numFmtId="0" fontId="29" fillId="0" borderId="43" xfId="53" applyFont="1" applyFill="1" applyBorder="1" applyAlignment="1">
      <alignment wrapText="1"/>
    </xf>
    <xf numFmtId="0" fontId="29" fillId="0" borderId="44" xfId="53" applyFont="1" applyFill="1" applyBorder="1" applyAlignment="1">
      <alignment wrapText="1"/>
    </xf>
    <xf numFmtId="0" fontId="29" fillId="0" borderId="3" xfId="53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_二号清单地库" xfId="49"/>
    <cellStyle name="Normal" xfId="50"/>
    <cellStyle name="常规 10 6" xfId="51"/>
    <cellStyle name="常规 11 4" xfId="52"/>
    <cellStyle name="常规 5" xfId="53"/>
    <cellStyle name="常规 5 2" xfId="54"/>
    <cellStyle name="常规 2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19050</xdr:colOff>
      <xdr:row>51</xdr:row>
      <xdr:rowOff>1019175</xdr:rowOff>
    </xdr:from>
    <xdr:to>
      <xdr:col>12</xdr:col>
      <xdr:colOff>685800</xdr:colOff>
      <xdr:row>51</xdr:row>
      <xdr:rowOff>1019175</xdr:rowOff>
    </xdr:to>
    <xdr:pic>
      <xdr:nvPicPr>
        <xdr:cNvPr id="6" name="图片 5" descr="滑梯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2070" y="4475353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02&#32467;&#31639;\&#24037;&#31243;&#31867;&#32467;&#31639;\&#38646;&#26143;&#24037;&#31243;&#26376;&#32467;-2023.12&#19977;&#26041;\&#24314;&#31569;&#23433;&#35013;&#24037;&#31243;&#38646;&#26143;&#24037;&#31243;&#32467;&#31639;-&#30002;&#26041;&#23457;&#26680;2023.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-&#28009;&#24503;&#22320;&#20135;\02&#32467;&#31639;\&#24037;&#31243;&#31867;&#32467;&#31639;\&#38646;&#26143;&#24037;&#31243;&#32467;&#31639;2024.1-&#27827;&#28286;\&#20234;&#27827;&#28286;&#39033;&#30446;&#38646;&#26143;&#24037;&#31243;&#26376;&#24230;&#32467;&#31639;\&#20234;&#27827;&#28286;&#39033;&#30446;&#38646;&#26143;&#24037;&#31243;&#26376;&#24230;&#32467;&#31639;-12&#26376;(&#26680;&#23545;&#21518;7.28)%20-&#35843;&#25972;&#2151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结算审批表2"/>
      <sheetName val="2资料存档目录"/>
      <sheetName val="3工程结算汇总表"/>
      <sheetName val="4结算价明细汇总表"/>
    </sheetNames>
    <sheetDataSet>
      <sheetData sheetId="0" refreshError="1"/>
      <sheetData sheetId="1" refreshError="1"/>
      <sheetData sheetId="2" refreshError="1">
        <row r="7">
          <cell r="H7">
            <v>24377.27945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结算审批表"/>
      <sheetName val="资料存档目录"/>
      <sheetName val="结算汇总表"/>
      <sheetName val="结算费用分类"/>
      <sheetName val="结算费用明细表"/>
      <sheetName val="任务单001-售楼部零星工程"/>
      <sheetName val="任务单002-CS基地围挡施工"/>
      <sheetName val="任务单003-3#样板示范区零星工程"/>
      <sheetName val="任务单004-样板间零星工程"/>
      <sheetName val="任务单005-红线外零星工程派发"/>
      <sheetName val="任务单006-安乐小院整理"/>
      <sheetName val="任务单007-售楼部空调维修"/>
      <sheetName val="任务单008-3#楼样板展示区负一层大堂、楼梯间及智能化工程"/>
    </sheetNames>
    <sheetDataSet>
      <sheetData sheetId="0"/>
      <sheetData sheetId="1"/>
      <sheetData sheetId="2">
        <row r="7">
          <cell r="G7">
            <v>824823.172948762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4@150&#32593;&#29255;6&#24352;&#65292;2m2/&#24352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90" zoomScaleNormal="90" workbookViewId="0">
      <selection activeCell="D6" sqref="D6"/>
    </sheetView>
  </sheetViews>
  <sheetFormatPr defaultColWidth="9" defaultRowHeight="15.6"/>
  <cols>
    <col min="1" max="1" width="15.8796296296296" style="181" customWidth="1"/>
    <col min="2" max="2" width="22.3796296296296" style="181" customWidth="1"/>
    <col min="3" max="3" width="17.1296296296296" style="181" customWidth="1"/>
    <col min="4" max="4" width="34.8888888888889" style="181" customWidth="1"/>
    <col min="5" max="5" width="9" style="181"/>
    <col min="6" max="6" width="14.8888888888889" style="181" customWidth="1"/>
    <col min="7" max="7" width="14.3333333333333" style="181"/>
    <col min="8" max="8" width="9" style="181"/>
    <col min="9" max="9" width="12.6296296296296" style="181"/>
    <col min="10" max="10" width="14.3333333333333" style="181"/>
    <col min="11" max="16384" width="9" style="181"/>
  </cols>
  <sheetData>
    <row r="1" s="181" customFormat="1" ht="71" customHeight="1" spans="1:4">
      <c r="A1" s="183" t="s">
        <v>0</v>
      </c>
      <c r="B1" s="183"/>
      <c r="C1" s="183"/>
      <c r="D1" s="183"/>
    </row>
    <row r="2" s="181" customFormat="1" ht="43.9" customHeight="1" spans="1:4">
      <c r="A2" s="184" t="s">
        <v>1</v>
      </c>
      <c r="B2" s="185" t="s">
        <v>2</v>
      </c>
      <c r="C2" s="184" t="s">
        <v>3</v>
      </c>
      <c r="D2" s="186"/>
    </row>
    <row r="3" s="181" customFormat="1" ht="43.9" customHeight="1" spans="1:10">
      <c r="A3" s="184" t="s">
        <v>4</v>
      </c>
      <c r="B3" s="185" t="s">
        <v>5</v>
      </c>
      <c r="C3" s="184" t="s">
        <v>6</v>
      </c>
      <c r="D3" s="185" t="s">
        <v>7</v>
      </c>
      <c r="F3" s="187">
        <v>925964.76</v>
      </c>
      <c r="I3" s="181">
        <v>1414118.08</v>
      </c>
      <c r="J3" s="181">
        <f>I3-[2]结算汇总表!G7</f>
        <v>589294.907051238</v>
      </c>
    </row>
    <row r="4" s="181" customFormat="1" ht="36.95" customHeight="1" spans="1:10">
      <c r="A4" s="184" t="s">
        <v>8</v>
      </c>
      <c r="B4" s="188"/>
      <c r="C4" s="184" t="s">
        <v>9</v>
      </c>
      <c r="D4" s="185" t="s">
        <v>10</v>
      </c>
      <c r="G4" s="181">
        <f>1012640.39-F3</f>
        <v>86675.63</v>
      </c>
      <c r="I4" s="181">
        <v>824823.17</v>
      </c>
      <c r="J4" s="181">
        <f>I3-I4</f>
        <v>589294.91</v>
      </c>
    </row>
    <row r="5" s="181" customFormat="1" ht="33" customHeight="1" spans="1:7">
      <c r="A5" s="189" t="s">
        <v>11</v>
      </c>
      <c r="B5" s="188" t="s">
        <v>12</v>
      </c>
      <c r="C5" s="189" t="s">
        <v>13</v>
      </c>
      <c r="D5" s="190" t="s">
        <v>14</v>
      </c>
      <c r="G5" s="181">
        <f>G4/F3</f>
        <v>0.0936057544997717</v>
      </c>
    </row>
    <row r="6" s="182" customFormat="1" ht="33" customHeight="1" spans="1:9">
      <c r="A6" s="191"/>
      <c r="B6" s="192" t="s">
        <v>15</v>
      </c>
      <c r="C6" s="191"/>
      <c r="D6" s="193" t="s">
        <v>16</v>
      </c>
      <c r="G6" s="182">
        <f>F3*0.05</f>
        <v>46298.238</v>
      </c>
      <c r="I6" s="182">
        <v>360</v>
      </c>
    </row>
    <row r="7" s="181" customFormat="1" ht="30.95" customHeight="1" spans="1:9">
      <c r="A7" s="184" t="s">
        <v>17</v>
      </c>
      <c r="B7" s="188"/>
      <c r="C7" s="184" t="s">
        <v>18</v>
      </c>
      <c r="D7" s="185"/>
      <c r="G7" s="181">
        <f>G4-G6</f>
        <v>40377.392</v>
      </c>
      <c r="I7" s="181">
        <f>'[1]3工程结算汇总表'!H7*0.05</f>
        <v>1218.8639725</v>
      </c>
    </row>
    <row r="8" s="181" customFormat="1" ht="69" customHeight="1" spans="1:7">
      <c r="A8" s="184" t="s">
        <v>19</v>
      </c>
      <c r="B8" s="194" t="s">
        <v>20</v>
      </c>
      <c r="C8" s="195"/>
      <c r="D8" s="196" t="s">
        <v>21</v>
      </c>
      <c r="G8" s="181">
        <f>G7*0.03</f>
        <v>1211.32176</v>
      </c>
    </row>
    <row r="9" s="181" customFormat="1" ht="69" customHeight="1" spans="1:4">
      <c r="A9" s="184" t="s">
        <v>22</v>
      </c>
      <c r="B9" s="194"/>
      <c r="C9" s="195"/>
      <c r="D9" s="196" t="s">
        <v>21</v>
      </c>
    </row>
    <row r="10" s="181" customFormat="1" ht="69" customHeight="1" spans="1:4">
      <c r="A10" s="184" t="s">
        <v>23</v>
      </c>
      <c r="B10" s="194"/>
      <c r="C10" s="195"/>
      <c r="D10" s="196" t="s">
        <v>21</v>
      </c>
    </row>
    <row r="11" s="181" customFormat="1" ht="69" customHeight="1" spans="1:4">
      <c r="A11" s="197" t="s">
        <v>24</v>
      </c>
      <c r="B11" s="194"/>
      <c r="C11" s="195"/>
      <c r="D11" s="196" t="s">
        <v>21</v>
      </c>
    </row>
    <row r="12" s="181" customFormat="1" ht="69" customHeight="1" spans="1:4">
      <c r="A12" s="184" t="s">
        <v>25</v>
      </c>
      <c r="B12" s="194"/>
      <c r="C12" s="195"/>
      <c r="D12" s="196" t="s">
        <v>21</v>
      </c>
    </row>
    <row r="13" s="181" customFormat="1" ht="69" customHeight="1" spans="1:4">
      <c r="A13" s="184" t="s">
        <v>26</v>
      </c>
      <c r="B13" s="194"/>
      <c r="C13" s="195"/>
      <c r="D13" s="196" t="s">
        <v>21</v>
      </c>
    </row>
    <row r="14" s="181" customFormat="1" ht="69" customHeight="1" spans="1:4">
      <c r="A14" s="184" t="s">
        <v>27</v>
      </c>
      <c r="B14" s="194"/>
      <c r="C14" s="195"/>
      <c r="D14" s="196" t="s">
        <v>21</v>
      </c>
    </row>
  </sheetData>
  <mergeCells count="3">
    <mergeCell ref="A1:D1"/>
    <mergeCell ref="A5:A6"/>
    <mergeCell ref="C5:C6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opLeftCell="A16" workbookViewId="0">
      <selection activeCell="C3" sqref="C3:C23"/>
    </sheetView>
  </sheetViews>
  <sheetFormatPr defaultColWidth="10" defaultRowHeight="12"/>
  <cols>
    <col min="1" max="1" width="5.55555555555556" style="1" customWidth="1"/>
    <col min="2" max="2" width="10.3703703703704" style="1" customWidth="1"/>
    <col min="3" max="3" width="10.8796296296296" style="1" customWidth="1"/>
    <col min="4" max="4" width="13.2222222222222" style="2" customWidth="1"/>
    <col min="5" max="5" width="17.8888888888889" style="2" customWidth="1"/>
    <col min="6" max="6" width="9.44444444444444" style="1" customWidth="1"/>
    <col min="7" max="7" width="10.6666666666667" style="1" customWidth="1"/>
    <col min="8" max="8" width="11.2222222222222" style="25" customWidth="1"/>
    <col min="9" max="9" width="12.5555555555556" style="25" customWidth="1"/>
    <col min="10" max="10" width="10.9259259259259" style="26" customWidth="1"/>
    <col min="11" max="11" width="30.6666666666667" style="26" customWidth="1"/>
    <col min="12" max="12" width="10.5555555555556" style="1"/>
    <col min="13" max="13" width="10.5555555555556" style="1" customWidth="1"/>
    <col min="14" max="14" width="10" style="1" customWidth="1"/>
    <col min="15" max="15" width="11.6666666666667" style="1" customWidth="1"/>
    <col min="16" max="16" width="10" style="1"/>
    <col min="17" max="17" width="16.6666666666667" style="1"/>
    <col min="18" max="18" width="14.2222222222222" style="1"/>
    <col min="19" max="16384" width="10" style="1"/>
  </cols>
  <sheetData>
    <row r="1" s="1" customFormat="1" ht="41.25" customHeight="1" spans="1:11">
      <c r="A1" s="3" t="s">
        <v>216</v>
      </c>
      <c r="B1" s="4"/>
      <c r="C1" s="4"/>
      <c r="D1" s="4"/>
      <c r="E1" s="4"/>
      <c r="F1" s="4"/>
      <c r="G1" s="4"/>
      <c r="H1" s="27"/>
      <c r="I1" s="27"/>
      <c r="J1" s="27"/>
      <c r="K1" s="27"/>
    </row>
    <row r="2" s="1" customFormat="1" ht="30" customHeight="1" spans="1:11">
      <c r="A2" s="5" t="s">
        <v>29</v>
      </c>
      <c r="B2" s="6" t="s">
        <v>64</v>
      </c>
      <c r="C2" s="6" t="s">
        <v>217</v>
      </c>
      <c r="D2" s="6" t="s">
        <v>218</v>
      </c>
      <c r="E2" s="6" t="s">
        <v>219</v>
      </c>
      <c r="F2" s="6" t="s">
        <v>101</v>
      </c>
      <c r="G2" s="6" t="s">
        <v>220</v>
      </c>
      <c r="H2" s="28" t="s">
        <v>221</v>
      </c>
      <c r="I2" s="28" t="s">
        <v>222</v>
      </c>
      <c r="J2" s="43" t="s">
        <v>34</v>
      </c>
      <c r="K2" s="43" t="s">
        <v>223</v>
      </c>
    </row>
    <row r="3" s="1" customFormat="1" ht="33" customHeight="1" spans="1:17">
      <c r="A3" s="29"/>
      <c r="B3" s="30" t="s">
        <v>303</v>
      </c>
      <c r="C3" s="11"/>
      <c r="D3" s="31">
        <v>45051</v>
      </c>
      <c r="E3" s="32" t="s">
        <v>304</v>
      </c>
      <c r="F3" s="12" t="s">
        <v>154</v>
      </c>
      <c r="G3" s="12">
        <v>1</v>
      </c>
      <c r="H3" s="33">
        <v>180</v>
      </c>
      <c r="I3" s="33">
        <f t="shared" ref="I3:I23" si="0">G3*H3</f>
        <v>180</v>
      </c>
      <c r="J3" s="44"/>
      <c r="K3" s="45" t="s">
        <v>256</v>
      </c>
      <c r="L3" s="1"/>
      <c r="N3" s="1">
        <f>25+50+25+35+35-30+65+85+50</f>
        <v>340</v>
      </c>
      <c r="Q3" s="1">
        <f>I3+I4+1.5*H10</f>
        <v>2086.7519</v>
      </c>
    </row>
    <row r="4" s="1" customFormat="1" ht="27" customHeight="1" spans="1:11">
      <c r="A4" s="29"/>
      <c r="B4" s="30"/>
      <c r="C4" s="11"/>
      <c r="D4" s="34"/>
      <c r="E4" s="35"/>
      <c r="F4" s="12" t="s">
        <v>234</v>
      </c>
      <c r="G4" s="12">
        <v>1</v>
      </c>
      <c r="H4" s="33">
        <f>889.91*1.09</f>
        <v>970.0019</v>
      </c>
      <c r="I4" s="33">
        <f t="shared" si="0"/>
        <v>970.0019</v>
      </c>
      <c r="J4" s="44"/>
      <c r="K4" s="45" t="s">
        <v>305</v>
      </c>
    </row>
    <row r="5" s="1" customFormat="1" ht="33" customHeight="1" spans="1:11">
      <c r="A5" s="29"/>
      <c r="B5" s="30"/>
      <c r="C5" s="11"/>
      <c r="D5" s="34"/>
      <c r="E5" s="32" t="s">
        <v>306</v>
      </c>
      <c r="F5" s="12" t="s">
        <v>154</v>
      </c>
      <c r="G5" s="12">
        <v>5</v>
      </c>
      <c r="H5" s="33">
        <v>180</v>
      </c>
      <c r="I5" s="33">
        <f t="shared" si="0"/>
        <v>900</v>
      </c>
      <c r="J5" s="44"/>
      <c r="K5" s="45" t="s">
        <v>256</v>
      </c>
    </row>
    <row r="6" s="1" customFormat="1" ht="30" customHeight="1" spans="1:17">
      <c r="A6" s="29"/>
      <c r="B6" s="30"/>
      <c r="C6" s="11"/>
      <c r="D6" s="36"/>
      <c r="E6" s="35"/>
      <c r="F6" s="12" t="s">
        <v>234</v>
      </c>
      <c r="G6" s="12">
        <v>1.5</v>
      </c>
      <c r="H6" s="33">
        <f>889.91*1.09</f>
        <v>970.0019</v>
      </c>
      <c r="I6" s="33">
        <f t="shared" si="0"/>
        <v>1455.00285</v>
      </c>
      <c r="J6" s="44"/>
      <c r="K6" s="45" t="s">
        <v>307</v>
      </c>
      <c r="L6" s="1"/>
      <c r="Q6" s="1" t="e">
        <f>I3+I4+I5+I6+I7+I8+I9+I10+I11+I18+I19+I20+I21+I22+I23+#REF!</f>
        <v>#REF!</v>
      </c>
    </row>
    <row r="7" s="1" customFormat="1" ht="44" customHeight="1" spans="1:11">
      <c r="A7" s="29"/>
      <c r="B7" s="30"/>
      <c r="C7" s="11"/>
      <c r="D7" s="37">
        <v>45052</v>
      </c>
      <c r="E7" s="38" t="s">
        <v>308</v>
      </c>
      <c r="F7" s="12" t="s">
        <v>154</v>
      </c>
      <c r="G7" s="12">
        <v>4</v>
      </c>
      <c r="H7" s="33">
        <v>100</v>
      </c>
      <c r="I7" s="33">
        <f t="shared" si="0"/>
        <v>400</v>
      </c>
      <c r="J7" s="44"/>
      <c r="K7" s="45" t="s">
        <v>227</v>
      </c>
    </row>
    <row r="8" s="1" customFormat="1" ht="44" customHeight="1" spans="1:17">
      <c r="A8" s="29"/>
      <c r="B8" s="30"/>
      <c r="C8" s="11"/>
      <c r="D8" s="37"/>
      <c r="E8" s="38"/>
      <c r="F8" s="12" t="s">
        <v>118</v>
      </c>
      <c r="G8" s="12">
        <f>(49.54)*0.15+10*0.15</f>
        <v>8.931</v>
      </c>
      <c r="H8" s="33">
        <v>624.5</v>
      </c>
      <c r="I8" s="33">
        <f t="shared" si="0"/>
        <v>5577.4095</v>
      </c>
      <c r="J8" s="44"/>
      <c r="K8" s="45" t="s">
        <v>309</v>
      </c>
      <c r="L8" s="1"/>
      <c r="M8" s="1" t="e">
        <f>G8+G10+#REF!+#REF!+#REF!+G22+G23+#REF!</f>
        <v>#REF!</v>
      </c>
      <c r="Q8" s="1">
        <f>I5+I6+I7+I8+I9+I10+I11+I23-1.5*H10+I22</f>
        <v>13370.27457</v>
      </c>
    </row>
    <row r="9" s="1" customFormat="1" ht="35" customHeight="1" spans="1:11">
      <c r="A9" s="29"/>
      <c r="B9" s="30"/>
      <c r="C9" s="11"/>
      <c r="D9" s="37">
        <v>45053</v>
      </c>
      <c r="E9" s="38" t="s">
        <v>310</v>
      </c>
      <c r="F9" s="39" t="s">
        <v>154</v>
      </c>
      <c r="G9" s="39">
        <v>2</v>
      </c>
      <c r="H9" s="39">
        <v>100</v>
      </c>
      <c r="I9" s="39">
        <f t="shared" si="0"/>
        <v>200</v>
      </c>
      <c r="J9" s="44"/>
      <c r="K9" s="45" t="s">
        <v>227</v>
      </c>
    </row>
    <row r="10" s="1" customFormat="1" ht="38" customHeight="1" spans="1:15">
      <c r="A10" s="29"/>
      <c r="B10" s="30"/>
      <c r="C10" s="11"/>
      <c r="D10" s="37"/>
      <c r="E10" s="38"/>
      <c r="F10" s="39" t="s">
        <v>118</v>
      </c>
      <c r="G10" s="39">
        <f>38.7*0.15+9.95*0.8*0.06</f>
        <v>6.2826</v>
      </c>
      <c r="H10" s="39">
        <v>624.5</v>
      </c>
      <c r="I10" s="39">
        <f t="shared" si="0"/>
        <v>3923.4837</v>
      </c>
      <c r="J10" s="44"/>
      <c r="K10" s="45" t="s">
        <v>311</v>
      </c>
      <c r="L10" s="1"/>
      <c r="O10" s="1">
        <f>M10*G10</f>
        <v>0</v>
      </c>
    </row>
    <row r="11" s="1" customFormat="1" ht="35" customHeight="1" spans="1:11">
      <c r="A11" s="29"/>
      <c r="B11" s="30"/>
      <c r="C11" s="11"/>
      <c r="D11" s="37"/>
      <c r="E11" s="38"/>
      <c r="F11" s="39" t="s">
        <v>115</v>
      </c>
      <c r="G11" s="39">
        <v>12</v>
      </c>
      <c r="H11" s="39">
        <v>10</v>
      </c>
      <c r="I11" s="39">
        <f t="shared" si="0"/>
        <v>120</v>
      </c>
      <c r="J11" s="44"/>
      <c r="K11" s="46" t="s">
        <v>312</v>
      </c>
    </row>
    <row r="12" s="1" customFormat="1" ht="39" customHeight="1" spans="1:17">
      <c r="A12" s="29"/>
      <c r="B12" s="30"/>
      <c r="C12" s="11"/>
      <c r="D12" s="31">
        <v>45057</v>
      </c>
      <c r="E12" s="32" t="s">
        <v>313</v>
      </c>
      <c r="F12" s="12" t="s">
        <v>229</v>
      </c>
      <c r="G12" s="12">
        <v>9</v>
      </c>
      <c r="H12" s="33">
        <f>291/8*20</f>
        <v>727.5</v>
      </c>
      <c r="I12" s="33">
        <f t="shared" si="0"/>
        <v>6547.5</v>
      </c>
      <c r="J12" s="44"/>
      <c r="K12" s="45" t="s">
        <v>314</v>
      </c>
      <c r="L12" s="1"/>
      <c r="Q12" s="1">
        <f>I12+I13+I16+I17</f>
        <v>18166.5</v>
      </c>
    </row>
    <row r="13" s="1" customFormat="1" ht="39" customHeight="1" spans="1:11">
      <c r="A13" s="29"/>
      <c r="B13" s="30"/>
      <c r="C13" s="11"/>
      <c r="D13" s="36"/>
      <c r="E13" s="35"/>
      <c r="F13" s="12" t="s">
        <v>234</v>
      </c>
      <c r="G13" s="12">
        <v>3</v>
      </c>
      <c r="H13" s="33">
        <v>2000</v>
      </c>
      <c r="I13" s="33">
        <f t="shared" si="0"/>
        <v>6000</v>
      </c>
      <c r="J13" s="44"/>
      <c r="K13" s="45" t="s">
        <v>235</v>
      </c>
    </row>
    <row r="14" s="1" customFormat="1" ht="39" customHeight="1" spans="1:11">
      <c r="A14" s="29"/>
      <c r="B14" s="30"/>
      <c r="C14" s="11"/>
      <c r="D14" s="31">
        <v>45058</v>
      </c>
      <c r="E14" s="32" t="s">
        <v>315</v>
      </c>
      <c r="F14" s="12" t="s">
        <v>154</v>
      </c>
      <c r="G14" s="12">
        <v>0</v>
      </c>
      <c r="H14" s="33">
        <v>180</v>
      </c>
      <c r="I14" s="33">
        <f t="shared" si="0"/>
        <v>0</v>
      </c>
      <c r="J14" s="44"/>
      <c r="K14" s="45" t="s">
        <v>256</v>
      </c>
    </row>
    <row r="15" s="1" customFormat="1" ht="39" customHeight="1" spans="1:11">
      <c r="A15" s="29"/>
      <c r="B15" s="30"/>
      <c r="C15" s="11"/>
      <c r="D15" s="34"/>
      <c r="E15" s="40"/>
      <c r="F15" s="12" t="s">
        <v>154</v>
      </c>
      <c r="G15" s="12">
        <v>0</v>
      </c>
      <c r="H15" s="33">
        <v>100</v>
      </c>
      <c r="I15" s="33">
        <f t="shared" si="0"/>
        <v>0</v>
      </c>
      <c r="J15" s="44"/>
      <c r="K15" s="45" t="s">
        <v>227</v>
      </c>
    </row>
    <row r="16" s="1" customFormat="1" ht="39" customHeight="1" spans="1:11">
      <c r="A16" s="29"/>
      <c r="B16" s="30"/>
      <c r="C16" s="11"/>
      <c r="D16" s="34"/>
      <c r="E16" s="40"/>
      <c r="F16" s="12" t="s">
        <v>234</v>
      </c>
      <c r="G16" s="12">
        <v>1.5</v>
      </c>
      <c r="H16" s="33">
        <v>2000</v>
      </c>
      <c r="I16" s="33">
        <f t="shared" si="0"/>
        <v>3000</v>
      </c>
      <c r="J16" s="44"/>
      <c r="K16" s="45" t="s">
        <v>235</v>
      </c>
    </row>
    <row r="17" s="1" customFormat="1" ht="33" customHeight="1" spans="1:11">
      <c r="A17" s="29"/>
      <c r="B17" s="30"/>
      <c r="C17" s="11"/>
      <c r="D17" s="34"/>
      <c r="E17" s="35"/>
      <c r="F17" s="12" t="s">
        <v>229</v>
      </c>
      <c r="G17" s="12">
        <v>9</v>
      </c>
      <c r="H17" s="33">
        <v>291</v>
      </c>
      <c r="I17" s="33">
        <f t="shared" si="0"/>
        <v>2619</v>
      </c>
      <c r="J17" s="44"/>
      <c r="K17" s="45" t="s">
        <v>230</v>
      </c>
    </row>
    <row r="18" s="1" customFormat="1" ht="39" customHeight="1" spans="1:11">
      <c r="A18" s="29"/>
      <c r="B18" s="30"/>
      <c r="C18" s="11"/>
      <c r="D18" s="34"/>
      <c r="E18" s="32" t="s">
        <v>316</v>
      </c>
      <c r="F18" s="12" t="s">
        <v>154</v>
      </c>
      <c r="G18" s="12">
        <v>4</v>
      </c>
      <c r="H18" s="33">
        <v>180</v>
      </c>
      <c r="I18" s="33">
        <f t="shared" si="0"/>
        <v>720</v>
      </c>
      <c r="J18" s="44"/>
      <c r="K18" s="45" t="s">
        <v>256</v>
      </c>
    </row>
    <row r="19" s="1" customFormat="1" ht="39" customHeight="1" spans="1:17">
      <c r="A19" s="29"/>
      <c r="B19" s="30"/>
      <c r="C19" s="11"/>
      <c r="D19" s="36"/>
      <c r="E19" s="35"/>
      <c r="F19" s="12" t="s">
        <v>154</v>
      </c>
      <c r="G19" s="12">
        <v>1</v>
      </c>
      <c r="H19" s="33">
        <v>100</v>
      </c>
      <c r="I19" s="33">
        <f t="shared" si="0"/>
        <v>100</v>
      </c>
      <c r="J19" s="44"/>
      <c r="K19" s="45" t="s">
        <v>227</v>
      </c>
      <c r="L19" s="1"/>
      <c r="Q19" s="19">
        <f>I18+I19+I20+I21</f>
        <v>1640</v>
      </c>
    </row>
    <row r="20" s="1" customFormat="1" ht="39" customHeight="1" spans="1:11">
      <c r="A20" s="29"/>
      <c r="B20" s="30"/>
      <c r="C20" s="11"/>
      <c r="D20" s="31">
        <v>45059</v>
      </c>
      <c r="E20" s="32" t="s">
        <v>317</v>
      </c>
      <c r="F20" s="12" t="s">
        <v>154</v>
      </c>
      <c r="G20" s="12">
        <v>4</v>
      </c>
      <c r="H20" s="33">
        <v>180</v>
      </c>
      <c r="I20" s="33">
        <f t="shared" si="0"/>
        <v>720</v>
      </c>
      <c r="J20" s="44"/>
      <c r="K20" s="45" t="s">
        <v>256</v>
      </c>
    </row>
    <row r="21" s="1" customFormat="1" ht="39" customHeight="1" spans="1:11">
      <c r="A21" s="29"/>
      <c r="B21" s="30"/>
      <c r="C21" s="11"/>
      <c r="D21" s="36"/>
      <c r="E21" s="35"/>
      <c r="F21" s="12" t="s">
        <v>154</v>
      </c>
      <c r="G21" s="12">
        <v>1</v>
      </c>
      <c r="H21" s="33">
        <v>100</v>
      </c>
      <c r="I21" s="33">
        <f t="shared" si="0"/>
        <v>100</v>
      </c>
      <c r="J21" s="44"/>
      <c r="K21" s="45" t="s">
        <v>227</v>
      </c>
    </row>
    <row r="22" s="1" customFormat="1" ht="90" customHeight="1" spans="1:11">
      <c r="A22" s="29"/>
      <c r="B22" s="30"/>
      <c r="C22" s="11"/>
      <c r="D22" s="31">
        <v>45068</v>
      </c>
      <c r="E22" s="32" t="s">
        <v>318</v>
      </c>
      <c r="F22" s="12" t="s">
        <v>118</v>
      </c>
      <c r="G22" s="12">
        <f>4.6*0.06*1+2.5*3*0.1</f>
        <v>1.026</v>
      </c>
      <c r="H22" s="33">
        <v>706.32</v>
      </c>
      <c r="I22" s="33">
        <f t="shared" si="0"/>
        <v>724.68432</v>
      </c>
      <c r="J22" s="44"/>
      <c r="K22" s="45" t="s">
        <v>319</v>
      </c>
    </row>
    <row r="23" s="1" customFormat="1" ht="62" customHeight="1" spans="1:11">
      <c r="A23" s="29"/>
      <c r="B23" s="30"/>
      <c r="C23" s="11"/>
      <c r="D23" s="31">
        <v>45072</v>
      </c>
      <c r="E23" s="32" t="s">
        <v>320</v>
      </c>
      <c r="F23" s="12" t="s">
        <v>118</v>
      </c>
      <c r="G23" s="12">
        <f>15.2*0.8*0.06+14.7*1*0.06</f>
        <v>1.6116</v>
      </c>
      <c r="H23" s="33">
        <v>624.5</v>
      </c>
      <c r="I23" s="33">
        <f t="shared" si="0"/>
        <v>1006.4442</v>
      </c>
      <c r="J23" s="44"/>
      <c r="K23" s="45" t="s">
        <v>321</v>
      </c>
    </row>
    <row r="24" s="1" customFormat="1" ht="22.5" customHeight="1" spans="1:11">
      <c r="A24" s="16"/>
      <c r="B24" s="17" t="s">
        <v>67</v>
      </c>
      <c r="C24" s="17"/>
      <c r="D24" s="17"/>
      <c r="E24" s="17"/>
      <c r="F24" s="18">
        <f>SUM(I3:I23)</f>
        <v>35263.52647</v>
      </c>
      <c r="G24" s="18"/>
      <c r="H24" s="41"/>
      <c r="I24" s="41"/>
      <c r="J24" s="41"/>
      <c r="K24" s="47"/>
    </row>
    <row r="25" s="1" customFormat="1" ht="45" customHeight="1" spans="2:12">
      <c r="B25" s="1" t="s">
        <v>258</v>
      </c>
      <c r="C25" s="1"/>
      <c r="D25" s="1"/>
      <c r="E25" s="1"/>
      <c r="F25" s="1" t="s">
        <v>20</v>
      </c>
      <c r="G25" s="19"/>
      <c r="H25" s="42"/>
      <c r="I25" s="48" t="s">
        <v>259</v>
      </c>
      <c r="J25" s="48"/>
      <c r="K25" s="48"/>
      <c r="L25" s="2"/>
    </row>
    <row r="26" s="1" customFormat="1" ht="46" customHeight="1" spans="2:12">
      <c r="B26" s="1" t="s">
        <v>21</v>
      </c>
      <c r="G26" s="19"/>
      <c r="H26" s="42"/>
      <c r="I26" s="48" t="s">
        <v>21</v>
      </c>
      <c r="J26" s="48"/>
      <c r="K26" s="48"/>
      <c r="L26" s="24"/>
    </row>
    <row r="27" s="1" customFormat="1" ht="2.25" customHeight="1" spans="7:12">
      <c r="G27" s="19"/>
      <c r="H27" s="42"/>
      <c r="I27" s="42"/>
      <c r="J27" s="42"/>
      <c r="K27" s="42"/>
      <c r="L27" s="2"/>
    </row>
    <row r="28" s="1" customFormat="1" ht="29.1" customHeight="1" spans="1:11">
      <c r="A28" s="2"/>
      <c r="B28" s="2"/>
      <c r="C28" s="2"/>
      <c r="D28" s="2"/>
      <c r="E28" s="2"/>
      <c r="H28" s="25"/>
      <c r="I28" s="25"/>
      <c r="J28" s="26"/>
      <c r="K28" s="26"/>
    </row>
    <row r="29" ht="29.1" customHeight="1"/>
    <row r="30" ht="29.1" customHeight="1"/>
    <row r="31" ht="29.1" customHeight="1"/>
    <row r="32" s="1" customFormat="1" ht="29.1" hidden="1" customHeight="1" spans="4:11">
      <c r="D32" s="2"/>
      <c r="E32" s="2"/>
      <c r="F32" s="1" t="e">
        <f>F24+#REF!+#REF!</f>
        <v>#REF!</v>
      </c>
      <c r="H32" s="25"/>
      <c r="I32" s="25"/>
      <c r="J32" s="26"/>
      <c r="K32" s="26"/>
    </row>
    <row r="33" ht="29.1" customHeight="1"/>
    <row r="34" ht="29.1" customHeight="1"/>
    <row r="35" ht="29.1" customHeight="1"/>
    <row r="36" ht="29.1" customHeight="1"/>
    <row r="37" ht="29.1" customHeight="1"/>
    <row r="38" ht="29.1" customHeight="1"/>
    <row r="39" ht="29.1" customHeight="1"/>
    <row r="40" ht="29.1" customHeight="1"/>
  </sheetData>
  <mergeCells count="27">
    <mergeCell ref="A1:K1"/>
    <mergeCell ref="B24:E24"/>
    <mergeCell ref="F24:J24"/>
    <mergeCell ref="I25:L25"/>
    <mergeCell ref="I26:L26"/>
    <mergeCell ref="I27:L27"/>
    <mergeCell ref="A28:B28"/>
    <mergeCell ref="A3:A23"/>
    <mergeCell ref="A26:A27"/>
    <mergeCell ref="B3:B23"/>
    <mergeCell ref="B26:B27"/>
    <mergeCell ref="C3:C23"/>
    <mergeCell ref="D3:D6"/>
    <mergeCell ref="D7:D8"/>
    <mergeCell ref="D9:D11"/>
    <mergeCell ref="D12:D13"/>
    <mergeCell ref="D14:D19"/>
    <mergeCell ref="D20:D21"/>
    <mergeCell ref="E3:E4"/>
    <mergeCell ref="E5:E6"/>
    <mergeCell ref="E7:E8"/>
    <mergeCell ref="E9:E11"/>
    <mergeCell ref="E12:E13"/>
    <mergeCell ref="E14:E17"/>
    <mergeCell ref="E18:E19"/>
    <mergeCell ref="E20:E21"/>
    <mergeCell ref="J3:J23"/>
  </mergeCells>
  <hyperlinks>
    <hyperlink ref="K11" r:id="rId1" display="4@150网片6张，2m2/张" tooltip="mailto:4@150网片6张，2m2/张"/>
  </hyperlink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80" zoomScaleNormal="80" workbookViewId="0">
      <selection activeCell="B3" sqref="B3:B4"/>
    </sheetView>
  </sheetViews>
  <sheetFormatPr defaultColWidth="10" defaultRowHeight="12"/>
  <cols>
    <col min="1" max="1" width="5.55555555555556" style="1" customWidth="1"/>
    <col min="2" max="2" width="20.2777777777778" style="1" customWidth="1"/>
    <col min="3" max="3" width="18.1111111111111" style="1" customWidth="1"/>
    <col min="4" max="4" width="16.9444444444444" style="2" customWidth="1"/>
    <col min="5" max="5" width="21.5277777777778" style="2" customWidth="1"/>
    <col min="6" max="6" width="9.44444444444444" style="1" customWidth="1"/>
    <col min="7" max="7" width="12.0555555555556" style="1" customWidth="1"/>
    <col min="8" max="8" width="13.3240740740741" style="1" customWidth="1"/>
    <col min="9" max="9" width="14.9166666666667" style="1" customWidth="1"/>
    <col min="10" max="10" width="10.1388888888889" style="2" customWidth="1"/>
    <col min="11" max="11" width="19.4444444444444" style="2" customWidth="1"/>
    <col min="12" max="12" width="10.5555555555556" style="1"/>
    <col min="13" max="16384" width="10" style="1"/>
  </cols>
  <sheetData>
    <row r="1" s="1" customFormat="1" ht="41.25" customHeight="1" spans="1:11">
      <c r="A1" s="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5" t="s">
        <v>29</v>
      </c>
      <c r="B2" s="6" t="s">
        <v>64</v>
      </c>
      <c r="C2" s="6" t="s">
        <v>217</v>
      </c>
      <c r="D2" s="6" t="s">
        <v>218</v>
      </c>
      <c r="E2" s="6" t="s">
        <v>219</v>
      </c>
      <c r="F2" s="6" t="s">
        <v>101</v>
      </c>
      <c r="G2" s="6" t="s">
        <v>220</v>
      </c>
      <c r="H2" s="6" t="s">
        <v>221</v>
      </c>
      <c r="I2" s="6" t="s">
        <v>222</v>
      </c>
      <c r="J2" s="20" t="s">
        <v>34</v>
      </c>
      <c r="K2" s="20" t="s">
        <v>223</v>
      </c>
    </row>
    <row r="3" s="1" customFormat="1" ht="115" customHeight="1" spans="1:13">
      <c r="A3" s="7">
        <v>3</v>
      </c>
      <c r="B3" s="8" t="s">
        <v>322</v>
      </c>
      <c r="C3" s="9" t="s">
        <v>287</v>
      </c>
      <c r="D3" s="10">
        <v>45049</v>
      </c>
      <c r="E3" s="11" t="s">
        <v>288</v>
      </c>
      <c r="F3" s="12" t="s">
        <v>115</v>
      </c>
      <c r="G3" s="12">
        <f>5.2*2.2+(5.9+8)*3.6+(4.5+9)*3.6*0.5</f>
        <v>85.78</v>
      </c>
      <c r="H3" s="12">
        <v>214.7</v>
      </c>
      <c r="I3" s="12">
        <f>G3*H3</f>
        <v>18416.966</v>
      </c>
      <c r="J3" s="21"/>
      <c r="K3" s="22" t="s">
        <v>289</v>
      </c>
      <c r="L3" s="1"/>
      <c r="M3" s="12">
        <f>(4.15+5.45)*15.8*0.5*(1.45+1.28)*0.5+4.5*4.2*1.55*0.5+5.2*2.2+(5.9+8)*3.6*0.5*1.3+(4.5+9)*3.6*0.5*1.3</f>
        <v>193.7251</v>
      </c>
    </row>
    <row r="4" s="1" customFormat="1" ht="55" customHeight="1" spans="1:11">
      <c r="A4" s="7"/>
      <c r="B4" s="13"/>
      <c r="C4" s="14"/>
      <c r="D4" s="15"/>
      <c r="E4" s="11" t="s">
        <v>290</v>
      </c>
      <c r="F4" s="12" t="s">
        <v>118</v>
      </c>
      <c r="G4" s="12">
        <f>5.2*2.2*1.3+(5.9+8)*3.6*0.5*1.3+(4.5+9)*3.6*0.5*1.3</f>
        <v>78.988</v>
      </c>
      <c r="H4" s="12">
        <v>11.5</v>
      </c>
      <c r="I4" s="12">
        <f>G4*H4</f>
        <v>908.362</v>
      </c>
      <c r="J4" s="21"/>
      <c r="K4" s="22" t="s">
        <v>291</v>
      </c>
    </row>
    <row r="5" s="1" customFormat="1" ht="22.5" customHeight="1" spans="1:11">
      <c r="A5" s="16">
        <v>5</v>
      </c>
      <c r="B5" s="17" t="s">
        <v>67</v>
      </c>
      <c r="C5" s="17"/>
      <c r="D5" s="17"/>
      <c r="E5" s="17"/>
      <c r="F5" s="18">
        <f>I3+I4</f>
        <v>19325.328</v>
      </c>
      <c r="G5" s="18"/>
      <c r="H5" s="18"/>
      <c r="I5" s="18"/>
      <c r="J5" s="18"/>
      <c r="K5" s="23"/>
    </row>
    <row r="6" s="1" customFormat="1" ht="18.75" customHeight="1" spans="2:12">
      <c r="B6" s="1" t="s">
        <v>258</v>
      </c>
      <c r="C6" s="1"/>
      <c r="D6" s="1"/>
      <c r="E6" s="1"/>
      <c r="F6" s="1" t="s">
        <v>20</v>
      </c>
      <c r="G6" s="19"/>
      <c r="H6" s="19"/>
      <c r="I6" s="24" t="s">
        <v>259</v>
      </c>
      <c r="J6" s="24"/>
      <c r="K6" s="24"/>
      <c r="L6" s="2"/>
    </row>
    <row r="7" s="1" customFormat="1" ht="20.25" customHeight="1" spans="2:12">
      <c r="B7" s="1" t="s">
        <v>21</v>
      </c>
      <c r="G7" s="19"/>
      <c r="H7" s="19"/>
      <c r="I7" s="24" t="s">
        <v>21</v>
      </c>
      <c r="J7" s="24"/>
      <c r="K7" s="24"/>
      <c r="L7" s="24"/>
    </row>
    <row r="8" s="1" customFormat="1" ht="2.25" customHeight="1" spans="7:12">
      <c r="G8" s="19"/>
      <c r="H8" s="19"/>
      <c r="I8" s="19"/>
      <c r="J8" s="19"/>
      <c r="K8" s="19"/>
      <c r="L8" s="2"/>
    </row>
    <row r="9" s="1" customFormat="1" ht="29.1" customHeight="1" spans="1:11">
      <c r="A9" s="2"/>
      <c r="B9" s="2"/>
      <c r="C9" s="2"/>
      <c r="D9" s="2"/>
      <c r="E9" s="2"/>
      <c r="J9" s="2"/>
      <c r="K9" s="2"/>
    </row>
    <row r="10" s="1" customFormat="1" ht="29.1" customHeight="1" spans="4:11">
      <c r="D10" s="2"/>
      <c r="E10" s="2"/>
      <c r="J10" s="2"/>
      <c r="K10" s="2"/>
    </row>
    <row r="11" s="1" customFormat="1" ht="29.1" customHeight="1" spans="4:11">
      <c r="D11" s="2"/>
      <c r="E11" s="2"/>
      <c r="J11" s="2"/>
      <c r="K11" s="2"/>
    </row>
    <row r="12" s="1" customFormat="1" ht="29.1" customHeight="1" spans="4:11">
      <c r="D12" s="2"/>
      <c r="E12" s="2"/>
      <c r="J12" s="2"/>
      <c r="K12" s="2"/>
    </row>
    <row r="13" s="1" customFormat="1" ht="29.1" customHeight="1" spans="4:11">
      <c r="D13" s="2"/>
      <c r="E13" s="2"/>
      <c r="J13" s="2"/>
      <c r="K13" s="2"/>
    </row>
    <row r="14" s="1" customFormat="1" ht="29.1" customHeight="1" spans="4:11">
      <c r="D14" s="2"/>
      <c r="E14" s="2"/>
      <c r="J14" s="2"/>
      <c r="K14" s="2"/>
    </row>
    <row r="15" s="1" customFormat="1" ht="29.1" customHeight="1" spans="4:11">
      <c r="D15" s="2"/>
      <c r="E15" s="2"/>
      <c r="J15" s="2"/>
      <c r="K15" s="2"/>
    </row>
    <row r="16" s="1" customFormat="1" ht="29.1" customHeight="1" spans="4:11">
      <c r="D16" s="2"/>
      <c r="E16" s="2"/>
      <c r="J16" s="2"/>
      <c r="K16" s="2"/>
    </row>
    <row r="17" s="1" customFormat="1" ht="29.1" customHeight="1" spans="4:11">
      <c r="D17" s="2"/>
      <c r="E17" s="2"/>
      <c r="J17" s="2"/>
      <c r="K17" s="2"/>
    </row>
    <row r="18" s="1" customFormat="1" ht="29.1" customHeight="1" spans="4:11">
      <c r="D18" s="2"/>
      <c r="E18" s="2"/>
      <c r="J18" s="2"/>
      <c r="K18" s="2"/>
    </row>
    <row r="19" s="1" customFormat="1" ht="29.1" customHeight="1" spans="4:11">
      <c r="D19" s="2"/>
      <c r="E19" s="2"/>
      <c r="J19" s="2"/>
      <c r="K19" s="2"/>
    </row>
    <row r="20" s="1" customFormat="1" ht="29.1" customHeight="1" spans="4:11">
      <c r="D20" s="2"/>
      <c r="E20" s="2"/>
      <c r="J20" s="2"/>
      <c r="K20" s="2"/>
    </row>
    <row r="21" s="1" customFormat="1" ht="29.1" customHeight="1" spans="4:11">
      <c r="D21" s="2"/>
      <c r="E21" s="2"/>
      <c r="J21" s="2"/>
      <c r="K21" s="2"/>
    </row>
  </sheetData>
  <mergeCells count="12">
    <mergeCell ref="A1:K1"/>
    <mergeCell ref="B5:E5"/>
    <mergeCell ref="F5:J5"/>
    <mergeCell ref="I6:L6"/>
    <mergeCell ref="I7:L7"/>
    <mergeCell ref="I8:L8"/>
    <mergeCell ref="A9:B9"/>
    <mergeCell ref="A7:A8"/>
    <mergeCell ref="B3:B4"/>
    <mergeCell ref="B7:B8"/>
    <mergeCell ref="C3:C4"/>
    <mergeCell ref="D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B13" sqref="B13"/>
    </sheetView>
  </sheetViews>
  <sheetFormatPr defaultColWidth="9" defaultRowHeight="15.6"/>
  <cols>
    <col min="1" max="1" width="5.75" style="161" customWidth="1"/>
    <col min="2" max="2" width="50.25" style="162" customWidth="1"/>
    <col min="3" max="3" width="7.75" style="162" customWidth="1"/>
    <col min="4" max="4" width="8.12962962962963" style="162" customWidth="1"/>
    <col min="5" max="5" width="11.3796296296296" style="162" customWidth="1"/>
    <col min="6" max="6" width="6.37962962962963" style="163" customWidth="1"/>
    <col min="7" max="12" width="9" style="162"/>
    <col min="13" max="16384" width="9" style="108"/>
  </cols>
  <sheetData>
    <row r="1" s="108" customFormat="1" ht="44.25" customHeight="1" spans="1:12">
      <c r="A1" s="164" t="s">
        <v>28</v>
      </c>
      <c r="B1" s="164"/>
      <c r="C1" s="164"/>
      <c r="D1" s="164"/>
      <c r="E1" s="164"/>
      <c r="F1" s="164"/>
      <c r="G1" s="165"/>
      <c r="H1" s="165"/>
      <c r="I1" s="165"/>
      <c r="J1" s="162"/>
      <c r="K1" s="162"/>
      <c r="L1" s="162"/>
    </row>
    <row r="2" s="108" customFormat="1" ht="30.75" customHeight="1" spans="1:12">
      <c r="A2" s="166" t="s">
        <v>29</v>
      </c>
      <c r="B2" s="167" t="s">
        <v>30</v>
      </c>
      <c r="C2" s="167" t="s">
        <v>31</v>
      </c>
      <c r="D2" s="167" t="s">
        <v>32</v>
      </c>
      <c r="E2" s="167" t="s">
        <v>33</v>
      </c>
      <c r="F2" s="168" t="s">
        <v>34</v>
      </c>
      <c r="G2" s="162"/>
      <c r="H2" s="162"/>
      <c r="I2" s="162"/>
      <c r="J2" s="162"/>
      <c r="K2" s="162"/>
      <c r="L2" s="162"/>
    </row>
    <row r="3" s="160" customFormat="1" ht="23.25" customHeight="1" spans="1:12">
      <c r="A3" s="169">
        <v>1</v>
      </c>
      <c r="B3" s="170" t="s">
        <v>0</v>
      </c>
      <c r="C3" s="171" t="s">
        <v>35</v>
      </c>
      <c r="D3" s="171" t="s">
        <v>36</v>
      </c>
      <c r="E3" s="171" t="s">
        <v>37</v>
      </c>
      <c r="F3" s="172"/>
      <c r="G3" s="173"/>
      <c r="H3" s="173"/>
      <c r="I3" s="173"/>
      <c r="J3" s="173"/>
      <c r="K3" s="173"/>
      <c r="L3" s="173"/>
    </row>
    <row r="4" s="160" customFormat="1" ht="23.25" customHeight="1" spans="1:12">
      <c r="A4" s="169">
        <v>2</v>
      </c>
      <c r="B4" s="170" t="s">
        <v>38</v>
      </c>
      <c r="C4" s="171" t="s">
        <v>35</v>
      </c>
      <c r="D4" s="171" t="s">
        <v>39</v>
      </c>
      <c r="E4" s="171" t="s">
        <v>37</v>
      </c>
      <c r="F4" s="172"/>
      <c r="G4" s="173"/>
      <c r="H4" s="173"/>
      <c r="I4" s="173"/>
      <c r="J4" s="173"/>
      <c r="K4" s="173"/>
      <c r="L4" s="173"/>
    </row>
    <row r="5" s="160" customFormat="1" ht="23.25" customHeight="1" spans="1:12">
      <c r="A5" s="169">
        <v>3</v>
      </c>
      <c r="B5" s="170" t="s">
        <v>40</v>
      </c>
      <c r="C5" s="171" t="s">
        <v>35</v>
      </c>
      <c r="D5" s="171" t="s">
        <v>41</v>
      </c>
      <c r="E5" s="171" t="s">
        <v>42</v>
      </c>
      <c r="F5" s="172"/>
      <c r="G5" s="173"/>
      <c r="H5" s="173"/>
      <c r="I5" s="173"/>
      <c r="J5" s="173"/>
      <c r="K5" s="173"/>
      <c r="L5" s="173"/>
    </row>
    <row r="6" s="160" customFormat="1" ht="23.25" customHeight="1" spans="1:12">
      <c r="A6" s="169">
        <v>4</v>
      </c>
      <c r="B6" s="170" t="s">
        <v>43</v>
      </c>
      <c r="C6" s="171" t="s">
        <v>35</v>
      </c>
      <c r="D6" s="171" t="s">
        <v>44</v>
      </c>
      <c r="E6" s="171" t="s">
        <v>42</v>
      </c>
      <c r="F6" s="172"/>
      <c r="G6" s="173"/>
      <c r="H6" s="173"/>
      <c r="I6" s="173"/>
      <c r="J6" s="173"/>
      <c r="K6" s="173"/>
      <c r="L6" s="173"/>
    </row>
    <row r="7" s="160" customFormat="1" ht="23.25" customHeight="1" spans="1:12">
      <c r="A7" s="169">
        <v>5</v>
      </c>
      <c r="B7" s="171" t="s">
        <v>45</v>
      </c>
      <c r="C7" s="171" t="s">
        <v>35</v>
      </c>
      <c r="D7" s="171" t="s">
        <v>46</v>
      </c>
      <c r="E7" s="171" t="s">
        <v>42</v>
      </c>
      <c r="F7" s="172"/>
      <c r="G7" s="173"/>
      <c r="H7" s="173"/>
      <c r="I7" s="173"/>
      <c r="J7" s="173"/>
      <c r="K7" s="173"/>
      <c r="L7" s="173"/>
    </row>
    <row r="8" s="160" customFormat="1" ht="23.25" customHeight="1" spans="1:12">
      <c r="A8" s="169">
        <v>6</v>
      </c>
      <c r="B8" s="171" t="s">
        <v>47</v>
      </c>
      <c r="C8" s="171" t="s">
        <v>35</v>
      </c>
      <c r="D8" s="171" t="s">
        <v>48</v>
      </c>
      <c r="E8" s="171" t="s">
        <v>42</v>
      </c>
      <c r="F8" s="172"/>
      <c r="G8" s="173"/>
      <c r="H8" s="173"/>
      <c r="I8" s="173"/>
      <c r="J8" s="173"/>
      <c r="K8" s="173"/>
      <c r="L8" s="173"/>
    </row>
    <row r="9" s="108" customFormat="1" ht="23.1" customHeight="1" spans="1:12">
      <c r="A9" s="169">
        <v>7</v>
      </c>
      <c r="B9" s="171" t="s">
        <v>49</v>
      </c>
      <c r="C9" s="171" t="s">
        <v>35</v>
      </c>
      <c r="D9" s="171" t="s">
        <v>50</v>
      </c>
      <c r="E9" s="171" t="s">
        <v>37</v>
      </c>
      <c r="F9" s="172"/>
      <c r="G9" s="162"/>
      <c r="H9" s="162"/>
      <c r="I9" s="162"/>
      <c r="J9" s="162"/>
      <c r="K9" s="162"/>
      <c r="L9" s="162"/>
    </row>
    <row r="10" s="108" customFormat="1" ht="23.1" customHeight="1" spans="1:12">
      <c r="A10" s="169">
        <v>8</v>
      </c>
      <c r="B10" s="171" t="s">
        <v>51</v>
      </c>
      <c r="C10" s="171"/>
      <c r="D10" s="171"/>
      <c r="E10" s="171"/>
      <c r="F10" s="172"/>
      <c r="G10" s="162"/>
      <c r="H10" s="162"/>
      <c r="I10" s="162"/>
      <c r="J10" s="162"/>
      <c r="K10" s="162"/>
      <c r="L10" s="162"/>
    </row>
    <row r="11" s="108" customFormat="1" ht="28.9" customHeight="1" spans="1:12">
      <c r="A11" s="169">
        <v>9</v>
      </c>
      <c r="B11" s="171" t="s">
        <v>52</v>
      </c>
      <c r="C11" s="171" t="s">
        <v>53</v>
      </c>
      <c r="D11" s="174"/>
      <c r="E11" s="171" t="s">
        <v>37</v>
      </c>
      <c r="F11" s="172"/>
      <c r="G11" s="162"/>
      <c r="H11" s="162"/>
      <c r="I11" s="162"/>
      <c r="J11" s="162"/>
      <c r="K11" s="162"/>
      <c r="L11" s="162"/>
    </row>
    <row r="12" s="108" customFormat="1" ht="28.9" customHeight="1" spans="1:12">
      <c r="A12" s="169">
        <v>10</v>
      </c>
      <c r="B12" s="171" t="s">
        <v>54</v>
      </c>
      <c r="C12" s="171" t="s">
        <v>53</v>
      </c>
      <c r="D12" s="174"/>
      <c r="E12" s="171" t="s">
        <v>37</v>
      </c>
      <c r="F12" s="172"/>
      <c r="G12" s="162"/>
      <c r="H12" s="162"/>
      <c r="I12" s="162"/>
      <c r="J12" s="162"/>
      <c r="K12" s="162"/>
      <c r="L12" s="162"/>
    </row>
    <row r="13" s="108" customFormat="1" ht="28.9" customHeight="1" spans="1:12">
      <c r="A13" s="169">
        <v>12</v>
      </c>
      <c r="B13" s="171" t="s">
        <v>55</v>
      </c>
      <c r="C13" s="171" t="s">
        <v>53</v>
      </c>
      <c r="D13" s="174"/>
      <c r="E13" s="171" t="s">
        <v>37</v>
      </c>
      <c r="F13" s="172"/>
      <c r="G13" s="162"/>
      <c r="H13" s="162"/>
      <c r="I13" s="162"/>
      <c r="J13" s="162"/>
      <c r="K13" s="162"/>
      <c r="L13" s="162"/>
    </row>
    <row r="14" s="108" customFormat="1" ht="28.9" customHeight="1" spans="1:12">
      <c r="A14" s="169">
        <v>13</v>
      </c>
      <c r="B14" s="171" t="s">
        <v>56</v>
      </c>
      <c r="C14" s="171" t="s">
        <v>53</v>
      </c>
      <c r="D14" s="174"/>
      <c r="E14" s="171" t="s">
        <v>37</v>
      </c>
      <c r="F14" s="172"/>
      <c r="G14" s="162"/>
      <c r="H14" s="162"/>
      <c r="I14" s="162"/>
      <c r="J14" s="162"/>
      <c r="K14" s="162"/>
      <c r="L14" s="162"/>
    </row>
    <row r="15" s="108" customFormat="1" ht="28.9" customHeight="1" spans="1:12">
      <c r="A15" s="169">
        <v>14</v>
      </c>
      <c r="B15" s="171" t="s">
        <v>57</v>
      </c>
      <c r="C15" s="171" t="s">
        <v>53</v>
      </c>
      <c r="D15" s="174"/>
      <c r="E15" s="171" t="s">
        <v>37</v>
      </c>
      <c r="F15" s="172"/>
      <c r="G15" s="162"/>
      <c r="H15" s="162"/>
      <c r="I15" s="162"/>
      <c r="J15" s="162"/>
      <c r="K15" s="162"/>
      <c r="L15" s="162"/>
    </row>
    <row r="16" s="108" customFormat="1" ht="39.95" customHeight="1" spans="1:12">
      <c r="A16" s="175" t="s">
        <v>58</v>
      </c>
      <c r="B16" s="176"/>
      <c r="C16" s="176" t="s">
        <v>21</v>
      </c>
      <c r="D16" s="176"/>
      <c r="E16" s="176"/>
      <c r="F16" s="177"/>
      <c r="G16" s="162"/>
      <c r="H16" s="162"/>
      <c r="I16" s="162"/>
      <c r="J16" s="162"/>
      <c r="K16" s="162"/>
      <c r="L16" s="162"/>
    </row>
    <row r="17" s="108" customFormat="1" ht="39.95" customHeight="1" spans="1:12">
      <c r="A17" s="178"/>
      <c r="B17" s="179"/>
      <c r="C17" s="179"/>
      <c r="D17" s="179"/>
      <c r="E17" s="179"/>
      <c r="F17" s="180"/>
      <c r="G17" s="162"/>
      <c r="H17" s="162"/>
      <c r="I17" s="162"/>
      <c r="J17" s="162"/>
      <c r="K17" s="162"/>
      <c r="L17" s="162"/>
    </row>
    <row r="18" s="108" customFormat="1" spans="1:12">
      <c r="A18" s="161"/>
      <c r="B18" s="162"/>
      <c r="C18" s="162"/>
      <c r="D18" s="162"/>
      <c r="E18" s="162"/>
      <c r="F18" s="163"/>
      <c r="G18" s="162"/>
      <c r="H18" s="162"/>
      <c r="I18" s="162"/>
      <c r="J18" s="162"/>
      <c r="K18" s="162"/>
      <c r="L18" s="162"/>
    </row>
    <row r="19" s="108" customFormat="1" spans="1:12">
      <c r="A19" s="161"/>
      <c r="B19" s="162"/>
      <c r="C19" s="162"/>
      <c r="D19" s="162"/>
      <c r="E19" s="162"/>
      <c r="F19" s="163"/>
      <c r="G19" s="162"/>
      <c r="H19" s="162"/>
      <c r="I19" s="162"/>
      <c r="J19" s="162"/>
      <c r="K19" s="162"/>
      <c r="L19" s="162"/>
    </row>
    <row r="20" s="108" customFormat="1" spans="1:12">
      <c r="A20" s="161"/>
      <c r="B20" s="162"/>
      <c r="C20" s="162"/>
      <c r="D20" s="162"/>
      <c r="E20" s="162"/>
      <c r="F20" s="163"/>
      <c r="G20" s="162"/>
      <c r="H20" s="162"/>
      <c r="I20" s="162"/>
      <c r="J20" s="162"/>
      <c r="K20" s="162"/>
      <c r="L20" s="162"/>
    </row>
    <row r="21" s="108" customFormat="1" spans="1:12">
      <c r="A21" s="161"/>
      <c r="B21" s="162"/>
      <c r="C21" s="162"/>
      <c r="D21" s="162"/>
      <c r="E21" s="162"/>
      <c r="F21" s="163"/>
      <c r="G21" s="162"/>
      <c r="H21" s="162"/>
      <c r="I21" s="162"/>
      <c r="J21" s="162"/>
      <c r="K21" s="162"/>
      <c r="L21" s="162"/>
    </row>
    <row r="22" s="108" customFormat="1" spans="1:12">
      <c r="A22" s="161"/>
      <c r="B22" s="162"/>
      <c r="C22" s="162"/>
      <c r="D22" s="162"/>
      <c r="E22" s="162"/>
      <c r="F22" s="163"/>
      <c r="G22" s="162"/>
      <c r="H22" s="162"/>
      <c r="I22" s="162"/>
      <c r="J22" s="162"/>
      <c r="K22" s="162"/>
      <c r="L22" s="162"/>
    </row>
    <row r="23" s="108" customFormat="1" spans="1:12">
      <c r="A23" s="161"/>
      <c r="B23" s="162"/>
      <c r="C23" s="162"/>
      <c r="D23" s="162"/>
      <c r="E23" s="162"/>
      <c r="F23" s="163"/>
      <c r="G23" s="162"/>
      <c r="H23" s="162"/>
      <c r="I23" s="162"/>
      <c r="J23" s="162"/>
      <c r="K23" s="162"/>
      <c r="L23" s="162"/>
    </row>
    <row r="24" s="108" customFormat="1" spans="1:12">
      <c r="A24" s="161"/>
      <c r="B24" s="162"/>
      <c r="C24" s="162"/>
      <c r="D24" s="162"/>
      <c r="E24" s="162"/>
      <c r="F24" s="163"/>
      <c r="G24" s="162"/>
      <c r="H24" s="162"/>
      <c r="I24" s="162"/>
      <c r="J24" s="162"/>
      <c r="K24" s="162"/>
      <c r="L24" s="162"/>
    </row>
    <row r="25" s="108" customFormat="1" spans="1:12">
      <c r="A25" s="161"/>
      <c r="B25" s="162"/>
      <c r="C25" s="162"/>
      <c r="D25" s="162"/>
      <c r="E25" s="162"/>
      <c r="F25" s="163"/>
      <c r="G25" s="162"/>
      <c r="H25" s="162"/>
      <c r="I25" s="162"/>
      <c r="J25" s="162"/>
      <c r="K25" s="162"/>
      <c r="L25" s="162"/>
    </row>
    <row r="26" s="108" customFormat="1" spans="1:12">
      <c r="A26" s="161"/>
      <c r="B26" s="162"/>
      <c r="C26" s="162"/>
      <c r="D26" s="162"/>
      <c r="E26" s="162"/>
      <c r="F26" s="163"/>
      <c r="G26" s="162"/>
      <c r="H26" s="162"/>
      <c r="I26" s="162"/>
      <c r="J26" s="162"/>
      <c r="K26" s="162"/>
      <c r="L26" s="162"/>
    </row>
    <row r="27" s="108" customFormat="1" spans="1:12">
      <c r="A27" s="161"/>
      <c r="B27" s="162"/>
      <c r="C27" s="162"/>
      <c r="D27" s="162"/>
      <c r="E27" s="162"/>
      <c r="F27" s="163"/>
      <c r="G27" s="162"/>
      <c r="H27" s="162"/>
      <c r="I27" s="162"/>
      <c r="J27" s="162"/>
      <c r="K27" s="162"/>
      <c r="L27" s="162"/>
    </row>
    <row r="28" s="108" customFormat="1" spans="1:12">
      <c r="A28" s="161"/>
      <c r="B28" s="162"/>
      <c r="C28" s="162"/>
      <c r="D28" s="162"/>
      <c r="E28" s="162"/>
      <c r="F28" s="163"/>
      <c r="G28" s="162"/>
      <c r="H28" s="162"/>
      <c r="I28" s="162"/>
      <c r="J28" s="162"/>
      <c r="K28" s="162"/>
      <c r="L28" s="162"/>
    </row>
    <row r="29" s="108" customFormat="1" spans="1:12">
      <c r="A29" s="161"/>
      <c r="B29" s="162"/>
      <c r="C29" s="162"/>
      <c r="D29" s="162"/>
      <c r="E29" s="162"/>
      <c r="F29" s="163"/>
      <c r="G29" s="162"/>
      <c r="H29" s="162"/>
      <c r="I29" s="162"/>
      <c r="J29" s="162"/>
      <c r="K29" s="162"/>
      <c r="L29" s="162"/>
    </row>
    <row r="30" s="108" customFormat="1" spans="1:12">
      <c r="A30" s="161"/>
      <c r="B30" s="162"/>
      <c r="C30" s="162"/>
      <c r="D30" s="162"/>
      <c r="E30" s="162"/>
      <c r="F30" s="163"/>
      <c r="G30" s="162"/>
      <c r="H30" s="162"/>
      <c r="I30" s="162"/>
      <c r="J30" s="162"/>
      <c r="K30" s="162"/>
      <c r="L30" s="162"/>
    </row>
    <row r="31" s="108" customFormat="1" spans="1:12">
      <c r="A31" s="161"/>
      <c r="B31" s="162"/>
      <c r="C31" s="162"/>
      <c r="D31" s="162"/>
      <c r="E31" s="162"/>
      <c r="F31" s="163"/>
      <c r="G31" s="162"/>
      <c r="H31" s="162"/>
      <c r="I31" s="162"/>
      <c r="J31" s="162"/>
      <c r="K31" s="162"/>
      <c r="L31" s="162"/>
    </row>
    <row r="32" s="108" customFormat="1" ht="43.5" customHeight="1" spans="1:12">
      <c r="A32" s="161"/>
      <c r="B32" s="162"/>
      <c r="C32" s="162"/>
      <c r="D32" s="162"/>
      <c r="E32" s="162"/>
      <c r="F32" s="163"/>
      <c r="G32" s="162"/>
      <c r="H32" s="162"/>
      <c r="I32" s="162"/>
      <c r="J32" s="162"/>
      <c r="K32" s="162"/>
      <c r="L32" s="162"/>
    </row>
  </sheetData>
  <mergeCells count="3">
    <mergeCell ref="A1:F1"/>
    <mergeCell ref="A16:B17"/>
    <mergeCell ref="C16:F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7" workbookViewId="0">
      <selection activeCell="E16" sqref="E16:H16"/>
    </sheetView>
  </sheetViews>
  <sheetFormatPr defaultColWidth="9" defaultRowHeight="15.6" outlineLevelCol="7"/>
  <cols>
    <col min="1" max="2" width="9" style="108"/>
    <col min="3" max="3" width="3.25" style="108" customWidth="1"/>
    <col min="4" max="4" width="9.25" style="108" customWidth="1"/>
    <col min="5" max="5" width="13.8796296296296" style="108" customWidth="1"/>
    <col min="6" max="6" width="12" style="108" customWidth="1"/>
    <col min="7" max="7" width="15" style="108" customWidth="1"/>
    <col min="8" max="8" width="16.1296296296296" style="108" customWidth="1"/>
    <col min="9" max="11" width="9" style="108"/>
    <col min="12" max="12" width="12.6296296296296" style="108"/>
    <col min="13" max="13" width="9" style="108"/>
    <col min="14" max="14" width="12.6296296296296" style="108"/>
    <col min="15" max="19" width="9" style="108"/>
    <col min="20" max="20" width="12.6296296296296" style="108"/>
    <col min="21" max="16384" width="9" style="108"/>
  </cols>
  <sheetData>
    <row r="1" s="108" customFormat="1" ht="37.5" customHeight="1" spans="1:8">
      <c r="A1" s="109" t="s">
        <v>59</v>
      </c>
      <c r="B1" s="110"/>
      <c r="C1" s="110"/>
      <c r="D1" s="110"/>
      <c r="E1" s="110"/>
      <c r="F1" s="110"/>
      <c r="G1" s="110"/>
      <c r="H1" s="110"/>
    </row>
    <row r="2" s="108" customFormat="1" ht="24" customHeight="1" spans="1:8">
      <c r="A2" s="111" t="s">
        <v>60</v>
      </c>
      <c r="B2" s="111"/>
      <c r="C2" s="111"/>
      <c r="D2" s="111"/>
      <c r="E2" s="111"/>
      <c r="F2" s="111"/>
      <c r="G2" s="111"/>
      <c r="H2" s="111"/>
    </row>
    <row r="3" s="108" customFormat="1" ht="23.25" customHeight="1" spans="1:8">
      <c r="A3" s="111" t="s">
        <v>61</v>
      </c>
      <c r="B3" s="111"/>
      <c r="C3" s="111"/>
      <c r="D3" s="111"/>
      <c r="E3" s="111"/>
      <c r="F3" s="111"/>
      <c r="G3" s="111"/>
      <c r="H3" s="111"/>
    </row>
    <row r="4" s="108" customFormat="1" ht="25.5" customHeight="1" spans="1:8">
      <c r="A4" s="111" t="s">
        <v>62</v>
      </c>
      <c r="B4" s="111"/>
      <c r="C4" s="111"/>
      <c r="D4" s="111"/>
      <c r="E4" s="111"/>
      <c r="F4" s="111"/>
      <c r="G4" s="111"/>
      <c r="H4" s="111"/>
    </row>
    <row r="5" s="108" customFormat="1" ht="30" customHeight="1" spans="1:8">
      <c r="A5" s="112" t="s">
        <v>63</v>
      </c>
      <c r="B5" s="112"/>
      <c r="C5" s="112"/>
      <c r="D5" s="112"/>
      <c r="E5" s="112"/>
      <c r="F5" s="112"/>
      <c r="G5" s="112"/>
      <c r="H5" s="112"/>
    </row>
    <row r="6" s="108" customFormat="1" ht="20.25" customHeight="1" spans="1:8">
      <c r="A6" s="113" t="s">
        <v>29</v>
      </c>
      <c r="B6" s="114" t="s">
        <v>64</v>
      </c>
      <c r="C6" s="115"/>
      <c r="D6" s="116"/>
      <c r="E6" s="116" t="s">
        <v>65</v>
      </c>
      <c r="F6" s="116" t="s">
        <v>66</v>
      </c>
      <c r="G6" s="116" t="s">
        <v>67</v>
      </c>
      <c r="H6" s="117" t="s">
        <v>68</v>
      </c>
    </row>
    <row r="7" s="108" customFormat="1" ht="20.25" customHeight="1" spans="1:8">
      <c r="A7" s="118" t="s">
        <v>69</v>
      </c>
      <c r="B7" s="119" t="s">
        <v>70</v>
      </c>
      <c r="C7" s="120"/>
      <c r="D7" s="121"/>
      <c r="E7" s="122">
        <f>E8+E9+E10+E11</f>
        <v>0</v>
      </c>
      <c r="F7" s="122">
        <v>0</v>
      </c>
      <c r="G7" s="123">
        <f>G8+G9</f>
        <v>829348.426269117</v>
      </c>
      <c r="H7" s="124">
        <f>G7</f>
        <v>829348.426269117</v>
      </c>
    </row>
    <row r="8" s="108" customFormat="1" ht="20.25" customHeight="1" spans="1:8">
      <c r="A8" s="125">
        <v>1.1</v>
      </c>
      <c r="B8" s="126" t="s">
        <v>71</v>
      </c>
      <c r="C8" s="127"/>
      <c r="D8" s="128"/>
      <c r="E8" s="122">
        <v>0</v>
      </c>
      <c r="F8" s="122">
        <v>0</v>
      </c>
      <c r="G8" s="124">
        <f>'园建工程+安装'!L67</f>
        <v>613764.496379117</v>
      </c>
      <c r="H8" s="129"/>
    </row>
    <row r="9" s="108" customFormat="1" ht="20.25" customHeight="1" spans="1:8">
      <c r="A9" s="125">
        <v>1.2</v>
      </c>
      <c r="B9" s="126" t="s">
        <v>72</v>
      </c>
      <c r="C9" s="127"/>
      <c r="D9" s="128"/>
      <c r="E9" s="122">
        <v>0</v>
      </c>
      <c r="F9" s="122">
        <v>0</v>
      </c>
      <c r="G9" s="124">
        <f>零星工程签证明细汇总编号01!F31+零星工程签证明细汇总编号02!F54+零星工程签证明细汇总编号04!F5+零星工程签证明细汇总编号05!F7+零星工程签证明细汇总编号06!F24</f>
        <v>215583.92989</v>
      </c>
      <c r="H9" s="129"/>
    </row>
    <row r="10" s="108" customFormat="1" ht="20.25" customHeight="1" spans="1:8">
      <c r="A10" s="125">
        <v>1.3</v>
      </c>
      <c r="B10" s="126" t="s">
        <v>73</v>
      </c>
      <c r="C10" s="127"/>
      <c r="D10" s="128"/>
      <c r="E10" s="122">
        <v>0</v>
      </c>
      <c r="F10" s="122">
        <v>0</v>
      </c>
      <c r="G10" s="122"/>
      <c r="H10" s="130"/>
    </row>
    <row r="11" s="108" customFormat="1" ht="20.25" customHeight="1" spans="1:8">
      <c r="A11" s="125">
        <v>1.4</v>
      </c>
      <c r="B11" s="126" t="s">
        <v>74</v>
      </c>
      <c r="C11" s="127"/>
      <c r="D11" s="128"/>
      <c r="E11" s="122">
        <v>0</v>
      </c>
      <c r="F11" s="122">
        <v>0</v>
      </c>
      <c r="G11" s="122">
        <v>0</v>
      </c>
      <c r="H11" s="129"/>
    </row>
    <row r="12" s="108" customFormat="1" ht="20.25" customHeight="1" spans="1:8">
      <c r="A12" s="118" t="s">
        <v>75</v>
      </c>
      <c r="B12" s="119" t="s">
        <v>76</v>
      </c>
      <c r="C12" s="120"/>
      <c r="D12" s="121"/>
      <c r="E12" s="126">
        <v>0</v>
      </c>
      <c r="F12" s="128"/>
      <c r="G12" s="122">
        <v>0</v>
      </c>
      <c r="H12" s="129">
        <v>0</v>
      </c>
    </row>
    <row r="13" s="108" customFormat="1" ht="20.25" customHeight="1" spans="1:8">
      <c r="A13" s="125">
        <v>2.1</v>
      </c>
      <c r="B13" s="126" t="s">
        <v>77</v>
      </c>
      <c r="C13" s="127"/>
      <c r="D13" s="128"/>
      <c r="E13" s="126">
        <v>0</v>
      </c>
      <c r="F13" s="128"/>
      <c r="G13" s="124"/>
      <c r="H13" s="129">
        <v>0</v>
      </c>
    </row>
    <row r="14" s="108" customFormat="1" ht="20.25" customHeight="1" spans="1:8">
      <c r="A14" s="125">
        <v>2.2</v>
      </c>
      <c r="B14" s="126" t="s">
        <v>77</v>
      </c>
      <c r="C14" s="127"/>
      <c r="D14" s="128"/>
      <c r="E14" s="126">
        <v>0</v>
      </c>
      <c r="F14" s="128"/>
      <c r="G14" s="122">
        <v>0</v>
      </c>
      <c r="H14" s="129">
        <v>0</v>
      </c>
    </row>
    <row r="15" s="108" customFormat="1" ht="20.25" customHeight="1" spans="1:8">
      <c r="A15" s="131" t="s">
        <v>78</v>
      </c>
      <c r="B15" s="132" t="s">
        <v>79</v>
      </c>
      <c r="C15" s="133"/>
      <c r="D15" s="122" t="s">
        <v>80</v>
      </c>
      <c r="E15" s="134">
        <f>H7</f>
        <v>829348.426269117</v>
      </c>
      <c r="F15" s="135"/>
      <c r="G15" s="135"/>
      <c r="H15" s="136"/>
    </row>
    <row r="16" s="108" customFormat="1" ht="20.25" customHeight="1" spans="1:8">
      <c r="A16" s="118"/>
      <c r="B16" s="137"/>
      <c r="C16" s="138"/>
      <c r="D16" s="122" t="s">
        <v>81</v>
      </c>
      <c r="E16" s="139">
        <f>E15</f>
        <v>829348.426269117</v>
      </c>
      <c r="F16" s="140"/>
      <c r="G16" s="140"/>
      <c r="H16" s="141"/>
    </row>
    <row r="17" s="108" customFormat="1" ht="20.25" customHeight="1" spans="1:8">
      <c r="A17" s="118" t="s">
        <v>82</v>
      </c>
      <c r="B17" s="119" t="s">
        <v>83</v>
      </c>
      <c r="C17" s="120"/>
      <c r="D17" s="121"/>
      <c r="E17" s="126">
        <v>0</v>
      </c>
      <c r="F17" s="127"/>
      <c r="G17" s="127"/>
      <c r="H17" s="142"/>
    </row>
    <row r="18" s="108" customFormat="1" ht="20.25" customHeight="1" spans="1:8">
      <c r="A18" s="125">
        <v>4.1</v>
      </c>
      <c r="B18" s="126" t="s">
        <v>84</v>
      </c>
      <c r="C18" s="127"/>
      <c r="D18" s="128"/>
      <c r="E18" s="126">
        <v>0</v>
      </c>
      <c r="F18" s="127"/>
      <c r="G18" s="127"/>
      <c r="H18" s="142"/>
    </row>
    <row r="19" s="108" customFormat="1" ht="20.25" customHeight="1" spans="1:8">
      <c r="A19" s="125">
        <v>4.2</v>
      </c>
      <c r="B19" s="126" t="s">
        <v>85</v>
      </c>
      <c r="C19" s="127"/>
      <c r="D19" s="128"/>
      <c r="E19" s="126">
        <v>0</v>
      </c>
      <c r="F19" s="127"/>
      <c r="G19" s="127"/>
      <c r="H19" s="142"/>
    </row>
    <row r="20" s="108" customFormat="1" ht="20.25" customHeight="1" spans="1:8">
      <c r="A20" s="118" t="s">
        <v>86</v>
      </c>
      <c r="B20" s="119" t="s">
        <v>87</v>
      </c>
      <c r="C20" s="120"/>
      <c r="D20" s="121"/>
      <c r="E20" s="126">
        <v>0</v>
      </c>
      <c r="F20" s="127"/>
      <c r="G20" s="127"/>
      <c r="H20" s="142"/>
    </row>
    <row r="21" s="108" customFormat="1" ht="20.25" customHeight="1" spans="1:8">
      <c r="A21" s="125">
        <v>5.1</v>
      </c>
      <c r="B21" s="126" t="s">
        <v>88</v>
      </c>
      <c r="C21" s="127"/>
      <c r="D21" s="128"/>
      <c r="E21" s="126" t="s">
        <v>89</v>
      </c>
      <c r="F21" s="127"/>
      <c r="G21" s="127"/>
      <c r="H21" s="142"/>
    </row>
    <row r="22" s="108" customFormat="1" ht="20.25" customHeight="1" spans="1:8">
      <c r="A22" s="125">
        <v>5.2</v>
      </c>
      <c r="B22" s="126" t="s">
        <v>90</v>
      </c>
      <c r="C22" s="127"/>
      <c r="D22" s="128"/>
      <c r="E22" s="126" t="s">
        <v>89</v>
      </c>
      <c r="F22" s="127"/>
      <c r="G22" s="127"/>
      <c r="H22" s="142"/>
    </row>
    <row r="23" s="108" customFormat="1" ht="20.25" customHeight="1" spans="1:8">
      <c r="A23" s="143">
        <v>5.3</v>
      </c>
      <c r="B23" s="126" t="s">
        <v>91</v>
      </c>
      <c r="C23" s="127"/>
      <c r="D23" s="128"/>
      <c r="E23" s="144">
        <f>-((1012640.39-G7)-G7*0.05)*0.03</f>
        <v>-4254.73627252281</v>
      </c>
      <c r="F23" s="145"/>
      <c r="G23" s="145"/>
      <c r="H23" s="146"/>
    </row>
    <row r="24" s="108" customFormat="1" ht="20.25" customHeight="1" spans="1:8">
      <c r="A24" s="131" t="s">
        <v>92</v>
      </c>
      <c r="B24" s="147" t="s">
        <v>93</v>
      </c>
      <c r="C24" s="126" t="s">
        <v>80</v>
      </c>
      <c r="D24" s="128"/>
      <c r="E24" s="134">
        <f>E15+E23</f>
        <v>825093.689996594</v>
      </c>
      <c r="F24" s="127"/>
      <c r="G24" s="127"/>
      <c r="H24" s="142"/>
    </row>
    <row r="25" s="108" customFormat="1" ht="20.25" customHeight="1" spans="1:8">
      <c r="A25" s="118"/>
      <c r="B25" s="148"/>
      <c r="C25" s="126" t="s">
        <v>81</v>
      </c>
      <c r="D25" s="128"/>
      <c r="E25" s="139">
        <f>E24</f>
        <v>825093.689996594</v>
      </c>
      <c r="F25" s="140"/>
      <c r="G25" s="140"/>
      <c r="H25" s="141"/>
    </row>
    <row r="26" s="108" customFormat="1" ht="20.25" customHeight="1" spans="1:8">
      <c r="A26" s="131" t="s">
        <v>94</v>
      </c>
      <c r="B26" s="147" t="s">
        <v>95</v>
      </c>
      <c r="C26" s="126" t="s">
        <v>80</v>
      </c>
      <c r="D26" s="128"/>
      <c r="E26" s="134">
        <f>E24</f>
        <v>825093.689996594</v>
      </c>
      <c r="F26" s="127"/>
      <c r="G26" s="127"/>
      <c r="H26" s="142"/>
    </row>
    <row r="27" s="108" customFormat="1" ht="20.25" customHeight="1" spans="1:8">
      <c r="A27" s="149"/>
      <c r="B27" s="150"/>
      <c r="C27" s="151" t="s">
        <v>81</v>
      </c>
      <c r="D27" s="152"/>
      <c r="E27" s="153">
        <f>E16</f>
        <v>829348.426269117</v>
      </c>
      <c r="F27" s="154"/>
      <c r="G27" s="154"/>
      <c r="H27" s="155"/>
    </row>
    <row r="28" s="108" customFormat="1" ht="16.35" spans="1:8">
      <c r="A28" s="156"/>
      <c r="B28" s="156"/>
      <c r="C28" s="156"/>
      <c r="D28" s="156"/>
      <c r="E28" s="156"/>
      <c r="F28" s="156"/>
      <c r="G28" s="156"/>
      <c r="H28" s="156"/>
    </row>
    <row r="29" s="108" customFormat="1" spans="1:8">
      <c r="A29" s="157" t="s">
        <v>96</v>
      </c>
      <c r="B29" s="157"/>
      <c r="C29" s="157"/>
      <c r="D29" s="157"/>
      <c r="E29" s="157"/>
      <c r="F29" s="157"/>
      <c r="G29" s="157"/>
      <c r="H29" s="157"/>
    </row>
    <row r="30" s="108" customFormat="1" spans="1:1">
      <c r="A30" s="158"/>
    </row>
    <row r="31" s="108" customFormat="1" spans="1:1">
      <c r="A31" s="158"/>
    </row>
    <row r="32" s="108" customFormat="1" spans="1:8">
      <c r="A32" s="157" t="s">
        <v>97</v>
      </c>
      <c r="B32" s="157"/>
      <c r="C32" s="157"/>
      <c r="D32" s="157"/>
      <c r="E32" s="157"/>
      <c r="F32" s="157"/>
      <c r="G32" s="157"/>
      <c r="H32" s="157"/>
    </row>
    <row r="33" s="108" customFormat="1" spans="1:1">
      <c r="A33" s="158"/>
    </row>
    <row r="34" s="108" customFormat="1" ht="27" customHeight="1" spans="1:8">
      <c r="A34" s="159"/>
      <c r="B34" s="159"/>
      <c r="C34" s="159"/>
      <c r="D34" s="159"/>
      <c r="E34" s="159"/>
      <c r="F34" s="159"/>
      <c r="G34" s="159"/>
      <c r="H34" s="159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5:A16"/>
    <mergeCell ref="A24:A25"/>
    <mergeCell ref="A26:A27"/>
    <mergeCell ref="B24:B25"/>
    <mergeCell ref="B26:B27"/>
    <mergeCell ref="B15:C1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7"/>
  <sheetViews>
    <sheetView zoomScale="130" zoomScaleNormal="130" topLeftCell="A13" workbookViewId="0">
      <selection activeCell="AK9" sqref="AK9"/>
    </sheetView>
  </sheetViews>
  <sheetFormatPr defaultColWidth="9" defaultRowHeight="15.6"/>
  <cols>
    <col min="1" max="1" width="3.87962962962963" style="61" customWidth="1"/>
    <col min="2" max="2" width="11.3796296296296" style="61" customWidth="1"/>
    <col min="3" max="3" width="22.8796296296296" style="61" customWidth="1"/>
    <col min="4" max="4" width="3.87962962962963" style="61" customWidth="1"/>
    <col min="5" max="5" width="7.5" style="61" customWidth="1"/>
    <col min="6" max="6" width="8.66666666666667" style="61" customWidth="1"/>
    <col min="7" max="7" width="9.88888888888889" style="61" customWidth="1"/>
    <col min="8" max="8" width="8.12962962962963" style="61" customWidth="1"/>
    <col min="9" max="9" width="8.78703703703704" style="61" customWidth="1"/>
    <col min="10" max="10" width="7.60185185185185" style="61" customWidth="1"/>
    <col min="11" max="11" width="8.75" style="61" customWidth="1"/>
    <col min="12" max="12" width="10.25" style="61" customWidth="1"/>
    <col min="13" max="13" width="12.6666666666667" style="62" customWidth="1"/>
    <col min="14" max="14" width="9" style="61"/>
    <col min="15" max="15" width="9" style="62" hidden="1" customWidth="1"/>
    <col min="16" max="16" width="9" style="61" hidden="1" customWidth="1"/>
    <col min="17" max="21" width="7.87962962962963" style="62" hidden="1" customWidth="1"/>
    <col min="22" max="22" width="7.01851851851852" style="61" hidden="1" customWidth="1"/>
    <col min="23" max="36" width="9" style="61" hidden="1" customWidth="1"/>
    <col min="37" max="251" width="9" style="61"/>
    <col min="252" max="252" width="4.87962962962963" style="61" customWidth="1"/>
    <col min="253" max="253" width="3.87962962962963" style="61" customWidth="1"/>
    <col min="254" max="254" width="8.5" style="61" customWidth="1"/>
    <col min="255" max="255" width="22.8796296296296" style="61" customWidth="1"/>
    <col min="256" max="256" width="3.87962962962963" style="61" customWidth="1"/>
    <col min="257" max="257" width="7.5" style="61" customWidth="1"/>
    <col min="258" max="262" width="9" style="61" hidden="1" customWidth="1"/>
    <col min="263" max="263" width="12.1296296296296" style="61" customWidth="1"/>
    <col min="264" max="264" width="10.25" style="61" customWidth="1"/>
    <col min="265" max="265" width="8.75" style="61" customWidth="1"/>
    <col min="266" max="266" width="10.25" style="61" customWidth="1"/>
    <col min="267" max="267" width="8.75" style="61" customWidth="1"/>
    <col min="268" max="268" width="11.25" style="61" customWidth="1"/>
    <col min="269" max="269" width="8.75" style="61" customWidth="1"/>
    <col min="270" max="270" width="12.1296296296296" style="61" customWidth="1"/>
    <col min="271" max="271" width="23" style="61" customWidth="1"/>
    <col min="272" max="272" width="9" style="61"/>
    <col min="273" max="273" width="12.75" style="61" customWidth="1"/>
    <col min="274" max="274" width="9" style="61"/>
    <col min="275" max="275" width="12.75" style="61" customWidth="1"/>
    <col min="276" max="507" width="9" style="61"/>
    <col min="508" max="508" width="4.87962962962963" style="61" customWidth="1"/>
    <col min="509" max="509" width="3.87962962962963" style="61" customWidth="1"/>
    <col min="510" max="510" width="8.5" style="61" customWidth="1"/>
    <col min="511" max="511" width="22.8796296296296" style="61" customWidth="1"/>
    <col min="512" max="512" width="3.87962962962963" style="61" customWidth="1"/>
    <col min="513" max="513" width="7.5" style="61" customWidth="1"/>
    <col min="514" max="518" width="9" style="61" hidden="1" customWidth="1"/>
    <col min="519" max="519" width="12.1296296296296" style="61" customWidth="1"/>
    <col min="520" max="520" width="10.25" style="61" customWidth="1"/>
    <col min="521" max="521" width="8.75" style="61" customWidth="1"/>
    <col min="522" max="522" width="10.25" style="61" customWidth="1"/>
    <col min="523" max="523" width="8.75" style="61" customWidth="1"/>
    <col min="524" max="524" width="11.25" style="61" customWidth="1"/>
    <col min="525" max="525" width="8.75" style="61" customWidth="1"/>
    <col min="526" max="526" width="12.1296296296296" style="61" customWidth="1"/>
    <col min="527" max="527" width="23" style="61" customWidth="1"/>
    <col min="528" max="528" width="9" style="61"/>
    <col min="529" max="529" width="12.75" style="61" customWidth="1"/>
    <col min="530" max="530" width="9" style="61"/>
    <col min="531" max="531" width="12.75" style="61" customWidth="1"/>
    <col min="532" max="763" width="9" style="61"/>
    <col min="764" max="764" width="4.87962962962963" style="61" customWidth="1"/>
    <col min="765" max="765" width="3.87962962962963" style="61" customWidth="1"/>
    <col min="766" max="766" width="8.5" style="61" customWidth="1"/>
    <col min="767" max="767" width="22.8796296296296" style="61" customWidth="1"/>
    <col min="768" max="768" width="3.87962962962963" style="61" customWidth="1"/>
    <col min="769" max="769" width="7.5" style="61" customWidth="1"/>
    <col min="770" max="774" width="9" style="61" hidden="1" customWidth="1"/>
    <col min="775" max="775" width="12.1296296296296" style="61" customWidth="1"/>
    <col min="776" max="776" width="10.25" style="61" customWidth="1"/>
    <col min="777" max="777" width="8.75" style="61" customWidth="1"/>
    <col min="778" max="778" width="10.25" style="61" customWidth="1"/>
    <col min="779" max="779" width="8.75" style="61" customWidth="1"/>
    <col min="780" max="780" width="11.25" style="61" customWidth="1"/>
    <col min="781" max="781" width="8.75" style="61" customWidth="1"/>
    <col min="782" max="782" width="12.1296296296296" style="61" customWidth="1"/>
    <col min="783" max="783" width="23" style="61" customWidth="1"/>
    <col min="784" max="784" width="9" style="61"/>
    <col min="785" max="785" width="12.75" style="61" customWidth="1"/>
    <col min="786" max="786" width="9" style="61"/>
    <col min="787" max="787" width="12.75" style="61" customWidth="1"/>
    <col min="788" max="1019" width="9" style="61"/>
    <col min="1020" max="1020" width="4.87962962962963" style="61" customWidth="1"/>
    <col min="1021" max="1021" width="3.87962962962963" style="61" customWidth="1"/>
    <col min="1022" max="1022" width="8.5" style="61" customWidth="1"/>
    <col min="1023" max="1023" width="22.8796296296296" style="61" customWidth="1"/>
    <col min="1024" max="1024" width="3.87962962962963" style="61" customWidth="1"/>
    <col min="1025" max="1025" width="7.5" style="61" customWidth="1"/>
    <col min="1026" max="1030" width="9" style="61" hidden="1" customWidth="1"/>
    <col min="1031" max="1031" width="12.1296296296296" style="61" customWidth="1"/>
    <col min="1032" max="1032" width="10.25" style="61" customWidth="1"/>
    <col min="1033" max="1033" width="8.75" style="61" customWidth="1"/>
    <col min="1034" max="1034" width="10.25" style="61" customWidth="1"/>
    <col min="1035" max="1035" width="8.75" style="61" customWidth="1"/>
    <col min="1036" max="1036" width="11.25" style="61" customWidth="1"/>
    <col min="1037" max="1037" width="8.75" style="61" customWidth="1"/>
    <col min="1038" max="1038" width="12.1296296296296" style="61" customWidth="1"/>
    <col min="1039" max="1039" width="23" style="61" customWidth="1"/>
    <col min="1040" max="1040" width="9" style="61"/>
    <col min="1041" max="1041" width="12.75" style="61" customWidth="1"/>
    <col min="1042" max="1042" width="9" style="61"/>
    <col min="1043" max="1043" width="12.75" style="61" customWidth="1"/>
    <col min="1044" max="1275" width="9" style="61"/>
    <col min="1276" max="1276" width="4.87962962962963" style="61" customWidth="1"/>
    <col min="1277" max="1277" width="3.87962962962963" style="61" customWidth="1"/>
    <col min="1278" max="1278" width="8.5" style="61" customWidth="1"/>
    <col min="1279" max="1279" width="22.8796296296296" style="61" customWidth="1"/>
    <col min="1280" max="1280" width="3.87962962962963" style="61" customWidth="1"/>
    <col min="1281" max="1281" width="7.5" style="61" customWidth="1"/>
    <col min="1282" max="1286" width="9" style="61" hidden="1" customWidth="1"/>
    <col min="1287" max="1287" width="12.1296296296296" style="61" customWidth="1"/>
    <col min="1288" max="1288" width="10.25" style="61" customWidth="1"/>
    <col min="1289" max="1289" width="8.75" style="61" customWidth="1"/>
    <col min="1290" max="1290" width="10.25" style="61" customWidth="1"/>
    <col min="1291" max="1291" width="8.75" style="61" customWidth="1"/>
    <col min="1292" max="1292" width="11.25" style="61" customWidth="1"/>
    <col min="1293" max="1293" width="8.75" style="61" customWidth="1"/>
    <col min="1294" max="1294" width="12.1296296296296" style="61" customWidth="1"/>
    <col min="1295" max="1295" width="23" style="61" customWidth="1"/>
    <col min="1296" max="1296" width="9" style="61"/>
    <col min="1297" max="1297" width="12.75" style="61" customWidth="1"/>
    <col min="1298" max="1298" width="9" style="61"/>
    <col min="1299" max="1299" width="12.75" style="61" customWidth="1"/>
    <col min="1300" max="1531" width="9" style="61"/>
    <col min="1532" max="1532" width="4.87962962962963" style="61" customWidth="1"/>
    <col min="1533" max="1533" width="3.87962962962963" style="61" customWidth="1"/>
    <col min="1534" max="1534" width="8.5" style="61" customWidth="1"/>
    <col min="1535" max="1535" width="22.8796296296296" style="61" customWidth="1"/>
    <col min="1536" max="1536" width="3.87962962962963" style="61" customWidth="1"/>
    <col min="1537" max="1537" width="7.5" style="61" customWidth="1"/>
    <col min="1538" max="1542" width="9" style="61" hidden="1" customWidth="1"/>
    <col min="1543" max="1543" width="12.1296296296296" style="61" customWidth="1"/>
    <col min="1544" max="1544" width="10.25" style="61" customWidth="1"/>
    <col min="1545" max="1545" width="8.75" style="61" customWidth="1"/>
    <col min="1546" max="1546" width="10.25" style="61" customWidth="1"/>
    <col min="1547" max="1547" width="8.75" style="61" customWidth="1"/>
    <col min="1548" max="1548" width="11.25" style="61" customWidth="1"/>
    <col min="1549" max="1549" width="8.75" style="61" customWidth="1"/>
    <col min="1550" max="1550" width="12.1296296296296" style="61" customWidth="1"/>
    <col min="1551" max="1551" width="23" style="61" customWidth="1"/>
    <col min="1552" max="1552" width="9" style="61"/>
    <col min="1553" max="1553" width="12.75" style="61" customWidth="1"/>
    <col min="1554" max="1554" width="9" style="61"/>
    <col min="1555" max="1555" width="12.75" style="61" customWidth="1"/>
    <col min="1556" max="1787" width="9" style="61"/>
    <col min="1788" max="1788" width="4.87962962962963" style="61" customWidth="1"/>
    <col min="1789" max="1789" width="3.87962962962963" style="61" customWidth="1"/>
    <col min="1790" max="1790" width="8.5" style="61" customWidth="1"/>
    <col min="1791" max="1791" width="22.8796296296296" style="61" customWidth="1"/>
    <col min="1792" max="1792" width="3.87962962962963" style="61" customWidth="1"/>
    <col min="1793" max="1793" width="7.5" style="61" customWidth="1"/>
    <col min="1794" max="1798" width="9" style="61" hidden="1" customWidth="1"/>
    <col min="1799" max="1799" width="12.1296296296296" style="61" customWidth="1"/>
    <col min="1800" max="1800" width="10.25" style="61" customWidth="1"/>
    <col min="1801" max="1801" width="8.75" style="61" customWidth="1"/>
    <col min="1802" max="1802" width="10.25" style="61" customWidth="1"/>
    <col min="1803" max="1803" width="8.75" style="61" customWidth="1"/>
    <col min="1804" max="1804" width="11.25" style="61" customWidth="1"/>
    <col min="1805" max="1805" width="8.75" style="61" customWidth="1"/>
    <col min="1806" max="1806" width="12.1296296296296" style="61" customWidth="1"/>
    <col min="1807" max="1807" width="23" style="61" customWidth="1"/>
    <col min="1808" max="1808" width="9" style="61"/>
    <col min="1809" max="1809" width="12.75" style="61" customWidth="1"/>
    <col min="1810" max="1810" width="9" style="61"/>
    <col min="1811" max="1811" width="12.75" style="61" customWidth="1"/>
    <col min="1812" max="2043" width="9" style="61"/>
    <col min="2044" max="2044" width="4.87962962962963" style="61" customWidth="1"/>
    <col min="2045" max="2045" width="3.87962962962963" style="61" customWidth="1"/>
    <col min="2046" max="2046" width="8.5" style="61" customWidth="1"/>
    <col min="2047" max="2047" width="22.8796296296296" style="61" customWidth="1"/>
    <col min="2048" max="2048" width="3.87962962962963" style="61" customWidth="1"/>
    <col min="2049" max="2049" width="7.5" style="61" customWidth="1"/>
    <col min="2050" max="2054" width="9" style="61" hidden="1" customWidth="1"/>
    <col min="2055" max="2055" width="12.1296296296296" style="61" customWidth="1"/>
    <col min="2056" max="2056" width="10.25" style="61" customWidth="1"/>
    <col min="2057" max="2057" width="8.75" style="61" customWidth="1"/>
    <col min="2058" max="2058" width="10.25" style="61" customWidth="1"/>
    <col min="2059" max="2059" width="8.75" style="61" customWidth="1"/>
    <col min="2060" max="2060" width="11.25" style="61" customWidth="1"/>
    <col min="2061" max="2061" width="8.75" style="61" customWidth="1"/>
    <col min="2062" max="2062" width="12.1296296296296" style="61" customWidth="1"/>
    <col min="2063" max="2063" width="23" style="61" customWidth="1"/>
    <col min="2064" max="2064" width="9" style="61"/>
    <col min="2065" max="2065" width="12.75" style="61" customWidth="1"/>
    <col min="2066" max="2066" width="9" style="61"/>
    <col min="2067" max="2067" width="12.75" style="61" customWidth="1"/>
    <col min="2068" max="2299" width="9" style="61"/>
    <col min="2300" max="2300" width="4.87962962962963" style="61" customWidth="1"/>
    <col min="2301" max="2301" width="3.87962962962963" style="61" customWidth="1"/>
    <col min="2302" max="2302" width="8.5" style="61" customWidth="1"/>
    <col min="2303" max="2303" width="22.8796296296296" style="61" customWidth="1"/>
    <col min="2304" max="2304" width="3.87962962962963" style="61" customWidth="1"/>
    <col min="2305" max="2305" width="7.5" style="61" customWidth="1"/>
    <col min="2306" max="2310" width="9" style="61" hidden="1" customWidth="1"/>
    <col min="2311" max="2311" width="12.1296296296296" style="61" customWidth="1"/>
    <col min="2312" max="2312" width="10.25" style="61" customWidth="1"/>
    <col min="2313" max="2313" width="8.75" style="61" customWidth="1"/>
    <col min="2314" max="2314" width="10.25" style="61" customWidth="1"/>
    <col min="2315" max="2315" width="8.75" style="61" customWidth="1"/>
    <col min="2316" max="2316" width="11.25" style="61" customWidth="1"/>
    <col min="2317" max="2317" width="8.75" style="61" customWidth="1"/>
    <col min="2318" max="2318" width="12.1296296296296" style="61" customWidth="1"/>
    <col min="2319" max="2319" width="23" style="61" customWidth="1"/>
    <col min="2320" max="2320" width="9" style="61"/>
    <col min="2321" max="2321" width="12.75" style="61" customWidth="1"/>
    <col min="2322" max="2322" width="9" style="61"/>
    <col min="2323" max="2323" width="12.75" style="61" customWidth="1"/>
    <col min="2324" max="2555" width="9" style="61"/>
    <col min="2556" max="2556" width="4.87962962962963" style="61" customWidth="1"/>
    <col min="2557" max="2557" width="3.87962962962963" style="61" customWidth="1"/>
    <col min="2558" max="2558" width="8.5" style="61" customWidth="1"/>
    <col min="2559" max="2559" width="22.8796296296296" style="61" customWidth="1"/>
    <col min="2560" max="2560" width="3.87962962962963" style="61" customWidth="1"/>
    <col min="2561" max="2561" width="7.5" style="61" customWidth="1"/>
    <col min="2562" max="2566" width="9" style="61" hidden="1" customWidth="1"/>
    <col min="2567" max="2567" width="12.1296296296296" style="61" customWidth="1"/>
    <col min="2568" max="2568" width="10.25" style="61" customWidth="1"/>
    <col min="2569" max="2569" width="8.75" style="61" customWidth="1"/>
    <col min="2570" max="2570" width="10.25" style="61" customWidth="1"/>
    <col min="2571" max="2571" width="8.75" style="61" customWidth="1"/>
    <col min="2572" max="2572" width="11.25" style="61" customWidth="1"/>
    <col min="2573" max="2573" width="8.75" style="61" customWidth="1"/>
    <col min="2574" max="2574" width="12.1296296296296" style="61" customWidth="1"/>
    <col min="2575" max="2575" width="23" style="61" customWidth="1"/>
    <col min="2576" max="2576" width="9" style="61"/>
    <col min="2577" max="2577" width="12.75" style="61" customWidth="1"/>
    <col min="2578" max="2578" width="9" style="61"/>
    <col min="2579" max="2579" width="12.75" style="61" customWidth="1"/>
    <col min="2580" max="2811" width="9" style="61"/>
    <col min="2812" max="2812" width="4.87962962962963" style="61" customWidth="1"/>
    <col min="2813" max="2813" width="3.87962962962963" style="61" customWidth="1"/>
    <col min="2814" max="2814" width="8.5" style="61" customWidth="1"/>
    <col min="2815" max="2815" width="22.8796296296296" style="61" customWidth="1"/>
    <col min="2816" max="2816" width="3.87962962962963" style="61" customWidth="1"/>
    <col min="2817" max="2817" width="7.5" style="61" customWidth="1"/>
    <col min="2818" max="2822" width="9" style="61" hidden="1" customWidth="1"/>
    <col min="2823" max="2823" width="12.1296296296296" style="61" customWidth="1"/>
    <col min="2824" max="2824" width="10.25" style="61" customWidth="1"/>
    <col min="2825" max="2825" width="8.75" style="61" customWidth="1"/>
    <col min="2826" max="2826" width="10.25" style="61" customWidth="1"/>
    <col min="2827" max="2827" width="8.75" style="61" customWidth="1"/>
    <col min="2828" max="2828" width="11.25" style="61" customWidth="1"/>
    <col min="2829" max="2829" width="8.75" style="61" customWidth="1"/>
    <col min="2830" max="2830" width="12.1296296296296" style="61" customWidth="1"/>
    <col min="2831" max="2831" width="23" style="61" customWidth="1"/>
    <col min="2832" max="2832" width="9" style="61"/>
    <col min="2833" max="2833" width="12.75" style="61" customWidth="1"/>
    <col min="2834" max="2834" width="9" style="61"/>
    <col min="2835" max="2835" width="12.75" style="61" customWidth="1"/>
    <col min="2836" max="3067" width="9" style="61"/>
    <col min="3068" max="3068" width="4.87962962962963" style="61" customWidth="1"/>
    <col min="3069" max="3069" width="3.87962962962963" style="61" customWidth="1"/>
    <col min="3070" max="3070" width="8.5" style="61" customWidth="1"/>
    <col min="3071" max="3071" width="22.8796296296296" style="61" customWidth="1"/>
    <col min="3072" max="3072" width="3.87962962962963" style="61" customWidth="1"/>
    <col min="3073" max="3073" width="7.5" style="61" customWidth="1"/>
    <col min="3074" max="3078" width="9" style="61" hidden="1" customWidth="1"/>
    <col min="3079" max="3079" width="12.1296296296296" style="61" customWidth="1"/>
    <col min="3080" max="3080" width="10.25" style="61" customWidth="1"/>
    <col min="3081" max="3081" width="8.75" style="61" customWidth="1"/>
    <col min="3082" max="3082" width="10.25" style="61" customWidth="1"/>
    <col min="3083" max="3083" width="8.75" style="61" customWidth="1"/>
    <col min="3084" max="3084" width="11.25" style="61" customWidth="1"/>
    <col min="3085" max="3085" width="8.75" style="61" customWidth="1"/>
    <col min="3086" max="3086" width="12.1296296296296" style="61" customWidth="1"/>
    <col min="3087" max="3087" width="23" style="61" customWidth="1"/>
    <col min="3088" max="3088" width="9" style="61"/>
    <col min="3089" max="3089" width="12.75" style="61" customWidth="1"/>
    <col min="3090" max="3090" width="9" style="61"/>
    <col min="3091" max="3091" width="12.75" style="61" customWidth="1"/>
    <col min="3092" max="3323" width="9" style="61"/>
    <col min="3324" max="3324" width="4.87962962962963" style="61" customWidth="1"/>
    <col min="3325" max="3325" width="3.87962962962963" style="61" customWidth="1"/>
    <col min="3326" max="3326" width="8.5" style="61" customWidth="1"/>
    <col min="3327" max="3327" width="22.8796296296296" style="61" customWidth="1"/>
    <col min="3328" max="3328" width="3.87962962962963" style="61" customWidth="1"/>
    <col min="3329" max="3329" width="7.5" style="61" customWidth="1"/>
    <col min="3330" max="3334" width="9" style="61" hidden="1" customWidth="1"/>
    <col min="3335" max="3335" width="12.1296296296296" style="61" customWidth="1"/>
    <col min="3336" max="3336" width="10.25" style="61" customWidth="1"/>
    <col min="3337" max="3337" width="8.75" style="61" customWidth="1"/>
    <col min="3338" max="3338" width="10.25" style="61" customWidth="1"/>
    <col min="3339" max="3339" width="8.75" style="61" customWidth="1"/>
    <col min="3340" max="3340" width="11.25" style="61" customWidth="1"/>
    <col min="3341" max="3341" width="8.75" style="61" customWidth="1"/>
    <col min="3342" max="3342" width="12.1296296296296" style="61" customWidth="1"/>
    <col min="3343" max="3343" width="23" style="61" customWidth="1"/>
    <col min="3344" max="3344" width="9" style="61"/>
    <col min="3345" max="3345" width="12.75" style="61" customWidth="1"/>
    <col min="3346" max="3346" width="9" style="61"/>
    <col min="3347" max="3347" width="12.75" style="61" customWidth="1"/>
    <col min="3348" max="3579" width="9" style="61"/>
    <col min="3580" max="3580" width="4.87962962962963" style="61" customWidth="1"/>
    <col min="3581" max="3581" width="3.87962962962963" style="61" customWidth="1"/>
    <col min="3582" max="3582" width="8.5" style="61" customWidth="1"/>
    <col min="3583" max="3583" width="22.8796296296296" style="61" customWidth="1"/>
    <col min="3584" max="3584" width="3.87962962962963" style="61" customWidth="1"/>
    <col min="3585" max="3585" width="7.5" style="61" customWidth="1"/>
    <col min="3586" max="3590" width="9" style="61" hidden="1" customWidth="1"/>
    <col min="3591" max="3591" width="12.1296296296296" style="61" customWidth="1"/>
    <col min="3592" max="3592" width="10.25" style="61" customWidth="1"/>
    <col min="3593" max="3593" width="8.75" style="61" customWidth="1"/>
    <col min="3594" max="3594" width="10.25" style="61" customWidth="1"/>
    <col min="3595" max="3595" width="8.75" style="61" customWidth="1"/>
    <col min="3596" max="3596" width="11.25" style="61" customWidth="1"/>
    <col min="3597" max="3597" width="8.75" style="61" customWidth="1"/>
    <col min="3598" max="3598" width="12.1296296296296" style="61" customWidth="1"/>
    <col min="3599" max="3599" width="23" style="61" customWidth="1"/>
    <col min="3600" max="3600" width="9" style="61"/>
    <col min="3601" max="3601" width="12.75" style="61" customWidth="1"/>
    <col min="3602" max="3602" width="9" style="61"/>
    <col min="3603" max="3603" width="12.75" style="61" customWidth="1"/>
    <col min="3604" max="3835" width="9" style="61"/>
    <col min="3836" max="3836" width="4.87962962962963" style="61" customWidth="1"/>
    <col min="3837" max="3837" width="3.87962962962963" style="61" customWidth="1"/>
    <col min="3838" max="3838" width="8.5" style="61" customWidth="1"/>
    <col min="3839" max="3839" width="22.8796296296296" style="61" customWidth="1"/>
    <col min="3840" max="3840" width="3.87962962962963" style="61" customWidth="1"/>
    <col min="3841" max="3841" width="7.5" style="61" customWidth="1"/>
    <col min="3842" max="3846" width="9" style="61" hidden="1" customWidth="1"/>
    <col min="3847" max="3847" width="12.1296296296296" style="61" customWidth="1"/>
    <col min="3848" max="3848" width="10.25" style="61" customWidth="1"/>
    <col min="3849" max="3849" width="8.75" style="61" customWidth="1"/>
    <col min="3850" max="3850" width="10.25" style="61" customWidth="1"/>
    <col min="3851" max="3851" width="8.75" style="61" customWidth="1"/>
    <col min="3852" max="3852" width="11.25" style="61" customWidth="1"/>
    <col min="3853" max="3853" width="8.75" style="61" customWidth="1"/>
    <col min="3854" max="3854" width="12.1296296296296" style="61" customWidth="1"/>
    <col min="3855" max="3855" width="23" style="61" customWidth="1"/>
    <col min="3856" max="3856" width="9" style="61"/>
    <col min="3857" max="3857" width="12.75" style="61" customWidth="1"/>
    <col min="3858" max="3858" width="9" style="61"/>
    <col min="3859" max="3859" width="12.75" style="61" customWidth="1"/>
    <col min="3860" max="4091" width="9" style="61"/>
    <col min="4092" max="4092" width="4.87962962962963" style="61" customWidth="1"/>
    <col min="4093" max="4093" width="3.87962962962963" style="61" customWidth="1"/>
    <col min="4094" max="4094" width="8.5" style="61" customWidth="1"/>
    <col min="4095" max="4095" width="22.8796296296296" style="61" customWidth="1"/>
    <col min="4096" max="4096" width="3.87962962962963" style="61" customWidth="1"/>
    <col min="4097" max="4097" width="7.5" style="61" customWidth="1"/>
    <col min="4098" max="4102" width="9" style="61" hidden="1" customWidth="1"/>
    <col min="4103" max="4103" width="12.1296296296296" style="61" customWidth="1"/>
    <col min="4104" max="4104" width="10.25" style="61" customWidth="1"/>
    <col min="4105" max="4105" width="8.75" style="61" customWidth="1"/>
    <col min="4106" max="4106" width="10.25" style="61" customWidth="1"/>
    <col min="4107" max="4107" width="8.75" style="61" customWidth="1"/>
    <col min="4108" max="4108" width="11.25" style="61" customWidth="1"/>
    <col min="4109" max="4109" width="8.75" style="61" customWidth="1"/>
    <col min="4110" max="4110" width="12.1296296296296" style="61" customWidth="1"/>
    <col min="4111" max="4111" width="23" style="61" customWidth="1"/>
    <col min="4112" max="4112" width="9" style="61"/>
    <col min="4113" max="4113" width="12.75" style="61" customWidth="1"/>
    <col min="4114" max="4114" width="9" style="61"/>
    <col min="4115" max="4115" width="12.75" style="61" customWidth="1"/>
    <col min="4116" max="4347" width="9" style="61"/>
    <col min="4348" max="4348" width="4.87962962962963" style="61" customWidth="1"/>
    <col min="4349" max="4349" width="3.87962962962963" style="61" customWidth="1"/>
    <col min="4350" max="4350" width="8.5" style="61" customWidth="1"/>
    <col min="4351" max="4351" width="22.8796296296296" style="61" customWidth="1"/>
    <col min="4352" max="4352" width="3.87962962962963" style="61" customWidth="1"/>
    <col min="4353" max="4353" width="7.5" style="61" customWidth="1"/>
    <col min="4354" max="4358" width="9" style="61" hidden="1" customWidth="1"/>
    <col min="4359" max="4359" width="12.1296296296296" style="61" customWidth="1"/>
    <col min="4360" max="4360" width="10.25" style="61" customWidth="1"/>
    <col min="4361" max="4361" width="8.75" style="61" customWidth="1"/>
    <col min="4362" max="4362" width="10.25" style="61" customWidth="1"/>
    <col min="4363" max="4363" width="8.75" style="61" customWidth="1"/>
    <col min="4364" max="4364" width="11.25" style="61" customWidth="1"/>
    <col min="4365" max="4365" width="8.75" style="61" customWidth="1"/>
    <col min="4366" max="4366" width="12.1296296296296" style="61" customWidth="1"/>
    <col min="4367" max="4367" width="23" style="61" customWidth="1"/>
    <col min="4368" max="4368" width="9" style="61"/>
    <col min="4369" max="4369" width="12.75" style="61" customWidth="1"/>
    <col min="4370" max="4370" width="9" style="61"/>
    <col min="4371" max="4371" width="12.75" style="61" customWidth="1"/>
    <col min="4372" max="4603" width="9" style="61"/>
    <col min="4604" max="4604" width="4.87962962962963" style="61" customWidth="1"/>
    <col min="4605" max="4605" width="3.87962962962963" style="61" customWidth="1"/>
    <col min="4606" max="4606" width="8.5" style="61" customWidth="1"/>
    <col min="4607" max="4607" width="22.8796296296296" style="61" customWidth="1"/>
    <col min="4608" max="4608" width="3.87962962962963" style="61" customWidth="1"/>
    <col min="4609" max="4609" width="7.5" style="61" customWidth="1"/>
    <col min="4610" max="4614" width="9" style="61" hidden="1" customWidth="1"/>
    <col min="4615" max="4615" width="12.1296296296296" style="61" customWidth="1"/>
    <col min="4616" max="4616" width="10.25" style="61" customWidth="1"/>
    <col min="4617" max="4617" width="8.75" style="61" customWidth="1"/>
    <col min="4618" max="4618" width="10.25" style="61" customWidth="1"/>
    <col min="4619" max="4619" width="8.75" style="61" customWidth="1"/>
    <col min="4620" max="4620" width="11.25" style="61" customWidth="1"/>
    <col min="4621" max="4621" width="8.75" style="61" customWidth="1"/>
    <col min="4622" max="4622" width="12.1296296296296" style="61" customWidth="1"/>
    <col min="4623" max="4623" width="23" style="61" customWidth="1"/>
    <col min="4624" max="4624" width="9" style="61"/>
    <col min="4625" max="4625" width="12.75" style="61" customWidth="1"/>
    <col min="4626" max="4626" width="9" style="61"/>
    <col min="4627" max="4627" width="12.75" style="61" customWidth="1"/>
    <col min="4628" max="4859" width="9" style="61"/>
    <col min="4860" max="4860" width="4.87962962962963" style="61" customWidth="1"/>
    <col min="4861" max="4861" width="3.87962962962963" style="61" customWidth="1"/>
    <col min="4862" max="4862" width="8.5" style="61" customWidth="1"/>
    <col min="4863" max="4863" width="22.8796296296296" style="61" customWidth="1"/>
    <col min="4864" max="4864" width="3.87962962962963" style="61" customWidth="1"/>
    <col min="4865" max="4865" width="7.5" style="61" customWidth="1"/>
    <col min="4866" max="4870" width="9" style="61" hidden="1" customWidth="1"/>
    <col min="4871" max="4871" width="12.1296296296296" style="61" customWidth="1"/>
    <col min="4872" max="4872" width="10.25" style="61" customWidth="1"/>
    <col min="4873" max="4873" width="8.75" style="61" customWidth="1"/>
    <col min="4874" max="4874" width="10.25" style="61" customWidth="1"/>
    <col min="4875" max="4875" width="8.75" style="61" customWidth="1"/>
    <col min="4876" max="4876" width="11.25" style="61" customWidth="1"/>
    <col min="4877" max="4877" width="8.75" style="61" customWidth="1"/>
    <col min="4878" max="4878" width="12.1296296296296" style="61" customWidth="1"/>
    <col min="4879" max="4879" width="23" style="61" customWidth="1"/>
    <col min="4880" max="4880" width="9" style="61"/>
    <col min="4881" max="4881" width="12.75" style="61" customWidth="1"/>
    <col min="4882" max="4882" width="9" style="61"/>
    <col min="4883" max="4883" width="12.75" style="61" customWidth="1"/>
    <col min="4884" max="5115" width="9" style="61"/>
    <col min="5116" max="5116" width="4.87962962962963" style="61" customWidth="1"/>
    <col min="5117" max="5117" width="3.87962962962963" style="61" customWidth="1"/>
    <col min="5118" max="5118" width="8.5" style="61" customWidth="1"/>
    <col min="5119" max="5119" width="22.8796296296296" style="61" customWidth="1"/>
    <col min="5120" max="5120" width="3.87962962962963" style="61" customWidth="1"/>
    <col min="5121" max="5121" width="7.5" style="61" customWidth="1"/>
    <col min="5122" max="5126" width="9" style="61" hidden="1" customWidth="1"/>
    <col min="5127" max="5127" width="12.1296296296296" style="61" customWidth="1"/>
    <col min="5128" max="5128" width="10.25" style="61" customWidth="1"/>
    <col min="5129" max="5129" width="8.75" style="61" customWidth="1"/>
    <col min="5130" max="5130" width="10.25" style="61" customWidth="1"/>
    <col min="5131" max="5131" width="8.75" style="61" customWidth="1"/>
    <col min="5132" max="5132" width="11.25" style="61" customWidth="1"/>
    <col min="5133" max="5133" width="8.75" style="61" customWidth="1"/>
    <col min="5134" max="5134" width="12.1296296296296" style="61" customWidth="1"/>
    <col min="5135" max="5135" width="23" style="61" customWidth="1"/>
    <col min="5136" max="5136" width="9" style="61"/>
    <col min="5137" max="5137" width="12.75" style="61" customWidth="1"/>
    <col min="5138" max="5138" width="9" style="61"/>
    <col min="5139" max="5139" width="12.75" style="61" customWidth="1"/>
    <col min="5140" max="5371" width="9" style="61"/>
    <col min="5372" max="5372" width="4.87962962962963" style="61" customWidth="1"/>
    <col min="5373" max="5373" width="3.87962962962963" style="61" customWidth="1"/>
    <col min="5374" max="5374" width="8.5" style="61" customWidth="1"/>
    <col min="5375" max="5375" width="22.8796296296296" style="61" customWidth="1"/>
    <col min="5376" max="5376" width="3.87962962962963" style="61" customWidth="1"/>
    <col min="5377" max="5377" width="7.5" style="61" customWidth="1"/>
    <col min="5378" max="5382" width="9" style="61" hidden="1" customWidth="1"/>
    <col min="5383" max="5383" width="12.1296296296296" style="61" customWidth="1"/>
    <col min="5384" max="5384" width="10.25" style="61" customWidth="1"/>
    <col min="5385" max="5385" width="8.75" style="61" customWidth="1"/>
    <col min="5386" max="5386" width="10.25" style="61" customWidth="1"/>
    <col min="5387" max="5387" width="8.75" style="61" customWidth="1"/>
    <col min="5388" max="5388" width="11.25" style="61" customWidth="1"/>
    <col min="5389" max="5389" width="8.75" style="61" customWidth="1"/>
    <col min="5390" max="5390" width="12.1296296296296" style="61" customWidth="1"/>
    <col min="5391" max="5391" width="23" style="61" customWidth="1"/>
    <col min="5392" max="5392" width="9" style="61"/>
    <col min="5393" max="5393" width="12.75" style="61" customWidth="1"/>
    <col min="5394" max="5394" width="9" style="61"/>
    <col min="5395" max="5395" width="12.75" style="61" customWidth="1"/>
    <col min="5396" max="5627" width="9" style="61"/>
    <col min="5628" max="5628" width="4.87962962962963" style="61" customWidth="1"/>
    <col min="5629" max="5629" width="3.87962962962963" style="61" customWidth="1"/>
    <col min="5630" max="5630" width="8.5" style="61" customWidth="1"/>
    <col min="5631" max="5631" width="22.8796296296296" style="61" customWidth="1"/>
    <col min="5632" max="5632" width="3.87962962962963" style="61" customWidth="1"/>
    <col min="5633" max="5633" width="7.5" style="61" customWidth="1"/>
    <col min="5634" max="5638" width="9" style="61" hidden="1" customWidth="1"/>
    <col min="5639" max="5639" width="12.1296296296296" style="61" customWidth="1"/>
    <col min="5640" max="5640" width="10.25" style="61" customWidth="1"/>
    <col min="5641" max="5641" width="8.75" style="61" customWidth="1"/>
    <col min="5642" max="5642" width="10.25" style="61" customWidth="1"/>
    <col min="5643" max="5643" width="8.75" style="61" customWidth="1"/>
    <col min="5644" max="5644" width="11.25" style="61" customWidth="1"/>
    <col min="5645" max="5645" width="8.75" style="61" customWidth="1"/>
    <col min="5646" max="5646" width="12.1296296296296" style="61" customWidth="1"/>
    <col min="5647" max="5647" width="23" style="61" customWidth="1"/>
    <col min="5648" max="5648" width="9" style="61"/>
    <col min="5649" max="5649" width="12.75" style="61" customWidth="1"/>
    <col min="5650" max="5650" width="9" style="61"/>
    <col min="5651" max="5651" width="12.75" style="61" customWidth="1"/>
    <col min="5652" max="5883" width="9" style="61"/>
    <col min="5884" max="5884" width="4.87962962962963" style="61" customWidth="1"/>
    <col min="5885" max="5885" width="3.87962962962963" style="61" customWidth="1"/>
    <col min="5886" max="5886" width="8.5" style="61" customWidth="1"/>
    <col min="5887" max="5887" width="22.8796296296296" style="61" customWidth="1"/>
    <col min="5888" max="5888" width="3.87962962962963" style="61" customWidth="1"/>
    <col min="5889" max="5889" width="7.5" style="61" customWidth="1"/>
    <col min="5890" max="5894" width="9" style="61" hidden="1" customWidth="1"/>
    <col min="5895" max="5895" width="12.1296296296296" style="61" customWidth="1"/>
    <col min="5896" max="5896" width="10.25" style="61" customWidth="1"/>
    <col min="5897" max="5897" width="8.75" style="61" customWidth="1"/>
    <col min="5898" max="5898" width="10.25" style="61" customWidth="1"/>
    <col min="5899" max="5899" width="8.75" style="61" customWidth="1"/>
    <col min="5900" max="5900" width="11.25" style="61" customWidth="1"/>
    <col min="5901" max="5901" width="8.75" style="61" customWidth="1"/>
    <col min="5902" max="5902" width="12.1296296296296" style="61" customWidth="1"/>
    <col min="5903" max="5903" width="23" style="61" customWidth="1"/>
    <col min="5904" max="5904" width="9" style="61"/>
    <col min="5905" max="5905" width="12.75" style="61" customWidth="1"/>
    <col min="5906" max="5906" width="9" style="61"/>
    <col min="5907" max="5907" width="12.75" style="61" customWidth="1"/>
    <col min="5908" max="6139" width="9" style="61"/>
    <col min="6140" max="6140" width="4.87962962962963" style="61" customWidth="1"/>
    <col min="6141" max="6141" width="3.87962962962963" style="61" customWidth="1"/>
    <col min="6142" max="6142" width="8.5" style="61" customWidth="1"/>
    <col min="6143" max="6143" width="22.8796296296296" style="61" customWidth="1"/>
    <col min="6144" max="6144" width="3.87962962962963" style="61" customWidth="1"/>
    <col min="6145" max="6145" width="7.5" style="61" customWidth="1"/>
    <col min="6146" max="6150" width="9" style="61" hidden="1" customWidth="1"/>
    <col min="6151" max="6151" width="12.1296296296296" style="61" customWidth="1"/>
    <col min="6152" max="6152" width="10.25" style="61" customWidth="1"/>
    <col min="6153" max="6153" width="8.75" style="61" customWidth="1"/>
    <col min="6154" max="6154" width="10.25" style="61" customWidth="1"/>
    <col min="6155" max="6155" width="8.75" style="61" customWidth="1"/>
    <col min="6156" max="6156" width="11.25" style="61" customWidth="1"/>
    <col min="6157" max="6157" width="8.75" style="61" customWidth="1"/>
    <col min="6158" max="6158" width="12.1296296296296" style="61" customWidth="1"/>
    <col min="6159" max="6159" width="23" style="61" customWidth="1"/>
    <col min="6160" max="6160" width="9" style="61"/>
    <col min="6161" max="6161" width="12.75" style="61" customWidth="1"/>
    <col min="6162" max="6162" width="9" style="61"/>
    <col min="6163" max="6163" width="12.75" style="61" customWidth="1"/>
    <col min="6164" max="6395" width="9" style="61"/>
    <col min="6396" max="6396" width="4.87962962962963" style="61" customWidth="1"/>
    <col min="6397" max="6397" width="3.87962962962963" style="61" customWidth="1"/>
    <col min="6398" max="6398" width="8.5" style="61" customWidth="1"/>
    <col min="6399" max="6399" width="22.8796296296296" style="61" customWidth="1"/>
    <col min="6400" max="6400" width="3.87962962962963" style="61" customWidth="1"/>
    <col min="6401" max="6401" width="7.5" style="61" customWidth="1"/>
    <col min="6402" max="6406" width="9" style="61" hidden="1" customWidth="1"/>
    <col min="6407" max="6407" width="12.1296296296296" style="61" customWidth="1"/>
    <col min="6408" max="6408" width="10.25" style="61" customWidth="1"/>
    <col min="6409" max="6409" width="8.75" style="61" customWidth="1"/>
    <col min="6410" max="6410" width="10.25" style="61" customWidth="1"/>
    <col min="6411" max="6411" width="8.75" style="61" customWidth="1"/>
    <col min="6412" max="6412" width="11.25" style="61" customWidth="1"/>
    <col min="6413" max="6413" width="8.75" style="61" customWidth="1"/>
    <col min="6414" max="6414" width="12.1296296296296" style="61" customWidth="1"/>
    <col min="6415" max="6415" width="23" style="61" customWidth="1"/>
    <col min="6416" max="6416" width="9" style="61"/>
    <col min="6417" max="6417" width="12.75" style="61" customWidth="1"/>
    <col min="6418" max="6418" width="9" style="61"/>
    <col min="6419" max="6419" width="12.75" style="61" customWidth="1"/>
    <col min="6420" max="6651" width="9" style="61"/>
    <col min="6652" max="6652" width="4.87962962962963" style="61" customWidth="1"/>
    <col min="6653" max="6653" width="3.87962962962963" style="61" customWidth="1"/>
    <col min="6654" max="6654" width="8.5" style="61" customWidth="1"/>
    <col min="6655" max="6655" width="22.8796296296296" style="61" customWidth="1"/>
    <col min="6656" max="6656" width="3.87962962962963" style="61" customWidth="1"/>
    <col min="6657" max="6657" width="7.5" style="61" customWidth="1"/>
    <col min="6658" max="6662" width="9" style="61" hidden="1" customWidth="1"/>
    <col min="6663" max="6663" width="12.1296296296296" style="61" customWidth="1"/>
    <col min="6664" max="6664" width="10.25" style="61" customWidth="1"/>
    <col min="6665" max="6665" width="8.75" style="61" customWidth="1"/>
    <col min="6666" max="6666" width="10.25" style="61" customWidth="1"/>
    <col min="6667" max="6667" width="8.75" style="61" customWidth="1"/>
    <col min="6668" max="6668" width="11.25" style="61" customWidth="1"/>
    <col min="6669" max="6669" width="8.75" style="61" customWidth="1"/>
    <col min="6670" max="6670" width="12.1296296296296" style="61" customWidth="1"/>
    <col min="6671" max="6671" width="23" style="61" customWidth="1"/>
    <col min="6672" max="6672" width="9" style="61"/>
    <col min="6673" max="6673" width="12.75" style="61" customWidth="1"/>
    <col min="6674" max="6674" width="9" style="61"/>
    <col min="6675" max="6675" width="12.75" style="61" customWidth="1"/>
    <col min="6676" max="6907" width="9" style="61"/>
    <col min="6908" max="6908" width="4.87962962962963" style="61" customWidth="1"/>
    <col min="6909" max="6909" width="3.87962962962963" style="61" customWidth="1"/>
    <col min="6910" max="6910" width="8.5" style="61" customWidth="1"/>
    <col min="6911" max="6911" width="22.8796296296296" style="61" customWidth="1"/>
    <col min="6912" max="6912" width="3.87962962962963" style="61" customWidth="1"/>
    <col min="6913" max="6913" width="7.5" style="61" customWidth="1"/>
    <col min="6914" max="6918" width="9" style="61" hidden="1" customWidth="1"/>
    <col min="6919" max="6919" width="12.1296296296296" style="61" customWidth="1"/>
    <col min="6920" max="6920" width="10.25" style="61" customWidth="1"/>
    <col min="6921" max="6921" width="8.75" style="61" customWidth="1"/>
    <col min="6922" max="6922" width="10.25" style="61" customWidth="1"/>
    <col min="6923" max="6923" width="8.75" style="61" customWidth="1"/>
    <col min="6924" max="6924" width="11.25" style="61" customWidth="1"/>
    <col min="6925" max="6925" width="8.75" style="61" customWidth="1"/>
    <col min="6926" max="6926" width="12.1296296296296" style="61" customWidth="1"/>
    <col min="6927" max="6927" width="23" style="61" customWidth="1"/>
    <col min="6928" max="6928" width="9" style="61"/>
    <col min="6929" max="6929" width="12.75" style="61" customWidth="1"/>
    <col min="6930" max="6930" width="9" style="61"/>
    <col min="6931" max="6931" width="12.75" style="61" customWidth="1"/>
    <col min="6932" max="7163" width="9" style="61"/>
    <col min="7164" max="7164" width="4.87962962962963" style="61" customWidth="1"/>
    <col min="7165" max="7165" width="3.87962962962963" style="61" customWidth="1"/>
    <col min="7166" max="7166" width="8.5" style="61" customWidth="1"/>
    <col min="7167" max="7167" width="22.8796296296296" style="61" customWidth="1"/>
    <col min="7168" max="7168" width="3.87962962962963" style="61" customWidth="1"/>
    <col min="7169" max="7169" width="7.5" style="61" customWidth="1"/>
    <col min="7170" max="7174" width="9" style="61" hidden="1" customWidth="1"/>
    <col min="7175" max="7175" width="12.1296296296296" style="61" customWidth="1"/>
    <col min="7176" max="7176" width="10.25" style="61" customWidth="1"/>
    <col min="7177" max="7177" width="8.75" style="61" customWidth="1"/>
    <col min="7178" max="7178" width="10.25" style="61" customWidth="1"/>
    <col min="7179" max="7179" width="8.75" style="61" customWidth="1"/>
    <col min="7180" max="7180" width="11.25" style="61" customWidth="1"/>
    <col min="7181" max="7181" width="8.75" style="61" customWidth="1"/>
    <col min="7182" max="7182" width="12.1296296296296" style="61" customWidth="1"/>
    <col min="7183" max="7183" width="23" style="61" customWidth="1"/>
    <col min="7184" max="7184" width="9" style="61"/>
    <col min="7185" max="7185" width="12.75" style="61" customWidth="1"/>
    <col min="7186" max="7186" width="9" style="61"/>
    <col min="7187" max="7187" width="12.75" style="61" customWidth="1"/>
    <col min="7188" max="7419" width="9" style="61"/>
    <col min="7420" max="7420" width="4.87962962962963" style="61" customWidth="1"/>
    <col min="7421" max="7421" width="3.87962962962963" style="61" customWidth="1"/>
    <col min="7422" max="7422" width="8.5" style="61" customWidth="1"/>
    <col min="7423" max="7423" width="22.8796296296296" style="61" customWidth="1"/>
    <col min="7424" max="7424" width="3.87962962962963" style="61" customWidth="1"/>
    <col min="7425" max="7425" width="7.5" style="61" customWidth="1"/>
    <col min="7426" max="7430" width="9" style="61" hidden="1" customWidth="1"/>
    <col min="7431" max="7431" width="12.1296296296296" style="61" customWidth="1"/>
    <col min="7432" max="7432" width="10.25" style="61" customWidth="1"/>
    <col min="7433" max="7433" width="8.75" style="61" customWidth="1"/>
    <col min="7434" max="7434" width="10.25" style="61" customWidth="1"/>
    <col min="7435" max="7435" width="8.75" style="61" customWidth="1"/>
    <col min="7436" max="7436" width="11.25" style="61" customWidth="1"/>
    <col min="7437" max="7437" width="8.75" style="61" customWidth="1"/>
    <col min="7438" max="7438" width="12.1296296296296" style="61" customWidth="1"/>
    <col min="7439" max="7439" width="23" style="61" customWidth="1"/>
    <col min="7440" max="7440" width="9" style="61"/>
    <col min="7441" max="7441" width="12.75" style="61" customWidth="1"/>
    <col min="7442" max="7442" width="9" style="61"/>
    <col min="7443" max="7443" width="12.75" style="61" customWidth="1"/>
    <col min="7444" max="7675" width="9" style="61"/>
    <col min="7676" max="7676" width="4.87962962962963" style="61" customWidth="1"/>
    <col min="7677" max="7677" width="3.87962962962963" style="61" customWidth="1"/>
    <col min="7678" max="7678" width="8.5" style="61" customWidth="1"/>
    <col min="7679" max="7679" width="22.8796296296296" style="61" customWidth="1"/>
    <col min="7680" max="7680" width="3.87962962962963" style="61" customWidth="1"/>
    <col min="7681" max="7681" width="7.5" style="61" customWidth="1"/>
    <col min="7682" max="7686" width="9" style="61" hidden="1" customWidth="1"/>
    <col min="7687" max="7687" width="12.1296296296296" style="61" customWidth="1"/>
    <col min="7688" max="7688" width="10.25" style="61" customWidth="1"/>
    <col min="7689" max="7689" width="8.75" style="61" customWidth="1"/>
    <col min="7690" max="7690" width="10.25" style="61" customWidth="1"/>
    <col min="7691" max="7691" width="8.75" style="61" customWidth="1"/>
    <col min="7692" max="7692" width="11.25" style="61" customWidth="1"/>
    <col min="7693" max="7693" width="8.75" style="61" customWidth="1"/>
    <col min="7694" max="7694" width="12.1296296296296" style="61" customWidth="1"/>
    <col min="7695" max="7695" width="23" style="61" customWidth="1"/>
    <col min="7696" max="7696" width="9" style="61"/>
    <col min="7697" max="7697" width="12.75" style="61" customWidth="1"/>
    <col min="7698" max="7698" width="9" style="61"/>
    <col min="7699" max="7699" width="12.75" style="61" customWidth="1"/>
    <col min="7700" max="7931" width="9" style="61"/>
    <col min="7932" max="7932" width="4.87962962962963" style="61" customWidth="1"/>
    <col min="7933" max="7933" width="3.87962962962963" style="61" customWidth="1"/>
    <col min="7934" max="7934" width="8.5" style="61" customWidth="1"/>
    <col min="7935" max="7935" width="22.8796296296296" style="61" customWidth="1"/>
    <col min="7936" max="7936" width="3.87962962962963" style="61" customWidth="1"/>
    <col min="7937" max="7937" width="7.5" style="61" customWidth="1"/>
    <col min="7938" max="7942" width="9" style="61" hidden="1" customWidth="1"/>
    <col min="7943" max="7943" width="12.1296296296296" style="61" customWidth="1"/>
    <col min="7944" max="7944" width="10.25" style="61" customWidth="1"/>
    <col min="7945" max="7945" width="8.75" style="61" customWidth="1"/>
    <col min="7946" max="7946" width="10.25" style="61" customWidth="1"/>
    <col min="7947" max="7947" width="8.75" style="61" customWidth="1"/>
    <col min="7948" max="7948" width="11.25" style="61" customWidth="1"/>
    <col min="7949" max="7949" width="8.75" style="61" customWidth="1"/>
    <col min="7950" max="7950" width="12.1296296296296" style="61" customWidth="1"/>
    <col min="7951" max="7951" width="23" style="61" customWidth="1"/>
    <col min="7952" max="7952" width="9" style="61"/>
    <col min="7953" max="7953" width="12.75" style="61" customWidth="1"/>
    <col min="7954" max="7954" width="9" style="61"/>
    <col min="7955" max="7955" width="12.75" style="61" customWidth="1"/>
    <col min="7956" max="8187" width="9" style="61"/>
    <col min="8188" max="8188" width="4.87962962962963" style="61" customWidth="1"/>
    <col min="8189" max="8189" width="3.87962962962963" style="61" customWidth="1"/>
    <col min="8190" max="8190" width="8.5" style="61" customWidth="1"/>
    <col min="8191" max="8191" width="22.8796296296296" style="61" customWidth="1"/>
    <col min="8192" max="8192" width="3.87962962962963" style="61" customWidth="1"/>
    <col min="8193" max="8193" width="7.5" style="61" customWidth="1"/>
    <col min="8194" max="8198" width="9" style="61" hidden="1" customWidth="1"/>
    <col min="8199" max="8199" width="12.1296296296296" style="61" customWidth="1"/>
    <col min="8200" max="8200" width="10.25" style="61" customWidth="1"/>
    <col min="8201" max="8201" width="8.75" style="61" customWidth="1"/>
    <col min="8202" max="8202" width="10.25" style="61" customWidth="1"/>
    <col min="8203" max="8203" width="8.75" style="61" customWidth="1"/>
    <col min="8204" max="8204" width="11.25" style="61" customWidth="1"/>
    <col min="8205" max="8205" width="8.75" style="61" customWidth="1"/>
    <col min="8206" max="8206" width="12.1296296296296" style="61" customWidth="1"/>
    <col min="8207" max="8207" width="23" style="61" customWidth="1"/>
    <col min="8208" max="8208" width="9" style="61"/>
    <col min="8209" max="8209" width="12.75" style="61" customWidth="1"/>
    <col min="8210" max="8210" width="9" style="61"/>
    <col min="8211" max="8211" width="12.75" style="61" customWidth="1"/>
    <col min="8212" max="8443" width="9" style="61"/>
    <col min="8444" max="8444" width="4.87962962962963" style="61" customWidth="1"/>
    <col min="8445" max="8445" width="3.87962962962963" style="61" customWidth="1"/>
    <col min="8446" max="8446" width="8.5" style="61" customWidth="1"/>
    <col min="8447" max="8447" width="22.8796296296296" style="61" customWidth="1"/>
    <col min="8448" max="8448" width="3.87962962962963" style="61" customWidth="1"/>
    <col min="8449" max="8449" width="7.5" style="61" customWidth="1"/>
    <col min="8450" max="8454" width="9" style="61" hidden="1" customWidth="1"/>
    <col min="8455" max="8455" width="12.1296296296296" style="61" customWidth="1"/>
    <col min="8456" max="8456" width="10.25" style="61" customWidth="1"/>
    <col min="8457" max="8457" width="8.75" style="61" customWidth="1"/>
    <col min="8458" max="8458" width="10.25" style="61" customWidth="1"/>
    <col min="8459" max="8459" width="8.75" style="61" customWidth="1"/>
    <col min="8460" max="8460" width="11.25" style="61" customWidth="1"/>
    <col min="8461" max="8461" width="8.75" style="61" customWidth="1"/>
    <col min="8462" max="8462" width="12.1296296296296" style="61" customWidth="1"/>
    <col min="8463" max="8463" width="23" style="61" customWidth="1"/>
    <col min="8464" max="8464" width="9" style="61"/>
    <col min="8465" max="8465" width="12.75" style="61" customWidth="1"/>
    <col min="8466" max="8466" width="9" style="61"/>
    <col min="8467" max="8467" width="12.75" style="61" customWidth="1"/>
    <col min="8468" max="8699" width="9" style="61"/>
    <col min="8700" max="8700" width="4.87962962962963" style="61" customWidth="1"/>
    <col min="8701" max="8701" width="3.87962962962963" style="61" customWidth="1"/>
    <col min="8702" max="8702" width="8.5" style="61" customWidth="1"/>
    <col min="8703" max="8703" width="22.8796296296296" style="61" customWidth="1"/>
    <col min="8704" max="8704" width="3.87962962962963" style="61" customWidth="1"/>
    <col min="8705" max="8705" width="7.5" style="61" customWidth="1"/>
    <col min="8706" max="8710" width="9" style="61" hidden="1" customWidth="1"/>
    <col min="8711" max="8711" width="12.1296296296296" style="61" customWidth="1"/>
    <col min="8712" max="8712" width="10.25" style="61" customWidth="1"/>
    <col min="8713" max="8713" width="8.75" style="61" customWidth="1"/>
    <col min="8714" max="8714" width="10.25" style="61" customWidth="1"/>
    <col min="8715" max="8715" width="8.75" style="61" customWidth="1"/>
    <col min="8716" max="8716" width="11.25" style="61" customWidth="1"/>
    <col min="8717" max="8717" width="8.75" style="61" customWidth="1"/>
    <col min="8718" max="8718" width="12.1296296296296" style="61" customWidth="1"/>
    <col min="8719" max="8719" width="23" style="61" customWidth="1"/>
    <col min="8720" max="8720" width="9" style="61"/>
    <col min="8721" max="8721" width="12.75" style="61" customWidth="1"/>
    <col min="8722" max="8722" width="9" style="61"/>
    <col min="8723" max="8723" width="12.75" style="61" customWidth="1"/>
    <col min="8724" max="8955" width="9" style="61"/>
    <col min="8956" max="8956" width="4.87962962962963" style="61" customWidth="1"/>
    <col min="8957" max="8957" width="3.87962962962963" style="61" customWidth="1"/>
    <col min="8958" max="8958" width="8.5" style="61" customWidth="1"/>
    <col min="8959" max="8959" width="22.8796296296296" style="61" customWidth="1"/>
    <col min="8960" max="8960" width="3.87962962962963" style="61" customWidth="1"/>
    <col min="8961" max="8961" width="7.5" style="61" customWidth="1"/>
    <col min="8962" max="8966" width="9" style="61" hidden="1" customWidth="1"/>
    <col min="8967" max="8967" width="12.1296296296296" style="61" customWidth="1"/>
    <col min="8968" max="8968" width="10.25" style="61" customWidth="1"/>
    <col min="8969" max="8969" width="8.75" style="61" customWidth="1"/>
    <col min="8970" max="8970" width="10.25" style="61" customWidth="1"/>
    <col min="8971" max="8971" width="8.75" style="61" customWidth="1"/>
    <col min="8972" max="8972" width="11.25" style="61" customWidth="1"/>
    <col min="8973" max="8973" width="8.75" style="61" customWidth="1"/>
    <col min="8974" max="8974" width="12.1296296296296" style="61" customWidth="1"/>
    <col min="8975" max="8975" width="23" style="61" customWidth="1"/>
    <col min="8976" max="8976" width="9" style="61"/>
    <col min="8977" max="8977" width="12.75" style="61" customWidth="1"/>
    <col min="8978" max="8978" width="9" style="61"/>
    <col min="8979" max="8979" width="12.75" style="61" customWidth="1"/>
    <col min="8980" max="9211" width="9" style="61"/>
    <col min="9212" max="9212" width="4.87962962962963" style="61" customWidth="1"/>
    <col min="9213" max="9213" width="3.87962962962963" style="61" customWidth="1"/>
    <col min="9214" max="9214" width="8.5" style="61" customWidth="1"/>
    <col min="9215" max="9215" width="22.8796296296296" style="61" customWidth="1"/>
    <col min="9216" max="9216" width="3.87962962962963" style="61" customWidth="1"/>
    <col min="9217" max="9217" width="7.5" style="61" customWidth="1"/>
    <col min="9218" max="9222" width="9" style="61" hidden="1" customWidth="1"/>
    <col min="9223" max="9223" width="12.1296296296296" style="61" customWidth="1"/>
    <col min="9224" max="9224" width="10.25" style="61" customWidth="1"/>
    <col min="9225" max="9225" width="8.75" style="61" customWidth="1"/>
    <col min="9226" max="9226" width="10.25" style="61" customWidth="1"/>
    <col min="9227" max="9227" width="8.75" style="61" customWidth="1"/>
    <col min="9228" max="9228" width="11.25" style="61" customWidth="1"/>
    <col min="9229" max="9229" width="8.75" style="61" customWidth="1"/>
    <col min="9230" max="9230" width="12.1296296296296" style="61" customWidth="1"/>
    <col min="9231" max="9231" width="23" style="61" customWidth="1"/>
    <col min="9232" max="9232" width="9" style="61"/>
    <col min="9233" max="9233" width="12.75" style="61" customWidth="1"/>
    <col min="9234" max="9234" width="9" style="61"/>
    <col min="9235" max="9235" width="12.75" style="61" customWidth="1"/>
    <col min="9236" max="9467" width="9" style="61"/>
    <col min="9468" max="9468" width="4.87962962962963" style="61" customWidth="1"/>
    <col min="9469" max="9469" width="3.87962962962963" style="61" customWidth="1"/>
    <col min="9470" max="9470" width="8.5" style="61" customWidth="1"/>
    <col min="9471" max="9471" width="22.8796296296296" style="61" customWidth="1"/>
    <col min="9472" max="9472" width="3.87962962962963" style="61" customWidth="1"/>
    <col min="9473" max="9473" width="7.5" style="61" customWidth="1"/>
    <col min="9474" max="9478" width="9" style="61" hidden="1" customWidth="1"/>
    <col min="9479" max="9479" width="12.1296296296296" style="61" customWidth="1"/>
    <col min="9480" max="9480" width="10.25" style="61" customWidth="1"/>
    <col min="9481" max="9481" width="8.75" style="61" customWidth="1"/>
    <col min="9482" max="9482" width="10.25" style="61" customWidth="1"/>
    <col min="9483" max="9483" width="8.75" style="61" customWidth="1"/>
    <col min="9484" max="9484" width="11.25" style="61" customWidth="1"/>
    <col min="9485" max="9485" width="8.75" style="61" customWidth="1"/>
    <col min="9486" max="9486" width="12.1296296296296" style="61" customWidth="1"/>
    <col min="9487" max="9487" width="23" style="61" customWidth="1"/>
    <col min="9488" max="9488" width="9" style="61"/>
    <col min="9489" max="9489" width="12.75" style="61" customWidth="1"/>
    <col min="9490" max="9490" width="9" style="61"/>
    <col min="9491" max="9491" width="12.75" style="61" customWidth="1"/>
    <col min="9492" max="9723" width="9" style="61"/>
    <col min="9724" max="9724" width="4.87962962962963" style="61" customWidth="1"/>
    <col min="9725" max="9725" width="3.87962962962963" style="61" customWidth="1"/>
    <col min="9726" max="9726" width="8.5" style="61" customWidth="1"/>
    <col min="9727" max="9727" width="22.8796296296296" style="61" customWidth="1"/>
    <col min="9728" max="9728" width="3.87962962962963" style="61" customWidth="1"/>
    <col min="9729" max="9729" width="7.5" style="61" customWidth="1"/>
    <col min="9730" max="9734" width="9" style="61" hidden="1" customWidth="1"/>
    <col min="9735" max="9735" width="12.1296296296296" style="61" customWidth="1"/>
    <col min="9736" max="9736" width="10.25" style="61" customWidth="1"/>
    <col min="9737" max="9737" width="8.75" style="61" customWidth="1"/>
    <col min="9738" max="9738" width="10.25" style="61" customWidth="1"/>
    <col min="9739" max="9739" width="8.75" style="61" customWidth="1"/>
    <col min="9740" max="9740" width="11.25" style="61" customWidth="1"/>
    <col min="9741" max="9741" width="8.75" style="61" customWidth="1"/>
    <col min="9742" max="9742" width="12.1296296296296" style="61" customWidth="1"/>
    <col min="9743" max="9743" width="23" style="61" customWidth="1"/>
    <col min="9744" max="9744" width="9" style="61"/>
    <col min="9745" max="9745" width="12.75" style="61" customWidth="1"/>
    <col min="9746" max="9746" width="9" style="61"/>
    <col min="9747" max="9747" width="12.75" style="61" customWidth="1"/>
    <col min="9748" max="9979" width="9" style="61"/>
    <col min="9980" max="9980" width="4.87962962962963" style="61" customWidth="1"/>
    <col min="9981" max="9981" width="3.87962962962963" style="61" customWidth="1"/>
    <col min="9982" max="9982" width="8.5" style="61" customWidth="1"/>
    <col min="9983" max="9983" width="22.8796296296296" style="61" customWidth="1"/>
    <col min="9984" max="9984" width="3.87962962962963" style="61" customWidth="1"/>
    <col min="9985" max="9985" width="7.5" style="61" customWidth="1"/>
    <col min="9986" max="9990" width="9" style="61" hidden="1" customWidth="1"/>
    <col min="9991" max="9991" width="12.1296296296296" style="61" customWidth="1"/>
    <col min="9992" max="9992" width="10.25" style="61" customWidth="1"/>
    <col min="9993" max="9993" width="8.75" style="61" customWidth="1"/>
    <col min="9994" max="9994" width="10.25" style="61" customWidth="1"/>
    <col min="9995" max="9995" width="8.75" style="61" customWidth="1"/>
    <col min="9996" max="9996" width="11.25" style="61" customWidth="1"/>
    <col min="9997" max="9997" width="8.75" style="61" customWidth="1"/>
    <col min="9998" max="9998" width="12.1296296296296" style="61" customWidth="1"/>
    <col min="9999" max="9999" width="23" style="61" customWidth="1"/>
    <col min="10000" max="10000" width="9" style="61"/>
    <col min="10001" max="10001" width="12.75" style="61" customWidth="1"/>
    <col min="10002" max="10002" width="9" style="61"/>
    <col min="10003" max="10003" width="12.75" style="61" customWidth="1"/>
    <col min="10004" max="10235" width="9" style="61"/>
    <col min="10236" max="10236" width="4.87962962962963" style="61" customWidth="1"/>
    <col min="10237" max="10237" width="3.87962962962963" style="61" customWidth="1"/>
    <col min="10238" max="10238" width="8.5" style="61" customWidth="1"/>
    <col min="10239" max="10239" width="22.8796296296296" style="61" customWidth="1"/>
    <col min="10240" max="10240" width="3.87962962962963" style="61" customWidth="1"/>
    <col min="10241" max="10241" width="7.5" style="61" customWidth="1"/>
    <col min="10242" max="10246" width="9" style="61" hidden="1" customWidth="1"/>
    <col min="10247" max="10247" width="12.1296296296296" style="61" customWidth="1"/>
    <col min="10248" max="10248" width="10.25" style="61" customWidth="1"/>
    <col min="10249" max="10249" width="8.75" style="61" customWidth="1"/>
    <col min="10250" max="10250" width="10.25" style="61" customWidth="1"/>
    <col min="10251" max="10251" width="8.75" style="61" customWidth="1"/>
    <col min="10252" max="10252" width="11.25" style="61" customWidth="1"/>
    <col min="10253" max="10253" width="8.75" style="61" customWidth="1"/>
    <col min="10254" max="10254" width="12.1296296296296" style="61" customWidth="1"/>
    <col min="10255" max="10255" width="23" style="61" customWidth="1"/>
    <col min="10256" max="10256" width="9" style="61"/>
    <col min="10257" max="10257" width="12.75" style="61" customWidth="1"/>
    <col min="10258" max="10258" width="9" style="61"/>
    <col min="10259" max="10259" width="12.75" style="61" customWidth="1"/>
    <col min="10260" max="10491" width="9" style="61"/>
    <col min="10492" max="10492" width="4.87962962962963" style="61" customWidth="1"/>
    <col min="10493" max="10493" width="3.87962962962963" style="61" customWidth="1"/>
    <col min="10494" max="10494" width="8.5" style="61" customWidth="1"/>
    <col min="10495" max="10495" width="22.8796296296296" style="61" customWidth="1"/>
    <col min="10496" max="10496" width="3.87962962962963" style="61" customWidth="1"/>
    <col min="10497" max="10497" width="7.5" style="61" customWidth="1"/>
    <col min="10498" max="10502" width="9" style="61" hidden="1" customWidth="1"/>
    <col min="10503" max="10503" width="12.1296296296296" style="61" customWidth="1"/>
    <col min="10504" max="10504" width="10.25" style="61" customWidth="1"/>
    <col min="10505" max="10505" width="8.75" style="61" customWidth="1"/>
    <col min="10506" max="10506" width="10.25" style="61" customWidth="1"/>
    <col min="10507" max="10507" width="8.75" style="61" customWidth="1"/>
    <col min="10508" max="10508" width="11.25" style="61" customWidth="1"/>
    <col min="10509" max="10509" width="8.75" style="61" customWidth="1"/>
    <col min="10510" max="10510" width="12.1296296296296" style="61" customWidth="1"/>
    <col min="10511" max="10511" width="23" style="61" customWidth="1"/>
    <col min="10512" max="10512" width="9" style="61"/>
    <col min="10513" max="10513" width="12.75" style="61" customWidth="1"/>
    <col min="10514" max="10514" width="9" style="61"/>
    <col min="10515" max="10515" width="12.75" style="61" customWidth="1"/>
    <col min="10516" max="10747" width="9" style="61"/>
    <col min="10748" max="10748" width="4.87962962962963" style="61" customWidth="1"/>
    <col min="10749" max="10749" width="3.87962962962963" style="61" customWidth="1"/>
    <col min="10750" max="10750" width="8.5" style="61" customWidth="1"/>
    <col min="10751" max="10751" width="22.8796296296296" style="61" customWidth="1"/>
    <col min="10752" max="10752" width="3.87962962962963" style="61" customWidth="1"/>
    <col min="10753" max="10753" width="7.5" style="61" customWidth="1"/>
    <col min="10754" max="10758" width="9" style="61" hidden="1" customWidth="1"/>
    <col min="10759" max="10759" width="12.1296296296296" style="61" customWidth="1"/>
    <col min="10760" max="10760" width="10.25" style="61" customWidth="1"/>
    <col min="10761" max="10761" width="8.75" style="61" customWidth="1"/>
    <col min="10762" max="10762" width="10.25" style="61" customWidth="1"/>
    <col min="10763" max="10763" width="8.75" style="61" customWidth="1"/>
    <col min="10764" max="10764" width="11.25" style="61" customWidth="1"/>
    <col min="10765" max="10765" width="8.75" style="61" customWidth="1"/>
    <col min="10766" max="10766" width="12.1296296296296" style="61" customWidth="1"/>
    <col min="10767" max="10767" width="23" style="61" customWidth="1"/>
    <col min="10768" max="10768" width="9" style="61"/>
    <col min="10769" max="10769" width="12.75" style="61" customWidth="1"/>
    <col min="10770" max="10770" width="9" style="61"/>
    <col min="10771" max="10771" width="12.75" style="61" customWidth="1"/>
    <col min="10772" max="11003" width="9" style="61"/>
    <col min="11004" max="11004" width="4.87962962962963" style="61" customWidth="1"/>
    <col min="11005" max="11005" width="3.87962962962963" style="61" customWidth="1"/>
    <col min="11006" max="11006" width="8.5" style="61" customWidth="1"/>
    <col min="11007" max="11007" width="22.8796296296296" style="61" customWidth="1"/>
    <col min="11008" max="11008" width="3.87962962962963" style="61" customWidth="1"/>
    <col min="11009" max="11009" width="7.5" style="61" customWidth="1"/>
    <col min="11010" max="11014" width="9" style="61" hidden="1" customWidth="1"/>
    <col min="11015" max="11015" width="12.1296296296296" style="61" customWidth="1"/>
    <col min="11016" max="11016" width="10.25" style="61" customWidth="1"/>
    <col min="11017" max="11017" width="8.75" style="61" customWidth="1"/>
    <col min="11018" max="11018" width="10.25" style="61" customWidth="1"/>
    <col min="11019" max="11019" width="8.75" style="61" customWidth="1"/>
    <col min="11020" max="11020" width="11.25" style="61" customWidth="1"/>
    <col min="11021" max="11021" width="8.75" style="61" customWidth="1"/>
    <col min="11022" max="11022" width="12.1296296296296" style="61" customWidth="1"/>
    <col min="11023" max="11023" width="23" style="61" customWidth="1"/>
    <col min="11024" max="11024" width="9" style="61"/>
    <col min="11025" max="11025" width="12.75" style="61" customWidth="1"/>
    <col min="11026" max="11026" width="9" style="61"/>
    <col min="11027" max="11027" width="12.75" style="61" customWidth="1"/>
    <col min="11028" max="11259" width="9" style="61"/>
    <col min="11260" max="11260" width="4.87962962962963" style="61" customWidth="1"/>
    <col min="11261" max="11261" width="3.87962962962963" style="61" customWidth="1"/>
    <col min="11262" max="11262" width="8.5" style="61" customWidth="1"/>
    <col min="11263" max="11263" width="22.8796296296296" style="61" customWidth="1"/>
    <col min="11264" max="11264" width="3.87962962962963" style="61" customWidth="1"/>
    <col min="11265" max="11265" width="7.5" style="61" customWidth="1"/>
    <col min="11266" max="11270" width="9" style="61" hidden="1" customWidth="1"/>
    <col min="11271" max="11271" width="12.1296296296296" style="61" customWidth="1"/>
    <col min="11272" max="11272" width="10.25" style="61" customWidth="1"/>
    <col min="11273" max="11273" width="8.75" style="61" customWidth="1"/>
    <col min="11274" max="11274" width="10.25" style="61" customWidth="1"/>
    <col min="11275" max="11275" width="8.75" style="61" customWidth="1"/>
    <col min="11276" max="11276" width="11.25" style="61" customWidth="1"/>
    <col min="11277" max="11277" width="8.75" style="61" customWidth="1"/>
    <col min="11278" max="11278" width="12.1296296296296" style="61" customWidth="1"/>
    <col min="11279" max="11279" width="23" style="61" customWidth="1"/>
    <col min="11280" max="11280" width="9" style="61"/>
    <col min="11281" max="11281" width="12.75" style="61" customWidth="1"/>
    <col min="11282" max="11282" width="9" style="61"/>
    <col min="11283" max="11283" width="12.75" style="61" customWidth="1"/>
    <col min="11284" max="11515" width="9" style="61"/>
    <col min="11516" max="11516" width="4.87962962962963" style="61" customWidth="1"/>
    <col min="11517" max="11517" width="3.87962962962963" style="61" customWidth="1"/>
    <col min="11518" max="11518" width="8.5" style="61" customWidth="1"/>
    <col min="11519" max="11519" width="22.8796296296296" style="61" customWidth="1"/>
    <col min="11520" max="11520" width="3.87962962962963" style="61" customWidth="1"/>
    <col min="11521" max="11521" width="7.5" style="61" customWidth="1"/>
    <col min="11522" max="11526" width="9" style="61" hidden="1" customWidth="1"/>
    <col min="11527" max="11527" width="12.1296296296296" style="61" customWidth="1"/>
    <col min="11528" max="11528" width="10.25" style="61" customWidth="1"/>
    <col min="11529" max="11529" width="8.75" style="61" customWidth="1"/>
    <col min="11530" max="11530" width="10.25" style="61" customWidth="1"/>
    <col min="11531" max="11531" width="8.75" style="61" customWidth="1"/>
    <col min="11532" max="11532" width="11.25" style="61" customWidth="1"/>
    <col min="11533" max="11533" width="8.75" style="61" customWidth="1"/>
    <col min="11534" max="11534" width="12.1296296296296" style="61" customWidth="1"/>
    <col min="11535" max="11535" width="23" style="61" customWidth="1"/>
    <col min="11536" max="11536" width="9" style="61"/>
    <col min="11537" max="11537" width="12.75" style="61" customWidth="1"/>
    <col min="11538" max="11538" width="9" style="61"/>
    <col min="11539" max="11539" width="12.75" style="61" customWidth="1"/>
    <col min="11540" max="11771" width="9" style="61"/>
    <col min="11772" max="11772" width="4.87962962962963" style="61" customWidth="1"/>
    <col min="11773" max="11773" width="3.87962962962963" style="61" customWidth="1"/>
    <col min="11774" max="11774" width="8.5" style="61" customWidth="1"/>
    <col min="11775" max="11775" width="22.8796296296296" style="61" customWidth="1"/>
    <col min="11776" max="11776" width="3.87962962962963" style="61" customWidth="1"/>
    <col min="11777" max="11777" width="7.5" style="61" customWidth="1"/>
    <col min="11778" max="11782" width="9" style="61" hidden="1" customWidth="1"/>
    <col min="11783" max="11783" width="12.1296296296296" style="61" customWidth="1"/>
    <col min="11784" max="11784" width="10.25" style="61" customWidth="1"/>
    <col min="11785" max="11785" width="8.75" style="61" customWidth="1"/>
    <col min="11786" max="11786" width="10.25" style="61" customWidth="1"/>
    <col min="11787" max="11787" width="8.75" style="61" customWidth="1"/>
    <col min="11788" max="11788" width="11.25" style="61" customWidth="1"/>
    <col min="11789" max="11789" width="8.75" style="61" customWidth="1"/>
    <col min="11790" max="11790" width="12.1296296296296" style="61" customWidth="1"/>
    <col min="11791" max="11791" width="23" style="61" customWidth="1"/>
    <col min="11792" max="11792" width="9" style="61"/>
    <col min="11793" max="11793" width="12.75" style="61" customWidth="1"/>
    <col min="11794" max="11794" width="9" style="61"/>
    <col min="11795" max="11795" width="12.75" style="61" customWidth="1"/>
    <col min="11796" max="12027" width="9" style="61"/>
    <col min="12028" max="12028" width="4.87962962962963" style="61" customWidth="1"/>
    <col min="12029" max="12029" width="3.87962962962963" style="61" customWidth="1"/>
    <col min="12030" max="12030" width="8.5" style="61" customWidth="1"/>
    <col min="12031" max="12031" width="22.8796296296296" style="61" customWidth="1"/>
    <col min="12032" max="12032" width="3.87962962962963" style="61" customWidth="1"/>
    <col min="12033" max="12033" width="7.5" style="61" customWidth="1"/>
    <col min="12034" max="12038" width="9" style="61" hidden="1" customWidth="1"/>
    <col min="12039" max="12039" width="12.1296296296296" style="61" customWidth="1"/>
    <col min="12040" max="12040" width="10.25" style="61" customWidth="1"/>
    <col min="12041" max="12041" width="8.75" style="61" customWidth="1"/>
    <col min="12042" max="12042" width="10.25" style="61" customWidth="1"/>
    <col min="12043" max="12043" width="8.75" style="61" customWidth="1"/>
    <col min="12044" max="12044" width="11.25" style="61" customWidth="1"/>
    <col min="12045" max="12045" width="8.75" style="61" customWidth="1"/>
    <col min="12046" max="12046" width="12.1296296296296" style="61" customWidth="1"/>
    <col min="12047" max="12047" width="23" style="61" customWidth="1"/>
    <col min="12048" max="12048" width="9" style="61"/>
    <col min="12049" max="12049" width="12.75" style="61" customWidth="1"/>
    <col min="12050" max="12050" width="9" style="61"/>
    <col min="12051" max="12051" width="12.75" style="61" customWidth="1"/>
    <col min="12052" max="12283" width="9" style="61"/>
    <col min="12284" max="12284" width="4.87962962962963" style="61" customWidth="1"/>
    <col min="12285" max="12285" width="3.87962962962963" style="61" customWidth="1"/>
    <col min="12286" max="12286" width="8.5" style="61" customWidth="1"/>
    <col min="12287" max="12287" width="22.8796296296296" style="61" customWidth="1"/>
    <col min="12288" max="12288" width="3.87962962962963" style="61" customWidth="1"/>
    <col min="12289" max="12289" width="7.5" style="61" customWidth="1"/>
    <col min="12290" max="12294" width="9" style="61" hidden="1" customWidth="1"/>
    <col min="12295" max="12295" width="12.1296296296296" style="61" customWidth="1"/>
    <col min="12296" max="12296" width="10.25" style="61" customWidth="1"/>
    <col min="12297" max="12297" width="8.75" style="61" customWidth="1"/>
    <col min="12298" max="12298" width="10.25" style="61" customWidth="1"/>
    <col min="12299" max="12299" width="8.75" style="61" customWidth="1"/>
    <col min="12300" max="12300" width="11.25" style="61" customWidth="1"/>
    <col min="12301" max="12301" width="8.75" style="61" customWidth="1"/>
    <col min="12302" max="12302" width="12.1296296296296" style="61" customWidth="1"/>
    <col min="12303" max="12303" width="23" style="61" customWidth="1"/>
    <col min="12304" max="12304" width="9" style="61"/>
    <col min="12305" max="12305" width="12.75" style="61" customWidth="1"/>
    <col min="12306" max="12306" width="9" style="61"/>
    <col min="12307" max="12307" width="12.75" style="61" customWidth="1"/>
    <col min="12308" max="12539" width="9" style="61"/>
    <col min="12540" max="12540" width="4.87962962962963" style="61" customWidth="1"/>
    <col min="12541" max="12541" width="3.87962962962963" style="61" customWidth="1"/>
    <col min="12542" max="12542" width="8.5" style="61" customWidth="1"/>
    <col min="12543" max="12543" width="22.8796296296296" style="61" customWidth="1"/>
    <col min="12544" max="12544" width="3.87962962962963" style="61" customWidth="1"/>
    <col min="12545" max="12545" width="7.5" style="61" customWidth="1"/>
    <col min="12546" max="12550" width="9" style="61" hidden="1" customWidth="1"/>
    <col min="12551" max="12551" width="12.1296296296296" style="61" customWidth="1"/>
    <col min="12552" max="12552" width="10.25" style="61" customWidth="1"/>
    <col min="12553" max="12553" width="8.75" style="61" customWidth="1"/>
    <col min="12554" max="12554" width="10.25" style="61" customWidth="1"/>
    <col min="12555" max="12555" width="8.75" style="61" customWidth="1"/>
    <col min="12556" max="12556" width="11.25" style="61" customWidth="1"/>
    <col min="12557" max="12557" width="8.75" style="61" customWidth="1"/>
    <col min="12558" max="12558" width="12.1296296296296" style="61" customWidth="1"/>
    <col min="12559" max="12559" width="23" style="61" customWidth="1"/>
    <col min="12560" max="12560" width="9" style="61"/>
    <col min="12561" max="12561" width="12.75" style="61" customWidth="1"/>
    <col min="12562" max="12562" width="9" style="61"/>
    <col min="12563" max="12563" width="12.75" style="61" customWidth="1"/>
    <col min="12564" max="12795" width="9" style="61"/>
    <col min="12796" max="12796" width="4.87962962962963" style="61" customWidth="1"/>
    <col min="12797" max="12797" width="3.87962962962963" style="61" customWidth="1"/>
    <col min="12798" max="12798" width="8.5" style="61" customWidth="1"/>
    <col min="12799" max="12799" width="22.8796296296296" style="61" customWidth="1"/>
    <col min="12800" max="12800" width="3.87962962962963" style="61" customWidth="1"/>
    <col min="12801" max="12801" width="7.5" style="61" customWidth="1"/>
    <col min="12802" max="12806" width="9" style="61" hidden="1" customWidth="1"/>
    <col min="12807" max="12807" width="12.1296296296296" style="61" customWidth="1"/>
    <col min="12808" max="12808" width="10.25" style="61" customWidth="1"/>
    <col min="12809" max="12809" width="8.75" style="61" customWidth="1"/>
    <col min="12810" max="12810" width="10.25" style="61" customWidth="1"/>
    <col min="12811" max="12811" width="8.75" style="61" customWidth="1"/>
    <col min="12812" max="12812" width="11.25" style="61" customWidth="1"/>
    <col min="12813" max="12813" width="8.75" style="61" customWidth="1"/>
    <col min="12814" max="12814" width="12.1296296296296" style="61" customWidth="1"/>
    <col min="12815" max="12815" width="23" style="61" customWidth="1"/>
    <col min="12816" max="12816" width="9" style="61"/>
    <col min="12817" max="12817" width="12.75" style="61" customWidth="1"/>
    <col min="12818" max="12818" width="9" style="61"/>
    <col min="12819" max="12819" width="12.75" style="61" customWidth="1"/>
    <col min="12820" max="13051" width="9" style="61"/>
    <col min="13052" max="13052" width="4.87962962962963" style="61" customWidth="1"/>
    <col min="13053" max="13053" width="3.87962962962963" style="61" customWidth="1"/>
    <col min="13054" max="13054" width="8.5" style="61" customWidth="1"/>
    <col min="13055" max="13055" width="22.8796296296296" style="61" customWidth="1"/>
    <col min="13056" max="13056" width="3.87962962962963" style="61" customWidth="1"/>
    <col min="13057" max="13057" width="7.5" style="61" customWidth="1"/>
    <col min="13058" max="13062" width="9" style="61" hidden="1" customWidth="1"/>
    <col min="13063" max="13063" width="12.1296296296296" style="61" customWidth="1"/>
    <col min="13064" max="13064" width="10.25" style="61" customWidth="1"/>
    <col min="13065" max="13065" width="8.75" style="61" customWidth="1"/>
    <col min="13066" max="13066" width="10.25" style="61" customWidth="1"/>
    <col min="13067" max="13067" width="8.75" style="61" customWidth="1"/>
    <col min="13068" max="13068" width="11.25" style="61" customWidth="1"/>
    <col min="13069" max="13069" width="8.75" style="61" customWidth="1"/>
    <col min="13070" max="13070" width="12.1296296296296" style="61" customWidth="1"/>
    <col min="13071" max="13071" width="23" style="61" customWidth="1"/>
    <col min="13072" max="13072" width="9" style="61"/>
    <col min="13073" max="13073" width="12.75" style="61" customWidth="1"/>
    <col min="13074" max="13074" width="9" style="61"/>
    <col min="13075" max="13075" width="12.75" style="61" customWidth="1"/>
    <col min="13076" max="13307" width="9" style="61"/>
    <col min="13308" max="13308" width="4.87962962962963" style="61" customWidth="1"/>
    <col min="13309" max="13309" width="3.87962962962963" style="61" customWidth="1"/>
    <col min="13310" max="13310" width="8.5" style="61" customWidth="1"/>
    <col min="13311" max="13311" width="22.8796296296296" style="61" customWidth="1"/>
    <col min="13312" max="13312" width="3.87962962962963" style="61" customWidth="1"/>
    <col min="13313" max="13313" width="7.5" style="61" customWidth="1"/>
    <col min="13314" max="13318" width="9" style="61" hidden="1" customWidth="1"/>
    <col min="13319" max="13319" width="12.1296296296296" style="61" customWidth="1"/>
    <col min="13320" max="13320" width="10.25" style="61" customWidth="1"/>
    <col min="13321" max="13321" width="8.75" style="61" customWidth="1"/>
    <col min="13322" max="13322" width="10.25" style="61" customWidth="1"/>
    <col min="13323" max="13323" width="8.75" style="61" customWidth="1"/>
    <col min="13324" max="13324" width="11.25" style="61" customWidth="1"/>
    <col min="13325" max="13325" width="8.75" style="61" customWidth="1"/>
    <col min="13326" max="13326" width="12.1296296296296" style="61" customWidth="1"/>
    <col min="13327" max="13327" width="23" style="61" customWidth="1"/>
    <col min="13328" max="13328" width="9" style="61"/>
    <col min="13329" max="13329" width="12.75" style="61" customWidth="1"/>
    <col min="13330" max="13330" width="9" style="61"/>
    <col min="13331" max="13331" width="12.75" style="61" customWidth="1"/>
    <col min="13332" max="13563" width="9" style="61"/>
    <col min="13564" max="13564" width="4.87962962962963" style="61" customWidth="1"/>
    <col min="13565" max="13565" width="3.87962962962963" style="61" customWidth="1"/>
    <col min="13566" max="13566" width="8.5" style="61" customWidth="1"/>
    <col min="13567" max="13567" width="22.8796296296296" style="61" customWidth="1"/>
    <col min="13568" max="13568" width="3.87962962962963" style="61" customWidth="1"/>
    <col min="13569" max="13569" width="7.5" style="61" customWidth="1"/>
    <col min="13570" max="13574" width="9" style="61" hidden="1" customWidth="1"/>
    <col min="13575" max="13575" width="12.1296296296296" style="61" customWidth="1"/>
    <col min="13576" max="13576" width="10.25" style="61" customWidth="1"/>
    <col min="13577" max="13577" width="8.75" style="61" customWidth="1"/>
    <col min="13578" max="13578" width="10.25" style="61" customWidth="1"/>
    <col min="13579" max="13579" width="8.75" style="61" customWidth="1"/>
    <col min="13580" max="13580" width="11.25" style="61" customWidth="1"/>
    <col min="13581" max="13581" width="8.75" style="61" customWidth="1"/>
    <col min="13582" max="13582" width="12.1296296296296" style="61" customWidth="1"/>
    <col min="13583" max="13583" width="23" style="61" customWidth="1"/>
    <col min="13584" max="13584" width="9" style="61"/>
    <col min="13585" max="13585" width="12.75" style="61" customWidth="1"/>
    <col min="13586" max="13586" width="9" style="61"/>
    <col min="13587" max="13587" width="12.75" style="61" customWidth="1"/>
    <col min="13588" max="13819" width="9" style="61"/>
    <col min="13820" max="13820" width="4.87962962962963" style="61" customWidth="1"/>
    <col min="13821" max="13821" width="3.87962962962963" style="61" customWidth="1"/>
    <col min="13822" max="13822" width="8.5" style="61" customWidth="1"/>
    <col min="13823" max="13823" width="22.8796296296296" style="61" customWidth="1"/>
    <col min="13824" max="13824" width="3.87962962962963" style="61" customWidth="1"/>
    <col min="13825" max="13825" width="7.5" style="61" customWidth="1"/>
    <col min="13826" max="13830" width="9" style="61" hidden="1" customWidth="1"/>
    <col min="13831" max="13831" width="12.1296296296296" style="61" customWidth="1"/>
    <col min="13832" max="13832" width="10.25" style="61" customWidth="1"/>
    <col min="13833" max="13833" width="8.75" style="61" customWidth="1"/>
    <col min="13834" max="13834" width="10.25" style="61" customWidth="1"/>
    <col min="13835" max="13835" width="8.75" style="61" customWidth="1"/>
    <col min="13836" max="13836" width="11.25" style="61" customWidth="1"/>
    <col min="13837" max="13837" width="8.75" style="61" customWidth="1"/>
    <col min="13838" max="13838" width="12.1296296296296" style="61" customWidth="1"/>
    <col min="13839" max="13839" width="23" style="61" customWidth="1"/>
    <col min="13840" max="13840" width="9" style="61"/>
    <col min="13841" max="13841" width="12.75" style="61" customWidth="1"/>
    <col min="13842" max="13842" width="9" style="61"/>
    <col min="13843" max="13843" width="12.75" style="61" customWidth="1"/>
    <col min="13844" max="14075" width="9" style="61"/>
    <col min="14076" max="14076" width="4.87962962962963" style="61" customWidth="1"/>
    <col min="14077" max="14077" width="3.87962962962963" style="61" customWidth="1"/>
    <col min="14078" max="14078" width="8.5" style="61" customWidth="1"/>
    <col min="14079" max="14079" width="22.8796296296296" style="61" customWidth="1"/>
    <col min="14080" max="14080" width="3.87962962962963" style="61" customWidth="1"/>
    <col min="14081" max="14081" width="7.5" style="61" customWidth="1"/>
    <col min="14082" max="14086" width="9" style="61" hidden="1" customWidth="1"/>
    <col min="14087" max="14087" width="12.1296296296296" style="61" customWidth="1"/>
    <col min="14088" max="14088" width="10.25" style="61" customWidth="1"/>
    <col min="14089" max="14089" width="8.75" style="61" customWidth="1"/>
    <col min="14090" max="14090" width="10.25" style="61" customWidth="1"/>
    <col min="14091" max="14091" width="8.75" style="61" customWidth="1"/>
    <col min="14092" max="14092" width="11.25" style="61" customWidth="1"/>
    <col min="14093" max="14093" width="8.75" style="61" customWidth="1"/>
    <col min="14094" max="14094" width="12.1296296296296" style="61" customWidth="1"/>
    <col min="14095" max="14095" width="23" style="61" customWidth="1"/>
    <col min="14096" max="14096" width="9" style="61"/>
    <col min="14097" max="14097" width="12.75" style="61" customWidth="1"/>
    <col min="14098" max="14098" width="9" style="61"/>
    <col min="14099" max="14099" width="12.75" style="61" customWidth="1"/>
    <col min="14100" max="14331" width="9" style="61"/>
    <col min="14332" max="14332" width="4.87962962962963" style="61" customWidth="1"/>
    <col min="14333" max="14333" width="3.87962962962963" style="61" customWidth="1"/>
    <col min="14334" max="14334" width="8.5" style="61" customWidth="1"/>
    <col min="14335" max="14335" width="22.8796296296296" style="61" customWidth="1"/>
    <col min="14336" max="14336" width="3.87962962962963" style="61" customWidth="1"/>
    <col min="14337" max="14337" width="7.5" style="61" customWidth="1"/>
    <col min="14338" max="14342" width="9" style="61" hidden="1" customWidth="1"/>
    <col min="14343" max="14343" width="12.1296296296296" style="61" customWidth="1"/>
    <col min="14344" max="14344" width="10.25" style="61" customWidth="1"/>
    <col min="14345" max="14345" width="8.75" style="61" customWidth="1"/>
    <col min="14346" max="14346" width="10.25" style="61" customWidth="1"/>
    <col min="14347" max="14347" width="8.75" style="61" customWidth="1"/>
    <col min="14348" max="14348" width="11.25" style="61" customWidth="1"/>
    <col min="14349" max="14349" width="8.75" style="61" customWidth="1"/>
    <col min="14350" max="14350" width="12.1296296296296" style="61" customWidth="1"/>
    <col min="14351" max="14351" width="23" style="61" customWidth="1"/>
    <col min="14352" max="14352" width="9" style="61"/>
    <col min="14353" max="14353" width="12.75" style="61" customWidth="1"/>
    <col min="14354" max="14354" width="9" style="61"/>
    <col min="14355" max="14355" width="12.75" style="61" customWidth="1"/>
    <col min="14356" max="14587" width="9" style="61"/>
    <col min="14588" max="14588" width="4.87962962962963" style="61" customWidth="1"/>
    <col min="14589" max="14589" width="3.87962962962963" style="61" customWidth="1"/>
    <col min="14590" max="14590" width="8.5" style="61" customWidth="1"/>
    <col min="14591" max="14591" width="22.8796296296296" style="61" customWidth="1"/>
    <col min="14592" max="14592" width="3.87962962962963" style="61" customWidth="1"/>
    <col min="14593" max="14593" width="7.5" style="61" customWidth="1"/>
    <col min="14594" max="14598" width="9" style="61" hidden="1" customWidth="1"/>
    <col min="14599" max="14599" width="12.1296296296296" style="61" customWidth="1"/>
    <col min="14600" max="14600" width="10.25" style="61" customWidth="1"/>
    <col min="14601" max="14601" width="8.75" style="61" customWidth="1"/>
    <col min="14602" max="14602" width="10.25" style="61" customWidth="1"/>
    <col min="14603" max="14603" width="8.75" style="61" customWidth="1"/>
    <col min="14604" max="14604" width="11.25" style="61" customWidth="1"/>
    <col min="14605" max="14605" width="8.75" style="61" customWidth="1"/>
    <col min="14606" max="14606" width="12.1296296296296" style="61" customWidth="1"/>
    <col min="14607" max="14607" width="23" style="61" customWidth="1"/>
    <col min="14608" max="14608" width="9" style="61"/>
    <col min="14609" max="14609" width="12.75" style="61" customWidth="1"/>
    <col min="14610" max="14610" width="9" style="61"/>
    <col min="14611" max="14611" width="12.75" style="61" customWidth="1"/>
    <col min="14612" max="14843" width="9" style="61"/>
    <col min="14844" max="14844" width="4.87962962962963" style="61" customWidth="1"/>
    <col min="14845" max="14845" width="3.87962962962963" style="61" customWidth="1"/>
    <col min="14846" max="14846" width="8.5" style="61" customWidth="1"/>
    <col min="14847" max="14847" width="22.8796296296296" style="61" customWidth="1"/>
    <col min="14848" max="14848" width="3.87962962962963" style="61" customWidth="1"/>
    <col min="14849" max="14849" width="7.5" style="61" customWidth="1"/>
    <col min="14850" max="14854" width="9" style="61" hidden="1" customWidth="1"/>
    <col min="14855" max="14855" width="12.1296296296296" style="61" customWidth="1"/>
    <col min="14856" max="14856" width="10.25" style="61" customWidth="1"/>
    <col min="14857" max="14857" width="8.75" style="61" customWidth="1"/>
    <col min="14858" max="14858" width="10.25" style="61" customWidth="1"/>
    <col min="14859" max="14859" width="8.75" style="61" customWidth="1"/>
    <col min="14860" max="14860" width="11.25" style="61" customWidth="1"/>
    <col min="14861" max="14861" width="8.75" style="61" customWidth="1"/>
    <col min="14862" max="14862" width="12.1296296296296" style="61" customWidth="1"/>
    <col min="14863" max="14863" width="23" style="61" customWidth="1"/>
    <col min="14864" max="14864" width="9" style="61"/>
    <col min="14865" max="14865" width="12.75" style="61" customWidth="1"/>
    <col min="14866" max="14866" width="9" style="61"/>
    <col min="14867" max="14867" width="12.75" style="61" customWidth="1"/>
    <col min="14868" max="15099" width="9" style="61"/>
    <col min="15100" max="15100" width="4.87962962962963" style="61" customWidth="1"/>
    <col min="15101" max="15101" width="3.87962962962963" style="61" customWidth="1"/>
    <col min="15102" max="15102" width="8.5" style="61" customWidth="1"/>
    <col min="15103" max="15103" width="22.8796296296296" style="61" customWidth="1"/>
    <col min="15104" max="15104" width="3.87962962962963" style="61" customWidth="1"/>
    <col min="15105" max="15105" width="7.5" style="61" customWidth="1"/>
    <col min="15106" max="15110" width="9" style="61" hidden="1" customWidth="1"/>
    <col min="15111" max="15111" width="12.1296296296296" style="61" customWidth="1"/>
    <col min="15112" max="15112" width="10.25" style="61" customWidth="1"/>
    <col min="15113" max="15113" width="8.75" style="61" customWidth="1"/>
    <col min="15114" max="15114" width="10.25" style="61" customWidth="1"/>
    <col min="15115" max="15115" width="8.75" style="61" customWidth="1"/>
    <col min="15116" max="15116" width="11.25" style="61" customWidth="1"/>
    <col min="15117" max="15117" width="8.75" style="61" customWidth="1"/>
    <col min="15118" max="15118" width="12.1296296296296" style="61" customWidth="1"/>
    <col min="15119" max="15119" width="23" style="61" customWidth="1"/>
    <col min="15120" max="15120" width="9" style="61"/>
    <col min="15121" max="15121" width="12.75" style="61" customWidth="1"/>
    <col min="15122" max="15122" width="9" style="61"/>
    <col min="15123" max="15123" width="12.75" style="61" customWidth="1"/>
    <col min="15124" max="15355" width="9" style="61"/>
    <col min="15356" max="15356" width="4.87962962962963" style="61" customWidth="1"/>
    <col min="15357" max="15357" width="3.87962962962963" style="61" customWidth="1"/>
    <col min="15358" max="15358" width="8.5" style="61" customWidth="1"/>
    <col min="15359" max="15359" width="22.8796296296296" style="61" customWidth="1"/>
    <col min="15360" max="15360" width="3.87962962962963" style="61" customWidth="1"/>
    <col min="15361" max="15361" width="7.5" style="61" customWidth="1"/>
    <col min="15362" max="15366" width="9" style="61" hidden="1" customWidth="1"/>
    <col min="15367" max="15367" width="12.1296296296296" style="61" customWidth="1"/>
    <col min="15368" max="15368" width="10.25" style="61" customWidth="1"/>
    <col min="15369" max="15369" width="8.75" style="61" customWidth="1"/>
    <col min="15370" max="15370" width="10.25" style="61" customWidth="1"/>
    <col min="15371" max="15371" width="8.75" style="61" customWidth="1"/>
    <col min="15372" max="15372" width="11.25" style="61" customWidth="1"/>
    <col min="15373" max="15373" width="8.75" style="61" customWidth="1"/>
    <col min="15374" max="15374" width="12.1296296296296" style="61" customWidth="1"/>
    <col min="15375" max="15375" width="23" style="61" customWidth="1"/>
    <col min="15376" max="15376" width="9" style="61"/>
    <col min="15377" max="15377" width="12.75" style="61" customWidth="1"/>
    <col min="15378" max="15378" width="9" style="61"/>
    <col min="15379" max="15379" width="12.75" style="61" customWidth="1"/>
    <col min="15380" max="15611" width="9" style="61"/>
    <col min="15612" max="15612" width="4.87962962962963" style="61" customWidth="1"/>
    <col min="15613" max="15613" width="3.87962962962963" style="61" customWidth="1"/>
    <col min="15614" max="15614" width="8.5" style="61" customWidth="1"/>
    <col min="15615" max="15615" width="22.8796296296296" style="61" customWidth="1"/>
    <col min="15616" max="15616" width="3.87962962962963" style="61" customWidth="1"/>
    <col min="15617" max="15617" width="7.5" style="61" customWidth="1"/>
    <col min="15618" max="15622" width="9" style="61" hidden="1" customWidth="1"/>
    <col min="15623" max="15623" width="12.1296296296296" style="61" customWidth="1"/>
    <col min="15624" max="15624" width="10.25" style="61" customWidth="1"/>
    <col min="15625" max="15625" width="8.75" style="61" customWidth="1"/>
    <col min="15626" max="15626" width="10.25" style="61" customWidth="1"/>
    <col min="15627" max="15627" width="8.75" style="61" customWidth="1"/>
    <col min="15628" max="15628" width="11.25" style="61" customWidth="1"/>
    <col min="15629" max="15629" width="8.75" style="61" customWidth="1"/>
    <col min="15630" max="15630" width="12.1296296296296" style="61" customWidth="1"/>
    <col min="15631" max="15631" width="23" style="61" customWidth="1"/>
    <col min="15632" max="15632" width="9" style="61"/>
    <col min="15633" max="15633" width="12.75" style="61" customWidth="1"/>
    <col min="15634" max="15634" width="9" style="61"/>
    <col min="15635" max="15635" width="12.75" style="61" customWidth="1"/>
    <col min="15636" max="15867" width="9" style="61"/>
    <col min="15868" max="15868" width="4.87962962962963" style="61" customWidth="1"/>
    <col min="15869" max="15869" width="3.87962962962963" style="61" customWidth="1"/>
    <col min="15870" max="15870" width="8.5" style="61" customWidth="1"/>
    <col min="15871" max="15871" width="22.8796296296296" style="61" customWidth="1"/>
    <col min="15872" max="15872" width="3.87962962962963" style="61" customWidth="1"/>
    <col min="15873" max="15873" width="7.5" style="61" customWidth="1"/>
    <col min="15874" max="15878" width="9" style="61" hidden="1" customWidth="1"/>
    <col min="15879" max="15879" width="12.1296296296296" style="61" customWidth="1"/>
    <col min="15880" max="15880" width="10.25" style="61" customWidth="1"/>
    <col min="15881" max="15881" width="8.75" style="61" customWidth="1"/>
    <col min="15882" max="15882" width="10.25" style="61" customWidth="1"/>
    <col min="15883" max="15883" width="8.75" style="61" customWidth="1"/>
    <col min="15884" max="15884" width="11.25" style="61" customWidth="1"/>
    <col min="15885" max="15885" width="8.75" style="61" customWidth="1"/>
    <col min="15886" max="15886" width="12.1296296296296" style="61" customWidth="1"/>
    <col min="15887" max="15887" width="23" style="61" customWidth="1"/>
    <col min="15888" max="15888" width="9" style="61"/>
    <col min="15889" max="15889" width="12.75" style="61" customWidth="1"/>
    <col min="15890" max="15890" width="9" style="61"/>
    <col min="15891" max="15891" width="12.75" style="61" customWidth="1"/>
    <col min="15892" max="16123" width="9" style="61"/>
    <col min="16124" max="16124" width="4.87962962962963" style="61" customWidth="1"/>
    <col min="16125" max="16125" width="3.87962962962963" style="61" customWidth="1"/>
    <col min="16126" max="16126" width="8.5" style="61" customWidth="1"/>
    <col min="16127" max="16127" width="22.8796296296296" style="61" customWidth="1"/>
    <col min="16128" max="16128" width="3.87962962962963" style="61" customWidth="1"/>
    <col min="16129" max="16129" width="7.5" style="61" customWidth="1"/>
    <col min="16130" max="16134" width="9" style="61" hidden="1" customWidth="1"/>
    <col min="16135" max="16135" width="12.1296296296296" style="61" customWidth="1"/>
    <col min="16136" max="16136" width="10.25" style="61" customWidth="1"/>
    <col min="16137" max="16137" width="8.75" style="61" customWidth="1"/>
    <col min="16138" max="16138" width="10.25" style="61" customWidth="1"/>
    <col min="16139" max="16139" width="8.75" style="61" customWidth="1"/>
    <col min="16140" max="16140" width="11.25" style="61" customWidth="1"/>
    <col min="16141" max="16141" width="8.75" style="61" customWidth="1"/>
    <col min="16142" max="16142" width="12.1296296296296" style="61" customWidth="1"/>
    <col min="16143" max="16143" width="23" style="61" customWidth="1"/>
    <col min="16144" max="16144" width="9" style="61"/>
    <col min="16145" max="16145" width="12.75" style="61" customWidth="1"/>
    <col min="16146" max="16146" width="9" style="61"/>
    <col min="16147" max="16147" width="12.75" style="61" customWidth="1"/>
    <col min="16148" max="16384" width="9" style="61"/>
  </cols>
  <sheetData>
    <row r="1" ht="33.95" customHeight="1" spans="1:13">
      <c r="A1" s="63" t="s">
        <v>98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ht="12.95" customHeight="1" spans="1:13">
      <c r="A2" s="64" t="s">
        <v>29</v>
      </c>
      <c r="B2" s="64" t="s">
        <v>99</v>
      </c>
      <c r="C2" s="64" t="s">
        <v>100</v>
      </c>
      <c r="D2" s="64" t="s">
        <v>101</v>
      </c>
      <c r="E2" s="65" t="s">
        <v>102</v>
      </c>
      <c r="F2" s="66" t="s">
        <v>103</v>
      </c>
      <c r="G2" s="66"/>
      <c r="H2" s="66"/>
      <c r="I2" s="66"/>
      <c r="J2" s="66"/>
      <c r="K2" s="66" t="s">
        <v>104</v>
      </c>
      <c r="L2" s="66" t="s">
        <v>105</v>
      </c>
      <c r="M2" s="66" t="s">
        <v>34</v>
      </c>
    </row>
    <row r="3" ht="38.1" customHeight="1" spans="1:13">
      <c r="A3" s="64"/>
      <c r="B3" s="64"/>
      <c r="C3" s="64"/>
      <c r="D3" s="64"/>
      <c r="E3" s="65"/>
      <c r="F3" s="66" t="s">
        <v>106</v>
      </c>
      <c r="G3" s="66" t="s">
        <v>107</v>
      </c>
      <c r="H3" s="66" t="s">
        <v>108</v>
      </c>
      <c r="I3" s="66" t="s">
        <v>109</v>
      </c>
      <c r="J3" s="66" t="s">
        <v>110</v>
      </c>
      <c r="K3" s="66"/>
      <c r="L3" s="66"/>
      <c r="M3" s="66"/>
    </row>
    <row r="4" ht="9.95" customHeight="1" spans="1:13">
      <c r="A4" s="64"/>
      <c r="B4" s="64"/>
      <c r="C4" s="64"/>
      <c r="D4" s="64"/>
      <c r="E4" s="65"/>
      <c r="F4" s="66"/>
      <c r="G4" s="66"/>
      <c r="H4" s="66"/>
      <c r="I4" s="66">
        <v>0.2</v>
      </c>
      <c r="J4" s="66">
        <v>0.09</v>
      </c>
      <c r="K4" s="66"/>
      <c r="L4" s="66"/>
      <c r="M4" s="66"/>
    </row>
    <row r="5" spans="1:13">
      <c r="A5" s="67" t="s">
        <v>69</v>
      </c>
      <c r="B5" s="68" t="s">
        <v>111</v>
      </c>
      <c r="C5" s="68"/>
      <c r="D5" s="69"/>
      <c r="E5" s="69"/>
      <c r="F5" s="70"/>
      <c r="G5" s="71"/>
      <c r="H5" s="70"/>
      <c r="I5" s="92"/>
      <c r="J5" s="93"/>
      <c r="K5" s="94"/>
      <c r="L5" s="94"/>
      <c r="M5" s="95"/>
    </row>
    <row r="6" spans="1:13">
      <c r="A6" s="67"/>
      <c r="B6" s="68" t="s">
        <v>112</v>
      </c>
      <c r="C6" s="68"/>
      <c r="D6" s="69"/>
      <c r="E6" s="69"/>
      <c r="F6" s="70"/>
      <c r="G6" s="71"/>
      <c r="H6" s="70"/>
      <c r="I6" s="92"/>
      <c r="J6" s="93"/>
      <c r="K6" s="94"/>
      <c r="L6" s="94"/>
      <c r="M6" s="95"/>
    </row>
    <row r="7" ht="64.8" spans="1:13">
      <c r="A7" s="69">
        <v>1</v>
      </c>
      <c r="B7" s="72" t="s">
        <v>113</v>
      </c>
      <c r="C7" s="72" t="s">
        <v>114</v>
      </c>
      <c r="D7" s="69" t="s">
        <v>115</v>
      </c>
      <c r="E7" s="70">
        <f>856.6*0+431.37+528.79+482.98-28.22-726.23</f>
        <v>688.69</v>
      </c>
      <c r="F7" s="73">
        <v>1</v>
      </c>
      <c r="G7" s="74"/>
      <c r="H7" s="70">
        <v>1</v>
      </c>
      <c r="I7" s="96">
        <f>(F7+G7+H7)*$I$4</f>
        <v>0.4</v>
      </c>
      <c r="J7" s="97">
        <f>(I7+H7+G7+F7)*$J$4</f>
        <v>0.216</v>
      </c>
      <c r="K7" s="98">
        <f t="shared" ref="K7:K15" si="0">F7+G7+H7+I7+J7</f>
        <v>2.616</v>
      </c>
      <c r="L7" s="98">
        <f t="shared" ref="L7:L20" si="1">K7*E7</f>
        <v>1801.61304</v>
      </c>
      <c r="M7" s="98"/>
    </row>
    <row r="8" ht="64.8" spans="1:13">
      <c r="A8" s="69">
        <v>2</v>
      </c>
      <c r="B8" s="72" t="s">
        <v>116</v>
      </c>
      <c r="C8" s="72" t="s">
        <v>117</v>
      </c>
      <c r="D8" s="69" t="s">
        <v>118</v>
      </c>
      <c r="E8" s="70">
        <f>(856.6*0+431.37+528.79+482.98-28.22-726.23)*0.2</f>
        <v>137.738</v>
      </c>
      <c r="F8" s="73">
        <v>50</v>
      </c>
      <c r="G8" s="74">
        <v>200</v>
      </c>
      <c r="H8" s="70">
        <v>40</v>
      </c>
      <c r="I8" s="96">
        <f>(F8+G8+H8)*$I$4</f>
        <v>58</v>
      </c>
      <c r="J8" s="97">
        <f>(I8+H8+G8+F8)*$J$4</f>
        <v>31.32</v>
      </c>
      <c r="K8" s="98">
        <f t="shared" si="0"/>
        <v>379.32</v>
      </c>
      <c r="L8" s="98">
        <f t="shared" si="1"/>
        <v>52246.77816</v>
      </c>
      <c r="M8" s="98"/>
    </row>
    <row r="9" ht="86.4" spans="1:13">
      <c r="A9" s="69">
        <v>3</v>
      </c>
      <c r="B9" s="72" t="s">
        <v>119</v>
      </c>
      <c r="C9" s="72" t="s">
        <v>120</v>
      </c>
      <c r="D9" s="69" t="s">
        <v>118</v>
      </c>
      <c r="E9" s="70">
        <f>(856.6*0+431.37+528.79+482.98-28.22-726.23)*0.2</f>
        <v>137.738</v>
      </c>
      <c r="F9" s="74">
        <v>80</v>
      </c>
      <c r="G9" s="65">
        <v>420</v>
      </c>
      <c r="H9" s="70">
        <v>40</v>
      </c>
      <c r="I9" s="96">
        <f>(F9+G9+H9)*$I$4</f>
        <v>108</v>
      </c>
      <c r="J9" s="97">
        <f>(I9+H9+G9+F9)*$J$4</f>
        <v>58.32</v>
      </c>
      <c r="K9" s="98">
        <f t="shared" si="0"/>
        <v>706.32</v>
      </c>
      <c r="L9" s="98">
        <f t="shared" si="1"/>
        <v>97287.10416</v>
      </c>
      <c r="M9" s="98"/>
    </row>
    <row r="10" ht="118.8" spans="1:13">
      <c r="A10" s="69">
        <v>4</v>
      </c>
      <c r="B10" s="72" t="s">
        <v>121</v>
      </c>
      <c r="C10" s="72" t="s">
        <v>122</v>
      </c>
      <c r="D10" s="69" t="s">
        <v>115</v>
      </c>
      <c r="E10" s="70">
        <f>856.6*0+431.37+528.79+482.98-28.22-726.23</f>
        <v>688.69</v>
      </c>
      <c r="F10" s="73">
        <v>18</v>
      </c>
      <c r="G10" s="74">
        <f>120-5</f>
        <v>115</v>
      </c>
      <c r="H10" s="70">
        <f t="shared" ref="H10" si="2">G10*0.1</f>
        <v>11.5</v>
      </c>
      <c r="I10" s="96">
        <f>(F10+G10+H10)*$I$4</f>
        <v>28.9</v>
      </c>
      <c r="J10" s="97">
        <f>(I10+H10+G10+F10)*$J$4</f>
        <v>15.606</v>
      </c>
      <c r="K10" s="98">
        <f t="shared" si="0"/>
        <v>189.006</v>
      </c>
      <c r="L10" s="98">
        <f t="shared" si="1"/>
        <v>130166.54214</v>
      </c>
      <c r="M10" s="66" t="s">
        <v>123</v>
      </c>
    </row>
    <row r="11" ht="86.4" spans="1:13">
      <c r="A11" s="69">
        <v>5</v>
      </c>
      <c r="B11" s="72" t="s">
        <v>124</v>
      </c>
      <c r="C11" s="72" t="s">
        <v>125</v>
      </c>
      <c r="D11" s="69" t="s">
        <v>126</v>
      </c>
      <c r="E11" s="70">
        <f>9.87+19.57+1.09+0.972+0.975+0.927+0.884+3.478+2.295+1.423+2.664+2.473+1.323+8.61+2.156+0.1+0.997+5.642+4.727+12.8+4.712+4.63+4.625+10.15+4.55+4.31+1.282+1.014+1.465+1.57+0.83+0.831+9.08+0.466+0.354+0.347+0.347+0.346+0.364+0.386+0.353+0.2</f>
        <v>135.188</v>
      </c>
      <c r="F11" s="73">
        <v>13.5</v>
      </c>
      <c r="G11" s="74">
        <v>0</v>
      </c>
      <c r="H11" s="70">
        <v>9</v>
      </c>
      <c r="I11" s="96">
        <f>(F11+G11*0+H11)*$I$4</f>
        <v>4.5</v>
      </c>
      <c r="J11" s="97">
        <f>(I11+H11+G11*0+F11)*$J$4</f>
        <v>2.43</v>
      </c>
      <c r="K11" s="98">
        <f t="shared" si="0"/>
        <v>29.43</v>
      </c>
      <c r="L11" s="98">
        <f t="shared" si="1"/>
        <v>3978.58284</v>
      </c>
      <c r="M11" s="98"/>
    </row>
    <row r="12" ht="97.2" spans="1:13">
      <c r="A12" s="69">
        <v>6</v>
      </c>
      <c r="B12" s="72" t="s">
        <v>127</v>
      </c>
      <c r="C12" s="72" t="s">
        <v>128</v>
      </c>
      <c r="D12" s="69" t="s">
        <v>126</v>
      </c>
      <c r="E12" s="70">
        <f>0.321+0.798+0.255+0.219+0.135+0.13+0.18+0.181+0.185+0.129+0.416+0.643+0.462+0.35+0.512+0.315+0.341+0.812+0.187+0.177+0.157+0.208+(0.161+0.161+0.104+0.12+0.085+0.068)*3+0.155+0.093+0.117+0.138+0.111</f>
        <v>9.824</v>
      </c>
      <c r="F12" s="73">
        <v>22.5</v>
      </c>
      <c r="G12" s="74">
        <v>0</v>
      </c>
      <c r="H12" s="70">
        <v>3.02</v>
      </c>
      <c r="I12" s="96">
        <f>(F12+G12*0+H12)*$I$4</f>
        <v>5.104</v>
      </c>
      <c r="J12" s="97">
        <f>(I12+H12+G12*0+F12)*$J$4</f>
        <v>2.75616</v>
      </c>
      <c r="K12" s="98">
        <f t="shared" si="0"/>
        <v>33.38016</v>
      </c>
      <c r="L12" s="98">
        <f t="shared" si="1"/>
        <v>327.92669184</v>
      </c>
      <c r="M12" s="98"/>
    </row>
    <row r="13" ht="54" spans="1:13">
      <c r="A13" s="69">
        <v>7</v>
      </c>
      <c r="B13" s="72" t="s">
        <v>129</v>
      </c>
      <c r="C13" s="72" t="s">
        <v>130</v>
      </c>
      <c r="D13" s="69" t="s">
        <v>126</v>
      </c>
      <c r="E13" s="70">
        <v>581.29</v>
      </c>
      <c r="F13" s="73">
        <v>2.25</v>
      </c>
      <c r="G13" s="74">
        <v>15</v>
      </c>
      <c r="H13" s="70">
        <v>1.5</v>
      </c>
      <c r="I13" s="96">
        <f>(F13+G13+H13)*$I$4</f>
        <v>3.75</v>
      </c>
      <c r="J13" s="97">
        <f>(I13+H13+G13+F13)*$J$4</f>
        <v>2.025</v>
      </c>
      <c r="K13" s="98">
        <f t="shared" si="0"/>
        <v>24.525</v>
      </c>
      <c r="L13" s="98">
        <f t="shared" si="1"/>
        <v>14256.13725</v>
      </c>
      <c r="M13" s="98"/>
    </row>
    <row r="14" ht="43.2" spans="1:13">
      <c r="A14" s="69">
        <v>8</v>
      </c>
      <c r="B14" s="72" t="s">
        <v>131</v>
      </c>
      <c r="C14" s="72" t="s">
        <v>132</v>
      </c>
      <c r="D14" s="69" t="s">
        <v>133</v>
      </c>
      <c r="E14" s="70">
        <v>1</v>
      </c>
      <c r="F14" s="73">
        <v>2311.42</v>
      </c>
      <c r="G14" s="74">
        <v>4790.34</v>
      </c>
      <c r="H14" s="70">
        <v>558.279999999999</v>
      </c>
      <c r="I14" s="96">
        <f>(F14+G14+H14)*$I$4</f>
        <v>1532.008</v>
      </c>
      <c r="J14" s="97">
        <f>(I14+H14+G14+F14)*$J$4</f>
        <v>827.28432</v>
      </c>
      <c r="K14" s="98">
        <f t="shared" si="0"/>
        <v>10019.33232</v>
      </c>
      <c r="L14" s="98">
        <f t="shared" si="1"/>
        <v>10019.33232</v>
      </c>
      <c r="M14" s="98"/>
    </row>
    <row r="15" ht="48" customHeight="1" spans="1:13">
      <c r="A15" s="69">
        <v>9</v>
      </c>
      <c r="B15" s="72" t="s">
        <v>134</v>
      </c>
      <c r="C15" s="72" t="s">
        <v>135</v>
      </c>
      <c r="D15" s="69" t="s">
        <v>115</v>
      </c>
      <c r="E15" s="70">
        <f>95.2*0+(4.15+5.45)*15.8*0.5+4.5*4.2*0.5-(5.9+8)*3.6*0.5</f>
        <v>60.27</v>
      </c>
      <c r="F15" s="73">
        <f>2*500*4/85.29</f>
        <v>46.8988158049009</v>
      </c>
      <c r="G15" s="74"/>
      <c r="H15" s="70">
        <f>10000/85.29</f>
        <v>117.247039512252</v>
      </c>
      <c r="I15" s="96">
        <f>(F15+G15+H15)*$I$4</f>
        <v>32.8291710634306</v>
      </c>
      <c r="J15" s="97">
        <f>(I15+H15+G15+F15)*$J$4</f>
        <v>17.7277523742525</v>
      </c>
      <c r="K15" s="98">
        <f t="shared" si="0"/>
        <v>214.702778754836</v>
      </c>
      <c r="L15" s="98">
        <f t="shared" si="1"/>
        <v>12940.136475554</v>
      </c>
      <c r="M15" s="66" t="s">
        <v>136</v>
      </c>
    </row>
    <row r="16" ht="31" customHeight="1" spans="1:13">
      <c r="A16" s="69">
        <v>10</v>
      </c>
      <c r="B16" s="72" t="s">
        <v>137</v>
      </c>
      <c r="C16" s="72" t="s">
        <v>138</v>
      </c>
      <c r="D16" s="69" t="s">
        <v>118</v>
      </c>
      <c r="E16" s="70">
        <f>95.2*0+(4.15+5.45)*15.8*0.5*(1.45+1.28)*0.5+4.5*4.2*0.5*1.55+248.05*0.1+49.37*0.15*0.25-(5.9+8)*3.6*0.5*1.3</f>
        <v>112.299475</v>
      </c>
      <c r="F16" s="73"/>
      <c r="G16" s="74"/>
      <c r="H16" s="70"/>
      <c r="I16" s="96"/>
      <c r="J16" s="97"/>
      <c r="K16" s="98">
        <v>40</v>
      </c>
      <c r="L16" s="98">
        <f t="shared" si="1"/>
        <v>4491.979</v>
      </c>
      <c r="M16" s="66" t="s">
        <v>136</v>
      </c>
    </row>
    <row r="17" ht="36" customHeight="1" spans="1:13">
      <c r="A17" s="69">
        <v>11</v>
      </c>
      <c r="B17" s="72" t="s">
        <v>139</v>
      </c>
      <c r="C17" s="72" t="s">
        <v>140</v>
      </c>
      <c r="D17" s="69" t="s">
        <v>115</v>
      </c>
      <c r="E17" s="70">
        <f>126.71+106.27+15.07</f>
        <v>248.05</v>
      </c>
      <c r="F17" s="73">
        <v>44.26</v>
      </c>
      <c r="G17" s="74"/>
      <c r="H17" s="70">
        <v>55.2</v>
      </c>
      <c r="I17" s="96">
        <f t="shared" ref="I17:I44" si="3">(F17+G17+H17)*$I$4</f>
        <v>19.892</v>
      </c>
      <c r="J17" s="97">
        <f t="shared" ref="J17:J44" si="4">(I17+H17+G17+F17)*$J$4</f>
        <v>10.74168</v>
      </c>
      <c r="K17" s="98">
        <f t="shared" ref="K17:K30" si="5">F17+G17+H17+I17+J17</f>
        <v>130.09368</v>
      </c>
      <c r="L17" s="98">
        <f t="shared" si="1"/>
        <v>32269.737324</v>
      </c>
      <c r="M17" s="98"/>
    </row>
    <row r="18" ht="21" customHeight="1" spans="1:13">
      <c r="A18" s="69">
        <v>12</v>
      </c>
      <c r="B18" s="72" t="s">
        <v>141</v>
      </c>
      <c r="C18" s="72" t="s">
        <v>142</v>
      </c>
      <c r="D18" s="69" t="s">
        <v>126</v>
      </c>
      <c r="E18" s="70">
        <f>4.2+3.6+2.4+17.4+7.7+14.07</f>
        <v>49.37</v>
      </c>
      <c r="F18" s="73">
        <v>10</v>
      </c>
      <c r="G18" s="74"/>
      <c r="H18" s="70">
        <v>8.56</v>
      </c>
      <c r="I18" s="96">
        <f t="shared" si="3"/>
        <v>3.712</v>
      </c>
      <c r="J18" s="97">
        <f t="shared" si="4"/>
        <v>2.00448</v>
      </c>
      <c r="K18" s="98">
        <f t="shared" si="5"/>
        <v>24.27648</v>
      </c>
      <c r="L18" s="98">
        <f t="shared" si="1"/>
        <v>1198.5298176</v>
      </c>
      <c r="M18" s="98"/>
    </row>
    <row r="19" ht="21" customHeight="1" spans="1:13">
      <c r="A19" s="69">
        <v>13</v>
      </c>
      <c r="B19" s="72" t="s">
        <v>143</v>
      </c>
      <c r="C19" s="72" t="s">
        <v>144</v>
      </c>
      <c r="D19" s="69" t="s">
        <v>145</v>
      </c>
      <c r="E19" s="70">
        <v>1</v>
      </c>
      <c r="F19" s="73">
        <v>500</v>
      </c>
      <c r="G19" s="74">
        <v>16.38</v>
      </c>
      <c r="H19" s="70">
        <v>1000</v>
      </c>
      <c r="I19" s="96">
        <f t="shared" si="3"/>
        <v>303.276</v>
      </c>
      <c r="J19" s="97">
        <f t="shared" si="4"/>
        <v>163.76904</v>
      </c>
      <c r="K19" s="98">
        <f t="shared" si="5"/>
        <v>1983.42504</v>
      </c>
      <c r="L19" s="98">
        <f t="shared" si="1"/>
        <v>1983.42504</v>
      </c>
      <c r="M19" s="98"/>
    </row>
    <row r="20" ht="20.1" customHeight="1" spans="1:13">
      <c r="A20" s="69">
        <v>14</v>
      </c>
      <c r="B20" s="72" t="s">
        <v>146</v>
      </c>
      <c r="C20" s="72" t="s">
        <v>147</v>
      </c>
      <c r="D20" s="69" t="s">
        <v>133</v>
      </c>
      <c r="E20" s="70">
        <v>1</v>
      </c>
      <c r="F20" s="73">
        <v>2615.25</v>
      </c>
      <c r="G20" s="74">
        <v>7569</v>
      </c>
      <c r="H20" s="70">
        <v>286.61</v>
      </c>
      <c r="I20" s="96">
        <f t="shared" si="3"/>
        <v>2094.172</v>
      </c>
      <c r="J20" s="97">
        <f t="shared" si="4"/>
        <v>1130.85288</v>
      </c>
      <c r="K20" s="98">
        <f t="shared" si="5"/>
        <v>13695.88488</v>
      </c>
      <c r="L20" s="98">
        <f t="shared" si="1"/>
        <v>13695.88488</v>
      </c>
      <c r="M20" s="98"/>
    </row>
    <row r="21" spans="1:13">
      <c r="A21" s="69"/>
      <c r="B21" s="68" t="s">
        <v>148</v>
      </c>
      <c r="C21" s="72"/>
      <c r="D21" s="69"/>
      <c r="E21" s="70"/>
      <c r="F21" s="73"/>
      <c r="G21" s="74"/>
      <c r="H21" s="70"/>
      <c r="I21" s="96"/>
      <c r="J21" s="97"/>
      <c r="K21" s="98"/>
      <c r="L21" s="98"/>
      <c r="M21" s="98"/>
    </row>
    <row r="22" ht="64.8" spans="1:13">
      <c r="A22" s="69">
        <v>1</v>
      </c>
      <c r="B22" s="72" t="s">
        <v>113</v>
      </c>
      <c r="C22" s="72" t="s">
        <v>149</v>
      </c>
      <c r="D22" s="69" t="s">
        <v>115</v>
      </c>
      <c r="E22" s="70">
        <v>273.73</v>
      </c>
      <c r="F22" s="73">
        <v>1</v>
      </c>
      <c r="G22" s="74"/>
      <c r="H22" s="70">
        <v>1</v>
      </c>
      <c r="I22" s="96">
        <f t="shared" si="3"/>
        <v>0.4</v>
      </c>
      <c r="J22" s="97">
        <f t="shared" si="4"/>
        <v>0.216</v>
      </c>
      <c r="K22" s="98">
        <f t="shared" si="5"/>
        <v>2.616</v>
      </c>
      <c r="L22" s="98">
        <f t="shared" ref="L22:L30" si="6">K22*E22</f>
        <v>716.07768</v>
      </c>
      <c r="M22" s="98"/>
    </row>
    <row r="23" ht="64.8" spans="1:13">
      <c r="A23" s="69">
        <v>2</v>
      </c>
      <c r="B23" s="72" t="s">
        <v>116</v>
      </c>
      <c r="C23" s="72" t="s">
        <v>117</v>
      </c>
      <c r="D23" s="69" t="s">
        <v>118</v>
      </c>
      <c r="E23" s="70">
        <f>273.73*0.2</f>
        <v>54.746</v>
      </c>
      <c r="F23" s="73">
        <v>50</v>
      </c>
      <c r="G23" s="74">
        <v>200</v>
      </c>
      <c r="H23" s="70">
        <v>40</v>
      </c>
      <c r="I23" s="96">
        <f t="shared" si="3"/>
        <v>58</v>
      </c>
      <c r="J23" s="97">
        <f t="shared" si="4"/>
        <v>31.32</v>
      </c>
      <c r="K23" s="98">
        <f t="shared" si="5"/>
        <v>379.32</v>
      </c>
      <c r="L23" s="98">
        <f t="shared" si="6"/>
        <v>20766.25272</v>
      </c>
      <c r="M23" s="98"/>
    </row>
    <row r="24" ht="86.4" spans="1:13">
      <c r="A24" s="69">
        <v>3</v>
      </c>
      <c r="B24" s="72" t="s">
        <v>119</v>
      </c>
      <c r="C24" s="72" t="s">
        <v>120</v>
      </c>
      <c r="D24" s="69" t="s">
        <v>118</v>
      </c>
      <c r="E24" s="70">
        <f>273.73*0.2</f>
        <v>54.746</v>
      </c>
      <c r="F24" s="74">
        <v>80</v>
      </c>
      <c r="G24" s="65">
        <v>420</v>
      </c>
      <c r="H24" s="70">
        <v>40</v>
      </c>
      <c r="I24" s="96">
        <f t="shared" si="3"/>
        <v>108</v>
      </c>
      <c r="J24" s="97">
        <f t="shared" si="4"/>
        <v>58.32</v>
      </c>
      <c r="K24" s="98">
        <f t="shared" si="5"/>
        <v>706.32</v>
      </c>
      <c r="L24" s="98">
        <f t="shared" si="6"/>
        <v>38668.19472</v>
      </c>
      <c r="M24" s="98"/>
    </row>
    <row r="25" ht="86.4" spans="1:13">
      <c r="A25" s="69">
        <v>4</v>
      </c>
      <c r="B25" s="72" t="s">
        <v>150</v>
      </c>
      <c r="C25" s="72" t="s">
        <v>151</v>
      </c>
      <c r="D25" s="69" t="s">
        <v>118</v>
      </c>
      <c r="E25" s="70">
        <f>0.252*0</f>
        <v>0</v>
      </c>
      <c r="F25" s="74">
        <v>80</v>
      </c>
      <c r="G25" s="65">
        <v>410</v>
      </c>
      <c r="H25" s="70">
        <v>40</v>
      </c>
      <c r="I25" s="96">
        <f t="shared" si="3"/>
        <v>106</v>
      </c>
      <c r="J25" s="97">
        <f t="shared" si="4"/>
        <v>57.24</v>
      </c>
      <c r="K25" s="98">
        <f t="shared" si="5"/>
        <v>693.24</v>
      </c>
      <c r="L25" s="98">
        <f t="shared" si="6"/>
        <v>0</v>
      </c>
      <c r="M25" s="98"/>
    </row>
    <row r="26" ht="118.8" spans="1:13">
      <c r="A26" s="69">
        <v>5</v>
      </c>
      <c r="B26" s="72" t="s">
        <v>121</v>
      </c>
      <c r="C26" s="72" t="s">
        <v>122</v>
      </c>
      <c r="D26" s="69" t="s">
        <v>115</v>
      </c>
      <c r="E26" s="70">
        <v>273.73</v>
      </c>
      <c r="F26" s="73">
        <v>15</v>
      </c>
      <c r="G26" s="74">
        <f>120-5</f>
        <v>115</v>
      </c>
      <c r="H26" s="70">
        <f t="shared" ref="H26" si="7">G26*0.1</f>
        <v>11.5</v>
      </c>
      <c r="I26" s="96">
        <f t="shared" si="3"/>
        <v>28.3</v>
      </c>
      <c r="J26" s="97">
        <f t="shared" si="4"/>
        <v>15.282</v>
      </c>
      <c r="K26" s="98">
        <f t="shared" si="5"/>
        <v>185.082</v>
      </c>
      <c r="L26" s="98">
        <f t="shared" si="6"/>
        <v>50662.49586</v>
      </c>
      <c r="M26" s="66" t="s">
        <v>123</v>
      </c>
    </row>
    <row r="27" ht="43.2" spans="1:13">
      <c r="A27" s="69">
        <v>6</v>
      </c>
      <c r="B27" s="72" t="s">
        <v>152</v>
      </c>
      <c r="C27" s="72" t="s">
        <v>153</v>
      </c>
      <c r="D27" s="69" t="s">
        <v>154</v>
      </c>
      <c r="E27" s="70">
        <v>42</v>
      </c>
      <c r="F27" s="75">
        <v>13.19</v>
      </c>
      <c r="G27" s="75">
        <v>45.36</v>
      </c>
      <c r="H27" s="75"/>
      <c r="I27" s="96">
        <f t="shared" si="3"/>
        <v>11.71</v>
      </c>
      <c r="J27" s="97">
        <f t="shared" si="4"/>
        <v>6.3234</v>
      </c>
      <c r="K27" s="98">
        <f t="shared" si="5"/>
        <v>76.5834</v>
      </c>
      <c r="L27" s="98">
        <f t="shared" si="6"/>
        <v>3216.5028</v>
      </c>
      <c r="M27" s="98"/>
    </row>
    <row r="28" ht="86.4" spans="1:13">
      <c r="A28" s="69">
        <v>7</v>
      </c>
      <c r="B28" s="72" t="s">
        <v>124</v>
      </c>
      <c r="C28" s="72" t="s">
        <v>155</v>
      </c>
      <c r="D28" s="69" t="s">
        <v>126</v>
      </c>
      <c r="E28" s="70">
        <v>51.8</v>
      </c>
      <c r="F28" s="73">
        <v>13.5</v>
      </c>
      <c r="G28" s="74">
        <f>90*0</f>
        <v>0</v>
      </c>
      <c r="H28" s="70">
        <v>9</v>
      </c>
      <c r="I28" s="96">
        <f t="shared" si="3"/>
        <v>4.5</v>
      </c>
      <c r="J28" s="97">
        <f t="shared" si="4"/>
        <v>2.43</v>
      </c>
      <c r="K28" s="98">
        <f t="shared" si="5"/>
        <v>29.43</v>
      </c>
      <c r="L28" s="98">
        <f t="shared" si="6"/>
        <v>1524.474</v>
      </c>
      <c r="M28" s="98"/>
    </row>
    <row r="29" ht="97.2" spans="1:13">
      <c r="A29" s="69">
        <v>8</v>
      </c>
      <c r="B29" s="72" t="s">
        <v>127</v>
      </c>
      <c r="C29" s="72" t="s">
        <v>156</v>
      </c>
      <c r="D29" s="69" t="s">
        <v>126</v>
      </c>
      <c r="E29" s="70">
        <v>3.3</v>
      </c>
      <c r="F29" s="73">
        <v>22.5</v>
      </c>
      <c r="G29" s="74">
        <f>150*0</f>
        <v>0</v>
      </c>
      <c r="H29" s="70">
        <v>3.02</v>
      </c>
      <c r="I29" s="96">
        <f t="shared" si="3"/>
        <v>5.104</v>
      </c>
      <c r="J29" s="97">
        <f t="shared" si="4"/>
        <v>2.75616</v>
      </c>
      <c r="K29" s="98">
        <f t="shared" si="5"/>
        <v>33.38016</v>
      </c>
      <c r="L29" s="98">
        <f t="shared" si="6"/>
        <v>110.154528</v>
      </c>
      <c r="M29" s="98"/>
    </row>
    <row r="30" ht="54" spans="1:13">
      <c r="A30" s="69">
        <v>9</v>
      </c>
      <c r="B30" s="72" t="s">
        <v>157</v>
      </c>
      <c r="C30" s="72" t="s">
        <v>158</v>
      </c>
      <c r="D30" s="69" t="s">
        <v>126</v>
      </c>
      <c r="E30" s="70">
        <v>505.453846153846</v>
      </c>
      <c r="F30" s="73">
        <v>2.25</v>
      </c>
      <c r="G30" s="74">
        <v>15</v>
      </c>
      <c r="H30" s="70">
        <v>1.5</v>
      </c>
      <c r="I30" s="96">
        <f t="shared" si="3"/>
        <v>3.75</v>
      </c>
      <c r="J30" s="97">
        <f t="shared" si="4"/>
        <v>2.025</v>
      </c>
      <c r="K30" s="98">
        <f t="shared" si="5"/>
        <v>24.525</v>
      </c>
      <c r="L30" s="98">
        <f t="shared" si="6"/>
        <v>12396.2555769231</v>
      </c>
      <c r="M30" s="98"/>
    </row>
    <row r="31" spans="1:13">
      <c r="A31" s="67" t="s">
        <v>92</v>
      </c>
      <c r="B31" s="68" t="s">
        <v>159</v>
      </c>
      <c r="C31" s="68"/>
      <c r="D31" s="69"/>
      <c r="E31" s="70"/>
      <c r="F31" s="73"/>
      <c r="G31" s="74"/>
      <c r="H31" s="70"/>
      <c r="I31" s="96"/>
      <c r="J31" s="97"/>
      <c r="K31" s="98"/>
      <c r="L31" s="98"/>
      <c r="M31" s="98"/>
    </row>
    <row r="32" spans="1:13">
      <c r="A32" s="67"/>
      <c r="B32" s="76" t="s">
        <v>160</v>
      </c>
      <c r="C32" s="76"/>
      <c r="D32" s="71"/>
      <c r="E32" s="70"/>
      <c r="F32" s="73"/>
      <c r="G32" s="74"/>
      <c r="H32" s="70"/>
      <c r="I32" s="96"/>
      <c r="J32" s="97"/>
      <c r="K32" s="98"/>
      <c r="L32" s="98"/>
      <c r="M32" s="98"/>
    </row>
    <row r="33" ht="64.8" spans="1:13">
      <c r="A33" s="69">
        <v>1</v>
      </c>
      <c r="B33" s="72" t="s">
        <v>161</v>
      </c>
      <c r="C33" s="72" t="s">
        <v>114</v>
      </c>
      <c r="D33" s="69" t="s">
        <v>115</v>
      </c>
      <c r="E33" s="69"/>
      <c r="F33" s="73">
        <v>1</v>
      </c>
      <c r="G33" s="74"/>
      <c r="H33" s="70">
        <v>1</v>
      </c>
      <c r="I33" s="96">
        <f t="shared" si="3"/>
        <v>0.4</v>
      </c>
      <c r="J33" s="97">
        <f t="shared" si="4"/>
        <v>0.216</v>
      </c>
      <c r="K33" s="98">
        <f t="shared" ref="K33:K66" si="8">F33+G33+H33+I33+J33</f>
        <v>2.616</v>
      </c>
      <c r="L33" s="98">
        <f t="shared" ref="L33:L66" si="9">K33*E33</f>
        <v>0</v>
      </c>
      <c r="M33" s="66" t="s">
        <v>162</v>
      </c>
    </row>
    <row r="34" ht="108" spans="1:13">
      <c r="A34" s="69">
        <v>2</v>
      </c>
      <c r="B34" s="72" t="s">
        <v>163</v>
      </c>
      <c r="C34" s="72" t="s">
        <v>164</v>
      </c>
      <c r="D34" s="69" t="s">
        <v>115</v>
      </c>
      <c r="E34" s="69"/>
      <c r="F34" s="77">
        <v>35</v>
      </c>
      <c r="G34" s="74">
        <v>170</v>
      </c>
      <c r="H34" s="70">
        <v>30</v>
      </c>
      <c r="I34" s="96">
        <f t="shared" si="3"/>
        <v>47</v>
      </c>
      <c r="J34" s="97">
        <f t="shared" si="4"/>
        <v>25.38</v>
      </c>
      <c r="K34" s="98">
        <f t="shared" si="8"/>
        <v>307.38</v>
      </c>
      <c r="L34" s="98">
        <f t="shared" si="9"/>
        <v>0</v>
      </c>
      <c r="M34" s="66" t="s">
        <v>162</v>
      </c>
    </row>
    <row r="35" ht="32.4" spans="1:13">
      <c r="A35" s="69">
        <v>3</v>
      </c>
      <c r="B35" s="78" t="s">
        <v>165</v>
      </c>
      <c r="C35" s="78" t="s">
        <v>166</v>
      </c>
      <c r="D35" s="79" t="s">
        <v>115</v>
      </c>
      <c r="E35" s="79">
        <f>38.34+61.14-13.8</f>
        <v>85.68</v>
      </c>
      <c r="F35" s="80">
        <v>20</v>
      </c>
      <c r="G35" s="81">
        <v>55</v>
      </c>
      <c r="H35" s="82">
        <v>10</v>
      </c>
      <c r="I35" s="99">
        <f t="shared" si="3"/>
        <v>17</v>
      </c>
      <c r="J35" s="100">
        <f t="shared" si="4"/>
        <v>9.18</v>
      </c>
      <c r="K35" s="101">
        <f t="shared" si="8"/>
        <v>111.18</v>
      </c>
      <c r="L35" s="101">
        <f t="shared" si="9"/>
        <v>9525.9024</v>
      </c>
      <c r="M35" s="102" t="s">
        <v>167</v>
      </c>
    </row>
    <row r="36" ht="108" spans="1:13">
      <c r="A36" s="69">
        <v>4</v>
      </c>
      <c r="B36" s="72" t="s">
        <v>163</v>
      </c>
      <c r="C36" s="72" t="s">
        <v>168</v>
      </c>
      <c r="D36" s="69" t="s">
        <v>115</v>
      </c>
      <c r="E36" s="69"/>
      <c r="F36" s="77">
        <v>35</v>
      </c>
      <c r="G36" s="74">
        <v>170</v>
      </c>
      <c r="H36" s="70">
        <v>30</v>
      </c>
      <c r="I36" s="96">
        <f t="shared" si="3"/>
        <v>47</v>
      </c>
      <c r="J36" s="97">
        <f t="shared" si="4"/>
        <v>25.38</v>
      </c>
      <c r="K36" s="98">
        <f t="shared" si="8"/>
        <v>307.38</v>
      </c>
      <c r="L36" s="98">
        <f t="shared" si="9"/>
        <v>0</v>
      </c>
      <c r="M36" s="98"/>
    </row>
    <row r="37" ht="140.4" spans="1:13">
      <c r="A37" s="69">
        <v>5</v>
      </c>
      <c r="B37" s="72" t="s">
        <v>165</v>
      </c>
      <c r="C37" s="72" t="s">
        <v>169</v>
      </c>
      <c r="D37" s="69" t="s">
        <v>115</v>
      </c>
      <c r="E37" s="69"/>
      <c r="F37" s="77">
        <v>30</v>
      </c>
      <c r="G37" s="74">
        <v>140</v>
      </c>
      <c r="H37" s="70">
        <v>30</v>
      </c>
      <c r="I37" s="96">
        <f t="shared" si="3"/>
        <v>40</v>
      </c>
      <c r="J37" s="97">
        <f t="shared" si="4"/>
        <v>21.6</v>
      </c>
      <c r="K37" s="98">
        <f t="shared" si="8"/>
        <v>261.6</v>
      </c>
      <c r="L37" s="98">
        <f t="shared" si="9"/>
        <v>0</v>
      </c>
      <c r="M37" s="98"/>
    </row>
    <row r="38" ht="108" spans="1:13">
      <c r="A38" s="69">
        <v>6</v>
      </c>
      <c r="B38" s="72" t="s">
        <v>163</v>
      </c>
      <c r="C38" s="72" t="s">
        <v>170</v>
      </c>
      <c r="D38" s="69" t="s">
        <v>115</v>
      </c>
      <c r="E38" s="69"/>
      <c r="F38" s="77">
        <v>35</v>
      </c>
      <c r="G38" s="74">
        <v>170</v>
      </c>
      <c r="H38" s="70">
        <v>30</v>
      </c>
      <c r="I38" s="96">
        <f t="shared" si="3"/>
        <v>47</v>
      </c>
      <c r="J38" s="97">
        <f t="shared" si="4"/>
        <v>25.38</v>
      </c>
      <c r="K38" s="98">
        <f t="shared" si="8"/>
        <v>307.38</v>
      </c>
      <c r="L38" s="98">
        <f t="shared" si="9"/>
        <v>0</v>
      </c>
      <c r="M38" s="98"/>
    </row>
    <row r="39" ht="162" spans="1:13">
      <c r="A39" s="69">
        <v>8</v>
      </c>
      <c r="B39" s="72" t="s">
        <v>171</v>
      </c>
      <c r="C39" s="72" t="s">
        <v>172</v>
      </c>
      <c r="D39" s="69" t="s">
        <v>126</v>
      </c>
      <c r="E39" s="69">
        <v>11.31</v>
      </c>
      <c r="F39" s="77">
        <v>30</v>
      </c>
      <c r="G39" s="74">
        <v>300</v>
      </c>
      <c r="H39" s="70">
        <v>50</v>
      </c>
      <c r="I39" s="96">
        <f t="shared" si="3"/>
        <v>76</v>
      </c>
      <c r="J39" s="97">
        <f t="shared" si="4"/>
        <v>41.04</v>
      </c>
      <c r="K39" s="98">
        <f t="shared" si="8"/>
        <v>497.04</v>
      </c>
      <c r="L39" s="98">
        <f t="shared" si="9"/>
        <v>5621.5224</v>
      </c>
      <c r="M39" s="66" t="s">
        <v>173</v>
      </c>
    </row>
    <row r="40" spans="1:13">
      <c r="A40" s="69"/>
      <c r="B40" s="76" t="s">
        <v>174</v>
      </c>
      <c r="C40" s="76"/>
      <c r="D40" s="71"/>
      <c r="E40" s="70"/>
      <c r="F40" s="73"/>
      <c r="G40" s="74"/>
      <c r="H40" s="70"/>
      <c r="I40" s="96">
        <f t="shared" si="3"/>
        <v>0</v>
      </c>
      <c r="J40" s="97">
        <f t="shared" si="4"/>
        <v>0</v>
      </c>
      <c r="K40" s="98"/>
      <c r="L40" s="98">
        <f t="shared" si="9"/>
        <v>0</v>
      </c>
      <c r="M40" s="98"/>
    </row>
    <row r="41" ht="64.8" spans="1:13">
      <c r="A41" s="69">
        <v>1</v>
      </c>
      <c r="B41" s="72" t="s">
        <v>161</v>
      </c>
      <c r="C41" s="72" t="s">
        <v>114</v>
      </c>
      <c r="D41" s="69" t="s">
        <v>115</v>
      </c>
      <c r="E41" s="69">
        <f>106.27*0</f>
        <v>0</v>
      </c>
      <c r="F41" s="73">
        <v>1</v>
      </c>
      <c r="G41" s="74"/>
      <c r="H41" s="70">
        <v>1</v>
      </c>
      <c r="I41" s="96">
        <f t="shared" si="3"/>
        <v>0.4</v>
      </c>
      <c r="J41" s="97">
        <f t="shared" si="4"/>
        <v>0.216</v>
      </c>
      <c r="K41" s="98">
        <f t="shared" si="8"/>
        <v>2.616</v>
      </c>
      <c r="L41" s="98">
        <f t="shared" si="9"/>
        <v>0</v>
      </c>
      <c r="M41" s="98"/>
    </row>
    <row r="42" ht="140.4" spans="1:13">
      <c r="A42" s="69">
        <v>2</v>
      </c>
      <c r="B42" s="72" t="s">
        <v>165</v>
      </c>
      <c r="C42" s="72" t="s">
        <v>175</v>
      </c>
      <c r="D42" s="69" t="s">
        <v>115</v>
      </c>
      <c r="E42" s="69">
        <v>64.88</v>
      </c>
      <c r="F42" s="80">
        <v>20</v>
      </c>
      <c r="G42" s="81">
        <v>55</v>
      </c>
      <c r="H42" s="82">
        <v>10</v>
      </c>
      <c r="I42" s="96">
        <f t="shared" si="3"/>
        <v>17</v>
      </c>
      <c r="J42" s="97">
        <f t="shared" si="4"/>
        <v>9.18</v>
      </c>
      <c r="K42" s="98">
        <f t="shared" si="8"/>
        <v>111.18</v>
      </c>
      <c r="L42" s="98">
        <f t="shared" si="9"/>
        <v>7213.3584</v>
      </c>
      <c r="M42" s="66" t="s">
        <v>176</v>
      </c>
    </row>
    <row r="43" ht="140.4" spans="1:13">
      <c r="A43" s="69">
        <v>3</v>
      </c>
      <c r="B43" s="72" t="s">
        <v>165</v>
      </c>
      <c r="C43" s="72" t="s">
        <v>177</v>
      </c>
      <c r="D43" s="69" t="s">
        <v>115</v>
      </c>
      <c r="E43" s="69">
        <v>37.6</v>
      </c>
      <c r="F43" s="80">
        <v>20</v>
      </c>
      <c r="G43" s="81">
        <v>55</v>
      </c>
      <c r="H43" s="82">
        <v>10</v>
      </c>
      <c r="I43" s="96">
        <f t="shared" si="3"/>
        <v>17</v>
      </c>
      <c r="J43" s="97">
        <f t="shared" si="4"/>
        <v>9.18</v>
      </c>
      <c r="K43" s="98">
        <f t="shared" si="8"/>
        <v>111.18</v>
      </c>
      <c r="L43" s="98">
        <f t="shared" si="9"/>
        <v>4180.368</v>
      </c>
      <c r="M43" s="66" t="s">
        <v>176</v>
      </c>
    </row>
    <row r="44" ht="140.4" spans="1:13">
      <c r="A44" s="69">
        <v>4</v>
      </c>
      <c r="B44" s="72" t="s">
        <v>165</v>
      </c>
      <c r="C44" s="72" t="s">
        <v>178</v>
      </c>
      <c r="D44" s="69" t="s">
        <v>115</v>
      </c>
      <c r="E44" s="69">
        <v>1.58</v>
      </c>
      <c r="F44" s="80">
        <v>20</v>
      </c>
      <c r="G44" s="81">
        <v>55</v>
      </c>
      <c r="H44" s="82">
        <v>10</v>
      </c>
      <c r="I44" s="96">
        <f t="shared" si="3"/>
        <v>17</v>
      </c>
      <c r="J44" s="97">
        <f t="shared" si="4"/>
        <v>9.18</v>
      </c>
      <c r="K44" s="98">
        <f t="shared" si="8"/>
        <v>111.18</v>
      </c>
      <c r="L44" s="98">
        <f t="shared" si="9"/>
        <v>175.6644</v>
      </c>
      <c r="M44" s="66" t="s">
        <v>176</v>
      </c>
    </row>
    <row r="45" ht="140.4" spans="1:13">
      <c r="A45" s="69">
        <v>6</v>
      </c>
      <c r="B45" s="72" t="s">
        <v>165</v>
      </c>
      <c r="C45" s="72" t="s">
        <v>179</v>
      </c>
      <c r="D45" s="69" t="s">
        <v>115</v>
      </c>
      <c r="E45" s="69">
        <v>2.21</v>
      </c>
      <c r="F45" s="80">
        <v>20</v>
      </c>
      <c r="G45" s="81">
        <v>55</v>
      </c>
      <c r="H45" s="82">
        <v>10</v>
      </c>
      <c r="I45" s="96">
        <f t="shared" ref="I45:I52" si="10">(F45+G45+H45)*$I$4</f>
        <v>17</v>
      </c>
      <c r="J45" s="97">
        <f t="shared" ref="J45:J66" si="11">(I45+H45+G45+F45)*$J$4</f>
        <v>9.18</v>
      </c>
      <c r="K45" s="98">
        <f t="shared" si="8"/>
        <v>111.18</v>
      </c>
      <c r="L45" s="98">
        <f t="shared" si="9"/>
        <v>245.7078</v>
      </c>
      <c r="M45" s="98"/>
    </row>
    <row r="46" ht="21.6" spans="1:13">
      <c r="A46" s="67" t="s">
        <v>180</v>
      </c>
      <c r="B46" s="68" t="s">
        <v>181</v>
      </c>
      <c r="C46" s="72"/>
      <c r="D46" s="69"/>
      <c r="E46" s="70"/>
      <c r="F46" s="73"/>
      <c r="G46" s="74"/>
      <c r="H46" s="70"/>
      <c r="I46" s="96">
        <f t="shared" si="10"/>
        <v>0</v>
      </c>
      <c r="J46" s="97">
        <f t="shared" si="11"/>
        <v>0</v>
      </c>
      <c r="K46" s="98"/>
      <c r="L46" s="98">
        <f t="shared" si="9"/>
        <v>0</v>
      </c>
      <c r="M46" s="98"/>
    </row>
    <row r="47" ht="75.6" spans="1:13">
      <c r="A47" s="69">
        <v>7</v>
      </c>
      <c r="B47" s="83" t="s">
        <v>182</v>
      </c>
      <c r="C47" s="72" t="s">
        <v>183</v>
      </c>
      <c r="D47" s="69" t="s">
        <v>154</v>
      </c>
      <c r="E47" s="70">
        <v>4</v>
      </c>
      <c r="F47" s="77">
        <v>100</v>
      </c>
      <c r="G47" s="74">
        <v>1100</v>
      </c>
      <c r="H47" s="70">
        <v>80</v>
      </c>
      <c r="I47" s="96">
        <f t="shared" si="10"/>
        <v>256</v>
      </c>
      <c r="J47" s="97">
        <f t="shared" si="11"/>
        <v>138.24</v>
      </c>
      <c r="K47" s="98">
        <f t="shared" si="8"/>
        <v>1674.24</v>
      </c>
      <c r="L47" s="98">
        <f t="shared" si="9"/>
        <v>6696.96</v>
      </c>
      <c r="M47" s="98"/>
    </row>
    <row r="48" ht="86.4" spans="1:13">
      <c r="A48" s="69">
        <v>8</v>
      </c>
      <c r="B48" s="83" t="s">
        <v>184</v>
      </c>
      <c r="C48" s="72" t="s">
        <v>185</v>
      </c>
      <c r="D48" s="69" t="s">
        <v>186</v>
      </c>
      <c r="E48" s="70">
        <v>2</v>
      </c>
      <c r="F48" s="77">
        <v>100</v>
      </c>
      <c r="G48" s="74">
        <v>3500</v>
      </c>
      <c r="H48" s="70">
        <v>10</v>
      </c>
      <c r="I48" s="96">
        <f t="shared" si="10"/>
        <v>722</v>
      </c>
      <c r="J48" s="97">
        <f t="shared" si="11"/>
        <v>389.88</v>
      </c>
      <c r="K48" s="98">
        <f t="shared" si="8"/>
        <v>4721.88</v>
      </c>
      <c r="L48" s="98">
        <f t="shared" si="9"/>
        <v>9443.76</v>
      </c>
      <c r="M48" s="98"/>
    </row>
    <row r="49" ht="75.6" spans="1:13">
      <c r="A49" s="69">
        <v>9</v>
      </c>
      <c r="B49" s="83" t="s">
        <v>187</v>
      </c>
      <c r="C49" s="72" t="s">
        <v>188</v>
      </c>
      <c r="D49" s="69" t="s">
        <v>154</v>
      </c>
      <c r="E49" s="70"/>
      <c r="F49" s="77">
        <v>100</v>
      </c>
      <c r="G49" s="74">
        <v>1200</v>
      </c>
      <c r="H49" s="70">
        <v>10</v>
      </c>
      <c r="I49" s="96">
        <f t="shared" si="10"/>
        <v>262</v>
      </c>
      <c r="J49" s="97">
        <f t="shared" si="11"/>
        <v>141.48</v>
      </c>
      <c r="K49" s="98">
        <f t="shared" si="8"/>
        <v>1713.48</v>
      </c>
      <c r="L49" s="98">
        <f t="shared" si="9"/>
        <v>0</v>
      </c>
      <c r="M49" s="98" t="s">
        <v>189</v>
      </c>
    </row>
    <row r="50" ht="75.6" spans="1:13">
      <c r="A50" s="69">
        <v>10</v>
      </c>
      <c r="B50" s="83" t="s">
        <v>190</v>
      </c>
      <c r="C50" s="72" t="s">
        <v>191</v>
      </c>
      <c r="D50" s="69" t="s">
        <v>154</v>
      </c>
      <c r="E50" s="70"/>
      <c r="F50" s="77">
        <v>100</v>
      </c>
      <c r="G50" s="74">
        <v>1000</v>
      </c>
      <c r="H50" s="70">
        <v>10</v>
      </c>
      <c r="I50" s="96">
        <f t="shared" si="10"/>
        <v>222</v>
      </c>
      <c r="J50" s="97">
        <f t="shared" si="11"/>
        <v>119.88</v>
      </c>
      <c r="K50" s="98">
        <f t="shared" si="8"/>
        <v>1451.88</v>
      </c>
      <c r="L50" s="98">
        <f t="shared" si="9"/>
        <v>0</v>
      </c>
      <c r="M50" s="98" t="s">
        <v>189</v>
      </c>
    </row>
    <row r="51" ht="75.6" spans="1:13">
      <c r="A51" s="69">
        <v>11</v>
      </c>
      <c r="B51" s="83" t="s">
        <v>192</v>
      </c>
      <c r="C51" s="72" t="s">
        <v>193</v>
      </c>
      <c r="D51" s="69" t="s">
        <v>154</v>
      </c>
      <c r="E51" s="70"/>
      <c r="F51" s="77">
        <v>100</v>
      </c>
      <c r="G51" s="74">
        <v>800</v>
      </c>
      <c r="H51" s="70">
        <v>10</v>
      </c>
      <c r="I51" s="96">
        <f t="shared" si="10"/>
        <v>182</v>
      </c>
      <c r="J51" s="97">
        <f t="shared" si="11"/>
        <v>98.28</v>
      </c>
      <c r="K51" s="98">
        <f t="shared" si="8"/>
        <v>1190.28</v>
      </c>
      <c r="L51" s="98">
        <f t="shared" si="9"/>
        <v>0</v>
      </c>
      <c r="M51" s="98" t="s">
        <v>189</v>
      </c>
    </row>
    <row r="52" ht="162" spans="1:13">
      <c r="A52" s="69">
        <v>12</v>
      </c>
      <c r="B52" s="83" t="s">
        <v>194</v>
      </c>
      <c r="C52" s="72" t="s">
        <v>195</v>
      </c>
      <c r="D52" s="69" t="s">
        <v>196</v>
      </c>
      <c r="E52" s="70">
        <v>1</v>
      </c>
      <c r="F52" s="75">
        <v>500</v>
      </c>
      <c r="G52" s="75">
        <v>32000</v>
      </c>
      <c r="H52" s="75">
        <v>800</v>
      </c>
      <c r="I52" s="96">
        <f t="shared" si="10"/>
        <v>6660</v>
      </c>
      <c r="J52" s="97">
        <f t="shared" si="11"/>
        <v>3596.4</v>
      </c>
      <c r="K52" s="98">
        <f t="shared" si="8"/>
        <v>43556.4</v>
      </c>
      <c r="L52" s="98">
        <f t="shared" si="9"/>
        <v>43556.4</v>
      </c>
      <c r="M52" s="98"/>
    </row>
    <row r="53" ht="21.6" spans="1:13">
      <c r="A53" s="69"/>
      <c r="B53" s="84" t="s">
        <v>197</v>
      </c>
      <c r="C53" s="72"/>
      <c r="D53" s="69"/>
      <c r="E53" s="70"/>
      <c r="F53" s="73"/>
      <c r="G53" s="74"/>
      <c r="H53" s="70"/>
      <c r="I53" s="96"/>
      <c r="J53" s="97">
        <f t="shared" si="11"/>
        <v>0</v>
      </c>
      <c r="K53" s="98"/>
      <c r="L53" s="98">
        <f t="shared" si="9"/>
        <v>0</v>
      </c>
      <c r="M53" s="98"/>
    </row>
    <row r="54" ht="97.2" spans="1:22">
      <c r="A54" s="69">
        <v>1</v>
      </c>
      <c r="B54" s="83" t="s">
        <v>198</v>
      </c>
      <c r="C54" s="72" t="s">
        <v>199</v>
      </c>
      <c r="D54" s="69" t="s">
        <v>126</v>
      </c>
      <c r="E54" s="85">
        <v>26.01</v>
      </c>
      <c r="F54" s="86">
        <v>16</v>
      </c>
      <c r="G54" s="86">
        <v>58</v>
      </c>
      <c r="H54" s="70">
        <v>6</v>
      </c>
      <c r="I54" s="96">
        <f>(F54+G54+H54)*I4</f>
        <v>16</v>
      </c>
      <c r="J54" s="97">
        <f t="shared" si="11"/>
        <v>8.64</v>
      </c>
      <c r="K54" s="98">
        <f t="shared" si="8"/>
        <v>104.64</v>
      </c>
      <c r="L54" s="98">
        <f t="shared" si="9"/>
        <v>2721.6864</v>
      </c>
      <c r="M54" s="98"/>
      <c r="O54" s="62">
        <f>0.8*0.2</f>
        <v>0.16</v>
      </c>
      <c r="P54" s="103">
        <f>O54*E54</f>
        <v>4.1616</v>
      </c>
      <c r="Q54" s="62">
        <f>0.8*0.8</f>
        <v>0.64</v>
      </c>
      <c r="R54" s="104">
        <f>Q54*E54</f>
        <v>16.6464</v>
      </c>
      <c r="S54" s="62">
        <f>0.8*0.5</f>
        <v>0.4</v>
      </c>
      <c r="T54" s="104">
        <f>S54*E54</f>
        <v>10.404</v>
      </c>
      <c r="U54" s="62">
        <f>R54-T54</f>
        <v>6.2424</v>
      </c>
      <c r="V54" s="103">
        <f>R54-U54</f>
        <v>10.404</v>
      </c>
    </row>
    <row r="55" ht="97.2" spans="1:22">
      <c r="A55" s="69">
        <v>2</v>
      </c>
      <c r="B55" s="83" t="s">
        <v>198</v>
      </c>
      <c r="C55" s="72" t="s">
        <v>200</v>
      </c>
      <c r="D55" s="69" t="s">
        <v>126</v>
      </c>
      <c r="E55" s="85">
        <v>58</v>
      </c>
      <c r="F55" s="70">
        <v>13</v>
      </c>
      <c r="G55" s="71">
        <v>70</v>
      </c>
      <c r="H55" s="70">
        <v>3</v>
      </c>
      <c r="I55" s="96">
        <f>(F55+G55+H55)*I4</f>
        <v>17.2</v>
      </c>
      <c r="J55" s="97">
        <f t="shared" si="11"/>
        <v>9.288</v>
      </c>
      <c r="K55" s="98">
        <f t="shared" si="8"/>
        <v>112.488</v>
      </c>
      <c r="L55" s="98">
        <f t="shared" si="9"/>
        <v>6524.304</v>
      </c>
      <c r="M55" s="98"/>
      <c r="O55" s="62">
        <f>0.8*0.2</f>
        <v>0.16</v>
      </c>
      <c r="P55" s="103">
        <f>O55*E55</f>
        <v>9.28</v>
      </c>
      <c r="Q55" s="62">
        <f>0.8*0.8</f>
        <v>0.64</v>
      </c>
      <c r="R55" s="104">
        <f>Q55*E55</f>
        <v>37.12</v>
      </c>
      <c r="S55" s="62">
        <f>0.8*0.4</f>
        <v>0.32</v>
      </c>
      <c r="T55" s="104">
        <f>S55*E55</f>
        <v>18.56</v>
      </c>
      <c r="U55" s="62">
        <f>R55-T55</f>
        <v>18.56</v>
      </c>
      <c r="V55" s="103">
        <f>R55-U55</f>
        <v>18.56</v>
      </c>
    </row>
    <row r="56" ht="97.2" spans="1:22">
      <c r="A56" s="69">
        <v>3</v>
      </c>
      <c r="B56" s="83" t="s">
        <v>198</v>
      </c>
      <c r="C56" s="72" t="s">
        <v>201</v>
      </c>
      <c r="D56" s="69" t="s">
        <v>126</v>
      </c>
      <c r="E56" s="70">
        <v>0</v>
      </c>
      <c r="F56" s="70">
        <v>5.85</v>
      </c>
      <c r="G56" s="71">
        <v>15</v>
      </c>
      <c r="H56" s="70">
        <v>35</v>
      </c>
      <c r="I56" s="96">
        <v>0.35</v>
      </c>
      <c r="J56" s="97">
        <f t="shared" si="11"/>
        <v>5.058</v>
      </c>
      <c r="K56" s="98">
        <f t="shared" si="8"/>
        <v>61.258</v>
      </c>
      <c r="L56" s="98">
        <f t="shared" si="9"/>
        <v>0</v>
      </c>
      <c r="M56" s="98"/>
      <c r="R56" s="62">
        <f>SUM(R54:R55)</f>
        <v>53.7664</v>
      </c>
      <c r="V56" s="61">
        <f>SUM(V54:V55)</f>
        <v>28.964</v>
      </c>
    </row>
    <row r="57" ht="32.4" spans="1:18">
      <c r="A57" s="69">
        <v>4</v>
      </c>
      <c r="B57" s="83" t="s">
        <v>202</v>
      </c>
      <c r="C57" s="72" t="s">
        <v>203</v>
      </c>
      <c r="D57" s="69" t="s">
        <v>154</v>
      </c>
      <c r="E57" s="85">
        <v>12</v>
      </c>
      <c r="F57" s="70">
        <v>120</v>
      </c>
      <c r="G57" s="71">
        <v>300</v>
      </c>
      <c r="H57" s="70">
        <v>50</v>
      </c>
      <c r="I57" s="96">
        <f>(F57+G57+H57)*I4</f>
        <v>94</v>
      </c>
      <c r="J57" s="97">
        <f t="shared" si="11"/>
        <v>50.76</v>
      </c>
      <c r="K57" s="98">
        <f t="shared" si="8"/>
        <v>614.76</v>
      </c>
      <c r="L57" s="98">
        <f t="shared" si="9"/>
        <v>7377.12</v>
      </c>
      <c r="M57" s="98"/>
      <c r="R57" s="62">
        <f>R56-V56</f>
        <v>24.8024</v>
      </c>
    </row>
    <row r="58" ht="43.2" spans="1:13">
      <c r="A58" s="69">
        <v>5</v>
      </c>
      <c r="B58" s="87" t="s">
        <v>204</v>
      </c>
      <c r="C58" s="88" t="s">
        <v>205</v>
      </c>
      <c r="D58" s="89" t="s">
        <v>118</v>
      </c>
      <c r="E58" s="85">
        <v>53.76</v>
      </c>
      <c r="F58" s="69">
        <v>2.29</v>
      </c>
      <c r="G58" s="69"/>
      <c r="H58" s="69">
        <v>5.13</v>
      </c>
      <c r="I58" s="96">
        <v>1.484</v>
      </c>
      <c r="J58" s="97">
        <f t="shared" si="11"/>
        <v>0.80136</v>
      </c>
      <c r="K58" s="98">
        <f t="shared" si="8"/>
        <v>9.70536</v>
      </c>
      <c r="L58" s="98">
        <f t="shared" si="9"/>
        <v>521.7601536</v>
      </c>
      <c r="M58" s="98" t="s">
        <v>206</v>
      </c>
    </row>
    <row r="59" ht="64.8" spans="1:13">
      <c r="A59" s="69">
        <v>6</v>
      </c>
      <c r="B59" s="87" t="s">
        <v>207</v>
      </c>
      <c r="C59" s="88" t="s">
        <v>208</v>
      </c>
      <c r="D59" s="89" t="s">
        <v>118</v>
      </c>
      <c r="E59" s="85">
        <v>24.8</v>
      </c>
      <c r="F59" s="77">
        <v>13.72</v>
      </c>
      <c r="G59" s="74"/>
      <c r="H59" s="70">
        <v>7.56</v>
      </c>
      <c r="I59" s="96">
        <f>(F59+G59+H59)*I4</f>
        <v>4.256</v>
      </c>
      <c r="J59" s="97">
        <f t="shared" si="11"/>
        <v>2.29824</v>
      </c>
      <c r="K59" s="98">
        <f t="shared" si="8"/>
        <v>27.83424</v>
      </c>
      <c r="L59" s="98">
        <f t="shared" si="9"/>
        <v>690.289152</v>
      </c>
      <c r="M59" s="98"/>
    </row>
    <row r="60" ht="108" spans="1:13">
      <c r="A60" s="69">
        <v>7</v>
      </c>
      <c r="B60" s="87" t="s">
        <v>207</v>
      </c>
      <c r="C60" s="88" t="s">
        <v>209</v>
      </c>
      <c r="D60" s="89" t="s">
        <v>118</v>
      </c>
      <c r="E60" s="85">
        <v>13.44</v>
      </c>
      <c r="F60" s="77">
        <v>74.93</v>
      </c>
      <c r="G60" s="74">
        <v>131.64</v>
      </c>
      <c r="H60" s="70">
        <v>2.91</v>
      </c>
      <c r="I60" s="96">
        <f>(F60+G60+H60)*I4</f>
        <v>41.896</v>
      </c>
      <c r="J60" s="97">
        <f t="shared" si="11"/>
        <v>22.62384</v>
      </c>
      <c r="K60" s="98">
        <f t="shared" si="8"/>
        <v>273.99984</v>
      </c>
      <c r="L60" s="98">
        <f t="shared" si="9"/>
        <v>3682.5578496</v>
      </c>
      <c r="M60" s="98"/>
    </row>
    <row r="61" ht="21.6" spans="1:13">
      <c r="A61" s="69"/>
      <c r="B61" s="84" t="s">
        <v>210</v>
      </c>
      <c r="C61" s="72"/>
      <c r="D61" s="69"/>
      <c r="E61" s="70"/>
      <c r="F61" s="73"/>
      <c r="G61" s="74"/>
      <c r="H61" s="70"/>
      <c r="I61" s="96"/>
      <c r="J61" s="97"/>
      <c r="K61" s="98"/>
      <c r="L61" s="98">
        <f t="shared" si="9"/>
        <v>0</v>
      </c>
      <c r="M61" s="98"/>
    </row>
    <row r="62" ht="97.2" spans="1:13">
      <c r="A62" s="69">
        <v>1</v>
      </c>
      <c r="B62" s="83" t="s">
        <v>198</v>
      </c>
      <c r="C62" s="72" t="s">
        <v>211</v>
      </c>
      <c r="D62" s="69" t="s">
        <v>126</v>
      </c>
      <c r="E62" s="70">
        <v>0</v>
      </c>
      <c r="F62" s="69">
        <v>41.19</v>
      </c>
      <c r="G62" s="69">
        <v>61.29</v>
      </c>
      <c r="H62" s="69">
        <v>3.59</v>
      </c>
      <c r="I62" s="96">
        <f>(F62+G62+H62)*I4</f>
        <v>21.214</v>
      </c>
      <c r="J62" s="97">
        <f t="shared" si="11"/>
        <v>11.45556</v>
      </c>
      <c r="K62" s="98">
        <f t="shared" si="8"/>
        <v>138.73956</v>
      </c>
      <c r="L62" s="98">
        <f t="shared" si="9"/>
        <v>0</v>
      </c>
      <c r="M62" s="98"/>
    </row>
    <row r="63" ht="84" spans="1:13">
      <c r="A63" s="69">
        <v>2</v>
      </c>
      <c r="B63" s="90" t="s">
        <v>212</v>
      </c>
      <c r="C63" s="90" t="s">
        <v>213</v>
      </c>
      <c r="D63" s="89" t="s">
        <v>133</v>
      </c>
      <c r="E63" s="91">
        <v>1</v>
      </c>
      <c r="F63" s="69">
        <v>107.72</v>
      </c>
      <c r="G63" s="69">
        <v>551.76</v>
      </c>
      <c r="H63" s="69">
        <v>0.32</v>
      </c>
      <c r="I63" s="96">
        <f>(F63+G63+H63)*I4</f>
        <v>131.96</v>
      </c>
      <c r="J63" s="97">
        <f t="shared" si="11"/>
        <v>71.2584</v>
      </c>
      <c r="K63" s="98">
        <f t="shared" si="8"/>
        <v>863.0184</v>
      </c>
      <c r="L63" s="98">
        <f t="shared" si="9"/>
        <v>863.0184</v>
      </c>
      <c r="M63" s="98"/>
    </row>
    <row r="64" ht="43.2" spans="1:13">
      <c r="A64" s="69">
        <v>3</v>
      </c>
      <c r="B64" s="83" t="s">
        <v>204</v>
      </c>
      <c r="C64" s="72" t="s">
        <v>214</v>
      </c>
      <c r="D64" s="69" t="s">
        <v>118</v>
      </c>
      <c r="E64" s="70">
        <v>0</v>
      </c>
      <c r="F64" s="69">
        <v>2.29</v>
      </c>
      <c r="G64" s="69"/>
      <c r="H64" s="69">
        <v>5.13</v>
      </c>
      <c r="I64" s="96">
        <f>(F64+G64+H64)*I4</f>
        <v>1.484</v>
      </c>
      <c r="J64" s="97">
        <f t="shared" si="11"/>
        <v>0.80136</v>
      </c>
      <c r="K64" s="98">
        <f t="shared" si="8"/>
        <v>9.70536</v>
      </c>
      <c r="L64" s="98">
        <f t="shared" si="9"/>
        <v>0</v>
      </c>
      <c r="M64" s="98"/>
    </row>
    <row r="65" ht="64.8" spans="1:13">
      <c r="A65" s="69">
        <v>4</v>
      </c>
      <c r="B65" s="87" t="s">
        <v>207</v>
      </c>
      <c r="C65" s="88" t="s">
        <v>208</v>
      </c>
      <c r="D65" s="89" t="s">
        <v>118</v>
      </c>
      <c r="E65" s="70">
        <v>0</v>
      </c>
      <c r="F65" s="69">
        <v>13.72</v>
      </c>
      <c r="G65" s="69"/>
      <c r="H65" s="69">
        <v>7.56</v>
      </c>
      <c r="I65" s="96">
        <f>(F65+G65+H65)*I4</f>
        <v>4.256</v>
      </c>
      <c r="J65" s="97">
        <f t="shared" si="11"/>
        <v>2.29824</v>
      </c>
      <c r="K65" s="98">
        <f t="shared" si="8"/>
        <v>27.83424</v>
      </c>
      <c r="L65" s="98">
        <f t="shared" si="9"/>
        <v>0</v>
      </c>
      <c r="M65" s="98"/>
    </row>
    <row r="66" ht="108" spans="1:13">
      <c r="A66" s="69">
        <v>5</v>
      </c>
      <c r="B66" s="87" t="s">
        <v>207</v>
      </c>
      <c r="C66" s="88" t="s">
        <v>209</v>
      </c>
      <c r="D66" s="89" t="s">
        <v>118</v>
      </c>
      <c r="E66" s="70">
        <v>0</v>
      </c>
      <c r="F66" s="69">
        <v>74.93</v>
      </c>
      <c r="G66" s="69">
        <v>131.64</v>
      </c>
      <c r="H66" s="69">
        <v>2.91</v>
      </c>
      <c r="I66" s="96">
        <f>(F66+G66+H66)*I4</f>
        <v>41.896</v>
      </c>
      <c r="J66" s="97">
        <f t="shared" si="11"/>
        <v>22.62384</v>
      </c>
      <c r="K66" s="98">
        <f t="shared" si="8"/>
        <v>273.99984</v>
      </c>
      <c r="L66" s="98">
        <f t="shared" si="9"/>
        <v>0</v>
      </c>
      <c r="M66" s="98"/>
    </row>
    <row r="67" spans="1:13">
      <c r="A67" s="89" t="s">
        <v>67</v>
      </c>
      <c r="B67" s="89"/>
      <c r="C67" s="89"/>
      <c r="D67" s="89"/>
      <c r="E67" s="89"/>
      <c r="F67" s="89"/>
      <c r="G67" s="89"/>
      <c r="H67" s="70"/>
      <c r="I67" s="92"/>
      <c r="J67" s="93"/>
      <c r="K67" s="98"/>
      <c r="L67" s="98">
        <f>SUM(L7:L66)</f>
        <v>613764.496379117</v>
      </c>
      <c r="M67" s="95"/>
    </row>
    <row r="68" ht="63.95" customHeight="1" spans="1:13">
      <c r="A68" s="105" t="s">
        <v>215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7"/>
    </row>
    <row r="75" spans="5:5">
      <c r="E75" s="106"/>
    </row>
    <row r="76" spans="5:5">
      <c r="E76" s="106"/>
    </row>
    <row r="77" spans="5:5">
      <c r="E77" s="106"/>
    </row>
  </sheetData>
  <mergeCells count="20">
    <mergeCell ref="A1:M1"/>
    <mergeCell ref="F2:J2"/>
    <mergeCell ref="B5:C5"/>
    <mergeCell ref="B6:C6"/>
    <mergeCell ref="B31:C31"/>
    <mergeCell ref="B32:C32"/>
    <mergeCell ref="B40:C40"/>
    <mergeCell ref="A67:G67"/>
    <mergeCell ref="A68:M6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393055555555556" right="0.7" top="0.75" bottom="0.75" header="0.3" footer="0.3"/>
  <pageSetup paperSize="9" scale="75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workbookViewId="0">
      <selection activeCell="K31" sqref="K31"/>
    </sheetView>
  </sheetViews>
  <sheetFormatPr defaultColWidth="10" defaultRowHeight="12"/>
  <cols>
    <col min="1" max="1" width="5.55555555555556" style="1" customWidth="1"/>
    <col min="2" max="2" width="14.4444444444444" style="1" customWidth="1"/>
    <col min="3" max="3" width="10.8796296296296" style="1" customWidth="1"/>
    <col min="4" max="4" width="15.6666666666667" style="2" customWidth="1"/>
    <col min="5" max="5" width="18.8888888888889" style="2" customWidth="1"/>
    <col min="6" max="6" width="9.44444444444444" style="1" customWidth="1"/>
    <col min="7" max="7" width="12.0555555555556" style="1" customWidth="1"/>
    <col min="8" max="8" width="12.1111111111111" style="25" customWidth="1"/>
    <col min="9" max="9" width="13.1111111111111" style="25" customWidth="1"/>
    <col min="10" max="10" width="11" style="26" customWidth="1"/>
    <col min="11" max="11" width="31.1111111111111" style="26" customWidth="1"/>
    <col min="12" max="12" width="14.7777777777778" style="1"/>
    <col min="13" max="13" width="10.5555555555556" style="1" hidden="1" customWidth="1"/>
    <col min="14" max="14" width="10" style="1" hidden="1" customWidth="1"/>
    <col min="15" max="15" width="11.6666666666667" style="1" hidden="1" customWidth="1"/>
    <col min="16" max="16" width="10" style="1"/>
    <col min="17" max="17" width="14.2222222222222" style="1"/>
    <col min="18" max="16384" width="10" style="1"/>
  </cols>
  <sheetData>
    <row r="1" s="1" customFormat="1" ht="41.25" customHeight="1" spans="1:11">
      <c r="A1" s="3" t="s">
        <v>216</v>
      </c>
      <c r="B1" s="4"/>
      <c r="C1" s="4"/>
      <c r="D1" s="4"/>
      <c r="E1" s="4"/>
      <c r="F1" s="4"/>
      <c r="G1" s="4"/>
      <c r="H1" s="27"/>
      <c r="I1" s="27"/>
      <c r="J1" s="27"/>
      <c r="K1" s="27"/>
    </row>
    <row r="2" s="1" customFormat="1" ht="30" customHeight="1" spans="1:11">
      <c r="A2" s="5" t="s">
        <v>29</v>
      </c>
      <c r="B2" s="6" t="s">
        <v>64</v>
      </c>
      <c r="C2" s="6" t="s">
        <v>217</v>
      </c>
      <c r="D2" s="6" t="s">
        <v>218</v>
      </c>
      <c r="E2" s="6" t="s">
        <v>219</v>
      </c>
      <c r="F2" s="6" t="s">
        <v>101</v>
      </c>
      <c r="G2" s="6" t="s">
        <v>220</v>
      </c>
      <c r="H2" s="28" t="s">
        <v>221</v>
      </c>
      <c r="I2" s="28" t="s">
        <v>222</v>
      </c>
      <c r="J2" s="43" t="s">
        <v>34</v>
      </c>
      <c r="K2" s="43" t="s">
        <v>223</v>
      </c>
    </row>
    <row r="3" s="1" customFormat="1" ht="40" customHeight="1" spans="1:11">
      <c r="A3" s="7">
        <v>1</v>
      </c>
      <c r="B3" s="30" t="s">
        <v>224</v>
      </c>
      <c r="C3" s="11"/>
      <c r="D3" s="37">
        <v>45050</v>
      </c>
      <c r="E3" s="38" t="s">
        <v>225</v>
      </c>
      <c r="F3" s="12" t="s">
        <v>154</v>
      </c>
      <c r="G3" s="12">
        <v>5</v>
      </c>
      <c r="H3" s="33">
        <v>100</v>
      </c>
      <c r="I3" s="33">
        <f t="shared" ref="I3:I30" si="0">G3*H3</f>
        <v>500</v>
      </c>
      <c r="J3" s="44" t="s">
        <v>226</v>
      </c>
      <c r="K3" s="45" t="s">
        <v>227</v>
      </c>
    </row>
    <row r="4" s="1" customFormat="1" ht="63" customHeight="1" spans="1:11">
      <c r="A4" s="29"/>
      <c r="B4" s="30"/>
      <c r="C4" s="11"/>
      <c r="D4" s="37">
        <v>45053</v>
      </c>
      <c r="E4" s="38" t="s">
        <v>228</v>
      </c>
      <c r="F4" s="12" t="s">
        <v>154</v>
      </c>
      <c r="G4" s="12">
        <v>0</v>
      </c>
      <c r="H4" s="33">
        <v>100</v>
      </c>
      <c r="I4" s="33">
        <f t="shared" si="0"/>
        <v>0</v>
      </c>
      <c r="J4" s="44"/>
      <c r="K4" s="45" t="s">
        <v>227</v>
      </c>
    </row>
    <row r="5" s="1" customFormat="1" ht="59" customHeight="1" spans="1:17">
      <c r="A5" s="29"/>
      <c r="B5" s="30"/>
      <c r="C5" s="11"/>
      <c r="D5" s="37"/>
      <c r="E5" s="38"/>
      <c r="F5" s="12" t="s">
        <v>229</v>
      </c>
      <c r="G5" s="12">
        <v>1</v>
      </c>
      <c r="H5" s="33">
        <v>291</v>
      </c>
      <c r="I5" s="33">
        <f t="shared" si="0"/>
        <v>291</v>
      </c>
      <c r="J5" s="44"/>
      <c r="K5" s="45" t="s">
        <v>230</v>
      </c>
      <c r="L5" s="1"/>
      <c r="M5" s="1" t="s">
        <v>231</v>
      </c>
      <c r="Q5" s="1">
        <f>I3+I5+I6+I7+I8+I10+I11+I12+I14+I15+I16</f>
        <v>24215.01472</v>
      </c>
    </row>
    <row r="6" s="1" customFormat="1" ht="42" customHeight="1" spans="1:15">
      <c r="A6" s="29"/>
      <c r="B6" s="30"/>
      <c r="C6" s="11"/>
      <c r="D6" s="37"/>
      <c r="E6" s="38"/>
      <c r="F6" s="12" t="s">
        <v>118</v>
      </c>
      <c r="G6" s="12">
        <f>5.2*2*0.2+4.3*4.9*0.2</f>
        <v>6.294</v>
      </c>
      <c r="H6" s="33">
        <v>706.32</v>
      </c>
      <c r="I6" s="33">
        <f t="shared" si="0"/>
        <v>4445.57808</v>
      </c>
      <c r="J6" s="44"/>
      <c r="K6" s="45" t="s">
        <v>232</v>
      </c>
      <c r="L6" s="1"/>
      <c r="M6" s="1">
        <v>124.59</v>
      </c>
      <c r="N6" s="1">
        <f>M6+10</f>
        <v>134.59</v>
      </c>
      <c r="O6" s="19">
        <f>N6*1.09/0.2</f>
        <v>733.5155</v>
      </c>
    </row>
    <row r="7" s="1" customFormat="1" ht="52" customHeight="1" spans="1:11">
      <c r="A7" s="29"/>
      <c r="B7" s="30"/>
      <c r="C7" s="11"/>
      <c r="D7" s="34">
        <v>45054</v>
      </c>
      <c r="E7" s="40" t="s">
        <v>233</v>
      </c>
      <c r="F7" s="12" t="s">
        <v>154</v>
      </c>
      <c r="G7" s="12">
        <v>1</v>
      </c>
      <c r="H7" s="33">
        <v>100</v>
      </c>
      <c r="I7" s="33">
        <f t="shared" si="0"/>
        <v>100</v>
      </c>
      <c r="J7" s="44"/>
      <c r="K7" s="45" t="s">
        <v>227</v>
      </c>
    </row>
    <row r="8" s="1" customFormat="1" ht="32" customHeight="1" spans="1:11">
      <c r="A8" s="29"/>
      <c r="B8" s="30"/>
      <c r="C8" s="11"/>
      <c r="D8" s="36"/>
      <c r="E8" s="35"/>
      <c r="F8" s="12" t="s">
        <v>234</v>
      </c>
      <c r="G8" s="12">
        <f>3/8</f>
        <v>0.375</v>
      </c>
      <c r="H8" s="33">
        <v>2000</v>
      </c>
      <c r="I8" s="33">
        <f t="shared" si="0"/>
        <v>750</v>
      </c>
      <c r="J8" s="44"/>
      <c r="K8" s="45" t="s">
        <v>235</v>
      </c>
    </row>
    <row r="9" s="1" customFormat="1" ht="41" customHeight="1" spans="1:11">
      <c r="A9" s="29"/>
      <c r="B9" s="30"/>
      <c r="C9" s="11"/>
      <c r="D9" s="34">
        <v>45055</v>
      </c>
      <c r="E9" s="40" t="s">
        <v>236</v>
      </c>
      <c r="F9" s="12" t="s">
        <v>154</v>
      </c>
      <c r="G9" s="12">
        <v>0</v>
      </c>
      <c r="H9" s="33">
        <v>100</v>
      </c>
      <c r="I9" s="33">
        <f t="shared" si="0"/>
        <v>0</v>
      </c>
      <c r="J9" s="44"/>
      <c r="K9" s="45" t="s">
        <v>227</v>
      </c>
    </row>
    <row r="10" s="1" customFormat="1" ht="33" customHeight="1" spans="1:11">
      <c r="A10" s="29"/>
      <c r="B10" s="30"/>
      <c r="C10" s="11"/>
      <c r="D10" s="34"/>
      <c r="E10" s="40"/>
      <c r="F10" s="12" t="s">
        <v>234</v>
      </c>
      <c r="G10" s="12">
        <v>1</v>
      </c>
      <c r="H10" s="33">
        <v>2000</v>
      </c>
      <c r="I10" s="33">
        <f t="shared" si="0"/>
        <v>2000</v>
      </c>
      <c r="J10" s="44"/>
      <c r="K10" s="45" t="s">
        <v>235</v>
      </c>
    </row>
    <row r="11" s="1" customFormat="1" ht="42" customHeight="1" spans="1:11">
      <c r="A11" s="29"/>
      <c r="B11" s="30"/>
      <c r="C11" s="11"/>
      <c r="D11" s="34"/>
      <c r="E11" s="40"/>
      <c r="F11" s="12" t="s">
        <v>229</v>
      </c>
      <c r="G11" s="12">
        <v>7</v>
      </c>
      <c r="H11" s="33">
        <v>291</v>
      </c>
      <c r="I11" s="33">
        <f t="shared" si="0"/>
        <v>2037</v>
      </c>
      <c r="J11" s="44"/>
      <c r="K11" s="45" t="s">
        <v>230</v>
      </c>
    </row>
    <row r="12" s="1" customFormat="1" ht="40" customHeight="1" spans="1:11">
      <c r="A12" s="29"/>
      <c r="B12" s="30"/>
      <c r="C12" s="11"/>
      <c r="D12" s="36"/>
      <c r="E12" s="35"/>
      <c r="F12" s="12" t="s">
        <v>118</v>
      </c>
      <c r="G12" s="12">
        <f>4.9*2.2*0.2+4.9*4.3*0.2</f>
        <v>6.37</v>
      </c>
      <c r="H12" s="33">
        <v>706.32</v>
      </c>
      <c r="I12" s="33">
        <f t="shared" si="0"/>
        <v>4499.2584</v>
      </c>
      <c r="J12" s="44"/>
      <c r="K12" s="45" t="s">
        <v>232</v>
      </c>
    </row>
    <row r="13" s="1" customFormat="1" ht="41" customHeight="1" spans="1:11">
      <c r="A13" s="29"/>
      <c r="B13" s="30"/>
      <c r="C13" s="11"/>
      <c r="D13" s="34">
        <v>45056</v>
      </c>
      <c r="E13" s="40" t="s">
        <v>233</v>
      </c>
      <c r="F13" s="12" t="s">
        <v>154</v>
      </c>
      <c r="G13" s="12">
        <v>0</v>
      </c>
      <c r="H13" s="33">
        <v>100</v>
      </c>
      <c r="I13" s="33">
        <f t="shared" si="0"/>
        <v>0</v>
      </c>
      <c r="J13" s="44"/>
      <c r="K13" s="45" t="s">
        <v>227</v>
      </c>
    </row>
    <row r="14" s="1" customFormat="1" ht="33" customHeight="1" spans="1:11">
      <c r="A14" s="29"/>
      <c r="B14" s="30"/>
      <c r="C14" s="11"/>
      <c r="D14" s="36"/>
      <c r="E14" s="35"/>
      <c r="F14" s="12" t="s">
        <v>234</v>
      </c>
      <c r="G14" s="12">
        <f>3/8</f>
        <v>0.375</v>
      </c>
      <c r="H14" s="33">
        <v>2000</v>
      </c>
      <c r="I14" s="33">
        <f t="shared" si="0"/>
        <v>750</v>
      </c>
      <c r="J14" s="44"/>
      <c r="K14" s="45" t="s">
        <v>237</v>
      </c>
    </row>
    <row r="15" s="1" customFormat="1" ht="80" customHeight="1" spans="1:11">
      <c r="A15" s="29"/>
      <c r="B15" s="30"/>
      <c r="C15" s="11"/>
      <c r="D15" s="31">
        <v>45062</v>
      </c>
      <c r="E15" s="32" t="s">
        <v>238</v>
      </c>
      <c r="F15" s="12" t="s">
        <v>234</v>
      </c>
      <c r="G15" s="12">
        <v>0.5</v>
      </c>
      <c r="H15" s="33">
        <v>970</v>
      </c>
      <c r="I15" s="33">
        <f t="shared" si="0"/>
        <v>485</v>
      </c>
      <c r="J15" s="44"/>
      <c r="K15" s="45" t="s">
        <v>239</v>
      </c>
    </row>
    <row r="16" s="1" customFormat="1" ht="39" customHeight="1" spans="1:11">
      <c r="A16" s="29"/>
      <c r="B16" s="30"/>
      <c r="C16" s="11"/>
      <c r="D16" s="34"/>
      <c r="E16" s="35"/>
      <c r="F16" s="12" t="s">
        <v>118</v>
      </c>
      <c r="G16" s="12">
        <f>11.6*3.4*0.3</f>
        <v>11.832</v>
      </c>
      <c r="H16" s="33">
        <v>706.32</v>
      </c>
      <c r="I16" s="33">
        <f t="shared" si="0"/>
        <v>8357.17824</v>
      </c>
      <c r="J16" s="44"/>
      <c r="K16" s="45" t="s">
        <v>232</v>
      </c>
    </row>
    <row r="17" s="1" customFormat="1" ht="66" customHeight="1" spans="1:11">
      <c r="A17" s="29"/>
      <c r="B17" s="30"/>
      <c r="C17" s="11"/>
      <c r="D17" s="34"/>
      <c r="E17" s="32" t="s">
        <v>240</v>
      </c>
      <c r="F17" s="12" t="s">
        <v>115</v>
      </c>
      <c r="G17" s="12">
        <v>29.43</v>
      </c>
      <c r="H17" s="33">
        <v>24.25</v>
      </c>
      <c r="I17" s="33">
        <f t="shared" si="0"/>
        <v>713.6775</v>
      </c>
      <c r="J17" s="44"/>
      <c r="K17" s="45" t="s">
        <v>241</v>
      </c>
    </row>
    <row r="18" s="1" customFormat="1" ht="82" customHeight="1" spans="1:16">
      <c r="A18" s="29"/>
      <c r="B18" s="30"/>
      <c r="C18" s="11"/>
      <c r="D18" s="34"/>
      <c r="E18" s="32" t="s">
        <v>242</v>
      </c>
      <c r="F18" s="12" t="s">
        <v>154</v>
      </c>
      <c r="G18" s="12">
        <v>10</v>
      </c>
      <c r="H18" s="33">
        <v>100</v>
      </c>
      <c r="I18" s="33">
        <f t="shared" si="0"/>
        <v>1000</v>
      </c>
      <c r="J18" s="44"/>
      <c r="K18" s="45" t="s">
        <v>227</v>
      </c>
      <c r="L18" s="1"/>
      <c r="P18" s="1">
        <f>I18+I19+I23</f>
        <v>2400</v>
      </c>
    </row>
    <row r="19" s="1" customFormat="1" ht="71" customHeight="1" spans="1:11">
      <c r="A19" s="29"/>
      <c r="B19" s="30"/>
      <c r="C19" s="11"/>
      <c r="D19" s="31">
        <v>45069</v>
      </c>
      <c r="E19" s="32" t="s">
        <v>243</v>
      </c>
      <c r="F19" s="12" t="s">
        <v>154</v>
      </c>
      <c r="G19" s="12">
        <v>4</v>
      </c>
      <c r="H19" s="33">
        <v>100</v>
      </c>
      <c r="I19" s="33">
        <f t="shared" si="0"/>
        <v>400</v>
      </c>
      <c r="J19" s="44"/>
      <c r="K19" s="45" t="s">
        <v>227</v>
      </c>
    </row>
    <row r="20" s="1" customFormat="1" ht="39" customHeight="1" spans="1:11">
      <c r="A20" s="29"/>
      <c r="B20" s="30"/>
      <c r="C20" s="11"/>
      <c r="D20" s="31">
        <v>45070</v>
      </c>
      <c r="E20" s="38" t="s">
        <v>244</v>
      </c>
      <c r="F20" s="12" t="s">
        <v>196</v>
      </c>
      <c r="G20" s="12">
        <v>1</v>
      </c>
      <c r="H20" s="33">
        <v>2400</v>
      </c>
      <c r="I20" s="33">
        <f t="shared" si="0"/>
        <v>2400</v>
      </c>
      <c r="J20" s="44"/>
      <c r="K20" s="45" t="s">
        <v>245</v>
      </c>
    </row>
    <row r="21" s="1" customFormat="1" ht="39" customHeight="1" spans="1:14">
      <c r="A21" s="29"/>
      <c r="B21" s="30"/>
      <c r="C21" s="11"/>
      <c r="D21" s="36"/>
      <c r="E21" s="32" t="s">
        <v>246</v>
      </c>
      <c r="F21" s="12" t="s">
        <v>154</v>
      </c>
      <c r="G21" s="12">
        <v>6</v>
      </c>
      <c r="H21" s="33">
        <v>100</v>
      </c>
      <c r="I21" s="33">
        <f t="shared" si="0"/>
        <v>600</v>
      </c>
      <c r="J21" s="44"/>
      <c r="K21" s="45" t="s">
        <v>227</v>
      </c>
      <c r="L21" s="1"/>
      <c r="M21" s="1">
        <f>(124.59-10)*1.09</f>
        <v>124.9031</v>
      </c>
      <c r="N21" s="1">
        <f>124.9/0.2</f>
        <v>624.5</v>
      </c>
    </row>
    <row r="22" s="1" customFormat="1" ht="39" customHeight="1" spans="1:11">
      <c r="A22" s="29"/>
      <c r="B22" s="30"/>
      <c r="C22" s="11"/>
      <c r="D22" s="37">
        <v>45074</v>
      </c>
      <c r="E22" s="38" t="s">
        <v>247</v>
      </c>
      <c r="F22" s="12" t="s">
        <v>154</v>
      </c>
      <c r="G22" s="12">
        <v>2</v>
      </c>
      <c r="H22" s="33">
        <v>100</v>
      </c>
      <c r="I22" s="33">
        <f t="shared" si="0"/>
        <v>200</v>
      </c>
      <c r="J22" s="44"/>
      <c r="K22" s="45" t="s">
        <v>227</v>
      </c>
    </row>
    <row r="23" s="1" customFormat="1" ht="64" customHeight="1" spans="1:11">
      <c r="A23" s="29"/>
      <c r="B23" s="30"/>
      <c r="C23" s="11"/>
      <c r="D23" s="34">
        <v>45076</v>
      </c>
      <c r="E23" s="35" t="s">
        <v>248</v>
      </c>
      <c r="F23" s="12" t="s">
        <v>154</v>
      </c>
      <c r="G23" s="12">
        <v>10</v>
      </c>
      <c r="H23" s="33">
        <v>100</v>
      </c>
      <c r="I23" s="33">
        <f t="shared" si="0"/>
        <v>1000</v>
      </c>
      <c r="J23" s="44"/>
      <c r="K23" s="45" t="s">
        <v>227</v>
      </c>
    </row>
    <row r="24" s="1" customFormat="1" ht="72" customHeight="1" spans="1:11">
      <c r="A24" s="29"/>
      <c r="B24" s="30"/>
      <c r="C24" s="11"/>
      <c r="D24" s="36"/>
      <c r="E24" s="35" t="s">
        <v>249</v>
      </c>
      <c r="F24" s="12" t="s">
        <v>154</v>
      </c>
      <c r="G24" s="12">
        <v>17</v>
      </c>
      <c r="H24" s="33">
        <v>100</v>
      </c>
      <c r="I24" s="33">
        <f t="shared" si="0"/>
        <v>1700</v>
      </c>
      <c r="J24" s="44"/>
      <c r="K24" s="45" t="s">
        <v>227</v>
      </c>
    </row>
    <row r="25" s="1" customFormat="1" ht="54" customHeight="1" spans="1:11">
      <c r="A25" s="29"/>
      <c r="B25" s="30"/>
      <c r="C25" s="11"/>
      <c r="D25" s="37">
        <v>45077</v>
      </c>
      <c r="E25" s="38" t="s">
        <v>250</v>
      </c>
      <c r="F25" s="12" t="s">
        <v>154</v>
      </c>
      <c r="G25" s="12">
        <v>4</v>
      </c>
      <c r="H25" s="33">
        <v>100</v>
      </c>
      <c r="I25" s="33">
        <f t="shared" si="0"/>
        <v>400</v>
      </c>
      <c r="J25" s="44"/>
      <c r="K25" s="45" t="s">
        <v>227</v>
      </c>
    </row>
    <row r="26" s="1" customFormat="1" ht="39" customHeight="1" spans="1:11">
      <c r="A26" s="29"/>
      <c r="B26" s="30"/>
      <c r="C26" s="11"/>
      <c r="D26" s="34">
        <v>45078</v>
      </c>
      <c r="E26" s="40" t="s">
        <v>251</v>
      </c>
      <c r="F26" s="12" t="s">
        <v>154</v>
      </c>
      <c r="G26" s="12">
        <v>8</v>
      </c>
      <c r="H26" s="33">
        <v>100</v>
      </c>
      <c r="I26" s="33">
        <f t="shared" si="0"/>
        <v>800</v>
      </c>
      <c r="J26" s="44"/>
      <c r="K26" s="45" t="s">
        <v>227</v>
      </c>
    </row>
    <row r="27" s="1" customFormat="1" ht="65" customHeight="1" spans="1:11">
      <c r="A27" s="29"/>
      <c r="B27" s="30"/>
      <c r="C27" s="11"/>
      <c r="D27" s="50" t="s">
        <v>252</v>
      </c>
      <c r="E27" s="32" t="s">
        <v>253</v>
      </c>
      <c r="F27" s="12" t="s">
        <v>115</v>
      </c>
      <c r="G27" s="12">
        <f>219*0.42</f>
        <v>91.98</v>
      </c>
      <c r="H27" s="33">
        <v>124.9</v>
      </c>
      <c r="I27" s="33">
        <f t="shared" si="0"/>
        <v>11488.302</v>
      </c>
      <c r="J27" s="44"/>
      <c r="K27" s="45" t="s">
        <v>254</v>
      </c>
    </row>
    <row r="28" s="1" customFormat="1" ht="39" customHeight="1" spans="1:11">
      <c r="A28" s="29"/>
      <c r="B28" s="30"/>
      <c r="C28" s="11"/>
      <c r="D28" s="31">
        <v>45088</v>
      </c>
      <c r="E28" s="32" t="s">
        <v>255</v>
      </c>
      <c r="F28" s="12" t="s">
        <v>154</v>
      </c>
      <c r="G28" s="12">
        <v>8</v>
      </c>
      <c r="H28" s="33">
        <v>180</v>
      </c>
      <c r="I28" s="33">
        <f t="shared" si="0"/>
        <v>1440</v>
      </c>
      <c r="J28" s="44"/>
      <c r="K28" s="45" t="s">
        <v>256</v>
      </c>
    </row>
    <row r="29" s="1" customFormat="1" ht="39" customHeight="1" spans="1:17">
      <c r="A29" s="29"/>
      <c r="B29" s="30"/>
      <c r="C29" s="11"/>
      <c r="D29" s="34"/>
      <c r="E29" s="40"/>
      <c r="F29" s="12" t="s">
        <v>154</v>
      </c>
      <c r="G29" s="12">
        <v>4</v>
      </c>
      <c r="H29" s="33">
        <v>100</v>
      </c>
      <c r="I29" s="33">
        <f t="shared" si="0"/>
        <v>400</v>
      </c>
      <c r="J29" s="44"/>
      <c r="K29" s="45" t="s">
        <v>227</v>
      </c>
      <c r="L29" s="1"/>
      <c r="Q29" s="1">
        <f>F31-P18-Q5</f>
        <v>21596.9795</v>
      </c>
    </row>
    <row r="30" s="1" customFormat="1" ht="39" customHeight="1" spans="1:11">
      <c r="A30" s="29"/>
      <c r="B30" s="30"/>
      <c r="C30" s="11"/>
      <c r="D30" s="36"/>
      <c r="E30" s="35"/>
      <c r="F30" s="12" t="s">
        <v>234</v>
      </c>
      <c r="G30" s="12">
        <v>1.5</v>
      </c>
      <c r="H30" s="33">
        <v>970</v>
      </c>
      <c r="I30" s="33">
        <f t="shared" si="0"/>
        <v>1455</v>
      </c>
      <c r="J30" s="44"/>
      <c r="K30" s="45" t="s">
        <v>257</v>
      </c>
    </row>
    <row r="31" s="1" customFormat="1" ht="22.5" customHeight="1" spans="1:11">
      <c r="A31" s="16"/>
      <c r="B31" s="17" t="s">
        <v>67</v>
      </c>
      <c r="C31" s="17"/>
      <c r="D31" s="17"/>
      <c r="E31" s="17"/>
      <c r="F31" s="18">
        <f>SUM(I3:I30)</f>
        <v>48211.99422</v>
      </c>
      <c r="G31" s="18"/>
      <c r="H31" s="41"/>
      <c r="I31" s="41"/>
      <c r="J31" s="41"/>
      <c r="K31" s="47"/>
    </row>
    <row r="32" s="1" customFormat="1" ht="18.75" customHeight="1" spans="2:12">
      <c r="B32" s="1" t="s">
        <v>258</v>
      </c>
      <c r="C32" s="1"/>
      <c r="D32" s="1"/>
      <c r="E32" s="1"/>
      <c r="F32" s="1" t="s">
        <v>20</v>
      </c>
      <c r="G32" s="19"/>
      <c r="H32" s="42"/>
      <c r="I32" s="48" t="s">
        <v>259</v>
      </c>
      <c r="J32" s="48"/>
      <c r="K32" s="48"/>
      <c r="L32" s="2"/>
    </row>
    <row r="33" s="1" customFormat="1" ht="20.25" customHeight="1" spans="2:12">
      <c r="B33" s="1" t="s">
        <v>21</v>
      </c>
      <c r="G33" s="19"/>
      <c r="H33" s="42"/>
      <c r="I33" s="48" t="s">
        <v>21</v>
      </c>
      <c r="J33" s="48"/>
      <c r="K33" s="48"/>
      <c r="L33" s="24"/>
    </row>
    <row r="34" s="1" customFormat="1" ht="2.25" customHeight="1" spans="7:12">
      <c r="G34" s="19"/>
      <c r="H34" s="42"/>
      <c r="I34" s="42"/>
      <c r="J34" s="42"/>
      <c r="K34" s="42"/>
      <c r="L34" s="2"/>
    </row>
    <row r="35" s="1" customFormat="1" ht="29.1" customHeight="1" spans="1:11">
      <c r="A35" s="2"/>
      <c r="B35" s="2"/>
      <c r="C35" s="2"/>
      <c r="D35" s="2"/>
      <c r="E35" s="2"/>
      <c r="H35" s="25"/>
      <c r="I35" s="25"/>
      <c r="J35" s="26"/>
      <c r="K35" s="26"/>
    </row>
    <row r="36" s="1" customFormat="1" ht="29.1" customHeight="1" spans="4:11">
      <c r="D36" s="2"/>
      <c r="E36" s="2"/>
      <c r="H36" s="25"/>
      <c r="I36" s="25"/>
      <c r="J36" s="26"/>
      <c r="K36" s="26"/>
    </row>
    <row r="37" s="1" customFormat="1" ht="29.1" customHeight="1" spans="4:11">
      <c r="D37" s="2"/>
      <c r="E37" s="2"/>
      <c r="H37" s="25"/>
      <c r="I37" s="25"/>
      <c r="J37" s="26"/>
      <c r="K37" s="26"/>
    </row>
    <row r="38" s="1" customFormat="1" ht="29.1" customHeight="1" spans="4:11">
      <c r="D38" s="2"/>
      <c r="E38" s="2"/>
      <c r="H38" s="25"/>
      <c r="I38" s="25"/>
      <c r="J38" s="26"/>
      <c r="K38" s="26"/>
    </row>
    <row r="39" s="1" customFormat="1" ht="29.1" hidden="1" customHeight="1" spans="4:11">
      <c r="D39" s="2"/>
      <c r="E39" s="2"/>
      <c r="F39" s="1" t="e">
        <f>F31+#REF!+#REF!</f>
        <v>#REF!</v>
      </c>
      <c r="H39" s="25"/>
      <c r="I39" s="25"/>
      <c r="J39" s="26"/>
      <c r="K39" s="26"/>
    </row>
    <row r="40" s="1" customFormat="1" ht="29.1" customHeight="1" spans="4:11">
      <c r="D40" s="2"/>
      <c r="E40" s="2"/>
      <c r="H40" s="25"/>
      <c r="I40" s="25"/>
      <c r="J40" s="26"/>
      <c r="K40" s="26"/>
    </row>
    <row r="41" s="1" customFormat="1" ht="29.1" customHeight="1" spans="4:11">
      <c r="D41" s="2"/>
      <c r="E41" s="2"/>
      <c r="H41" s="25"/>
      <c r="I41" s="25"/>
      <c r="J41" s="26"/>
      <c r="K41" s="26"/>
    </row>
    <row r="42" s="1" customFormat="1" ht="29.1" customHeight="1" spans="4:11">
      <c r="D42" s="2"/>
      <c r="E42" s="2"/>
      <c r="H42" s="25"/>
      <c r="I42" s="25"/>
      <c r="J42" s="26"/>
      <c r="K42" s="26"/>
    </row>
    <row r="43" s="1" customFormat="1" ht="29.1" customHeight="1" spans="4:11">
      <c r="D43" s="2"/>
      <c r="E43" s="2"/>
      <c r="H43" s="25"/>
      <c r="I43" s="25"/>
      <c r="J43" s="26"/>
      <c r="K43" s="26"/>
    </row>
    <row r="44" s="1" customFormat="1" ht="29.1" customHeight="1" spans="4:11">
      <c r="D44" s="2"/>
      <c r="E44" s="2"/>
      <c r="H44" s="25"/>
      <c r="I44" s="25"/>
      <c r="J44" s="26"/>
      <c r="K44" s="26"/>
    </row>
    <row r="45" s="1" customFormat="1" ht="29.1" customHeight="1" spans="4:11">
      <c r="D45" s="2"/>
      <c r="E45" s="2"/>
      <c r="H45" s="25"/>
      <c r="I45" s="25"/>
      <c r="J45" s="26"/>
      <c r="K45" s="26"/>
    </row>
    <row r="46" s="1" customFormat="1" ht="29.1" customHeight="1" spans="4:11">
      <c r="D46" s="2"/>
      <c r="E46" s="2"/>
      <c r="H46" s="25"/>
      <c r="I46" s="25"/>
      <c r="J46" s="26"/>
      <c r="K46" s="26"/>
    </row>
    <row r="47" s="1" customFormat="1" ht="29.1" customHeight="1" spans="4:11">
      <c r="D47" s="2"/>
      <c r="E47" s="2"/>
      <c r="H47" s="25"/>
      <c r="I47" s="25"/>
      <c r="J47" s="26"/>
      <c r="K47" s="26"/>
    </row>
  </sheetData>
  <mergeCells count="27">
    <mergeCell ref="A1:K1"/>
    <mergeCell ref="B31:E31"/>
    <mergeCell ref="F31:J31"/>
    <mergeCell ref="I32:L32"/>
    <mergeCell ref="I33:L33"/>
    <mergeCell ref="I34:L34"/>
    <mergeCell ref="A35:B35"/>
    <mergeCell ref="A3:A30"/>
    <mergeCell ref="A33:A34"/>
    <mergeCell ref="B3:B30"/>
    <mergeCell ref="B33:B34"/>
    <mergeCell ref="C3:C30"/>
    <mergeCell ref="D4:D6"/>
    <mergeCell ref="D7:D8"/>
    <mergeCell ref="D9:D12"/>
    <mergeCell ref="D13:D14"/>
    <mergeCell ref="D15:D18"/>
    <mergeCell ref="D20:D21"/>
    <mergeCell ref="D23:D24"/>
    <mergeCell ref="D28:D30"/>
    <mergeCell ref="E4:E6"/>
    <mergeCell ref="E7:E8"/>
    <mergeCell ref="E9:E12"/>
    <mergeCell ref="E13:E14"/>
    <mergeCell ref="E15:E16"/>
    <mergeCell ref="E28:E30"/>
    <mergeCell ref="J3:J3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opLeftCell="A9" workbookViewId="0">
      <selection activeCell="B46" sqref="B46"/>
    </sheetView>
  </sheetViews>
  <sheetFormatPr defaultColWidth="9" defaultRowHeight="12"/>
  <cols>
    <col min="1" max="1" width="5" style="1" customWidth="1"/>
    <col min="2" max="2" width="14.2222222222222" style="1" customWidth="1"/>
    <col min="3" max="3" width="13.7777777777778" style="1" customWidth="1"/>
    <col min="4" max="4" width="14.7777777777778" style="2" customWidth="1"/>
    <col min="5" max="5" width="19.7777777777778" style="2" customWidth="1"/>
    <col min="6" max="6" width="8.5" style="1" customWidth="1"/>
    <col min="7" max="7" width="10.8518518518519" style="1" customWidth="1"/>
    <col min="8" max="8" width="11.9907407407407" style="1" customWidth="1"/>
    <col min="9" max="9" width="13.4259259259259" style="1" customWidth="1"/>
    <col min="10" max="10" width="10.7777777777778" style="2" customWidth="1"/>
    <col min="11" max="11" width="29.6666666666667" style="2" customWidth="1"/>
    <col min="12" max="12" width="9.5" style="1"/>
    <col min="13" max="16384" width="9" style="1"/>
  </cols>
  <sheetData>
    <row r="1" s="1" customFormat="1" ht="41.25" customHeight="1" spans="1:11">
      <c r="A1" s="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5" t="s">
        <v>29</v>
      </c>
      <c r="B2" s="6" t="s">
        <v>64</v>
      </c>
      <c r="C2" s="6" t="s">
        <v>217</v>
      </c>
      <c r="D2" s="6" t="s">
        <v>218</v>
      </c>
      <c r="E2" s="6" t="s">
        <v>219</v>
      </c>
      <c r="F2" s="6" t="s">
        <v>101</v>
      </c>
      <c r="G2" s="6" t="s">
        <v>220</v>
      </c>
      <c r="H2" s="6" t="s">
        <v>221</v>
      </c>
      <c r="I2" s="6" t="s">
        <v>222</v>
      </c>
      <c r="J2" s="20" t="s">
        <v>34</v>
      </c>
      <c r="K2" s="20" t="s">
        <v>223</v>
      </c>
    </row>
    <row r="3" s="1" customFormat="1" ht="29" customHeight="1" spans="1:11">
      <c r="A3" s="29"/>
      <c r="B3" s="8" t="s">
        <v>260</v>
      </c>
      <c r="C3" s="8" t="s">
        <v>261</v>
      </c>
      <c r="D3" s="31">
        <v>45048</v>
      </c>
      <c r="E3" s="32" t="s">
        <v>262</v>
      </c>
      <c r="F3" s="12" t="s">
        <v>154</v>
      </c>
      <c r="G3" s="12">
        <v>4</v>
      </c>
      <c r="H3" s="12">
        <v>180</v>
      </c>
      <c r="I3" s="12">
        <f t="shared" ref="I3:I52" si="0">H3*G3</f>
        <v>720</v>
      </c>
      <c r="J3" s="21"/>
      <c r="K3" s="22" t="s">
        <v>256</v>
      </c>
    </row>
    <row r="4" s="1" customFormat="1" ht="29" customHeight="1" spans="1:11">
      <c r="A4" s="29"/>
      <c r="B4" s="51"/>
      <c r="C4" s="51"/>
      <c r="D4" s="36"/>
      <c r="E4" s="35"/>
      <c r="F4" s="12" t="s">
        <v>154</v>
      </c>
      <c r="G4" s="12">
        <v>1</v>
      </c>
      <c r="H4" s="12">
        <v>100</v>
      </c>
      <c r="I4" s="12">
        <f t="shared" si="0"/>
        <v>100</v>
      </c>
      <c r="J4" s="21"/>
      <c r="K4" s="22" t="s">
        <v>227</v>
      </c>
    </row>
    <row r="5" s="1" customFormat="1" ht="29" customHeight="1" spans="1:11">
      <c r="A5" s="29"/>
      <c r="B5" s="51"/>
      <c r="C5" s="51"/>
      <c r="D5" s="31">
        <v>45049</v>
      </c>
      <c r="E5" s="32" t="s">
        <v>262</v>
      </c>
      <c r="F5" s="12" t="s">
        <v>154</v>
      </c>
      <c r="G5" s="12">
        <v>4</v>
      </c>
      <c r="H5" s="12">
        <v>180</v>
      </c>
      <c r="I5" s="12">
        <f t="shared" si="0"/>
        <v>720</v>
      </c>
      <c r="J5" s="21"/>
      <c r="K5" s="22" t="s">
        <v>256</v>
      </c>
    </row>
    <row r="6" s="1" customFormat="1" ht="29" customHeight="1" spans="1:11">
      <c r="A6" s="29"/>
      <c r="B6" s="51"/>
      <c r="C6" s="51"/>
      <c r="D6" s="36"/>
      <c r="E6" s="35"/>
      <c r="F6" s="12" t="s">
        <v>154</v>
      </c>
      <c r="G6" s="12">
        <v>1</v>
      </c>
      <c r="H6" s="12">
        <v>100</v>
      </c>
      <c r="I6" s="12">
        <f t="shared" si="0"/>
        <v>100</v>
      </c>
      <c r="J6" s="21"/>
      <c r="K6" s="22" t="s">
        <v>227</v>
      </c>
    </row>
    <row r="7" s="1" customFormat="1" ht="29" customHeight="1" spans="1:11">
      <c r="A7" s="29"/>
      <c r="B7" s="51"/>
      <c r="C7" s="51"/>
      <c r="D7" s="31">
        <v>45050</v>
      </c>
      <c r="E7" s="32" t="s">
        <v>262</v>
      </c>
      <c r="F7" s="12" t="s">
        <v>154</v>
      </c>
      <c r="G7" s="12">
        <v>8</v>
      </c>
      <c r="H7" s="12">
        <v>180</v>
      </c>
      <c r="I7" s="12">
        <f t="shared" si="0"/>
        <v>1440</v>
      </c>
      <c r="J7" s="21"/>
      <c r="K7" s="22" t="s">
        <v>256</v>
      </c>
    </row>
    <row r="8" s="1" customFormat="1" ht="29" customHeight="1" spans="1:11">
      <c r="A8" s="29"/>
      <c r="B8" s="51"/>
      <c r="C8" s="51"/>
      <c r="D8" s="36"/>
      <c r="E8" s="35"/>
      <c r="F8" s="12" t="s">
        <v>154</v>
      </c>
      <c r="G8" s="12">
        <v>1</v>
      </c>
      <c r="H8" s="12">
        <v>100</v>
      </c>
      <c r="I8" s="12">
        <f t="shared" si="0"/>
        <v>100</v>
      </c>
      <c r="J8" s="21"/>
      <c r="K8" s="22" t="s">
        <v>227</v>
      </c>
    </row>
    <row r="9" s="1" customFormat="1" ht="29" customHeight="1" spans="1:11">
      <c r="A9" s="29"/>
      <c r="B9" s="51"/>
      <c r="C9" s="51"/>
      <c r="D9" s="31">
        <v>45051</v>
      </c>
      <c r="E9" s="32" t="s">
        <v>263</v>
      </c>
      <c r="F9" s="12" t="s">
        <v>154</v>
      </c>
      <c r="G9" s="12">
        <v>4</v>
      </c>
      <c r="H9" s="12">
        <v>180</v>
      </c>
      <c r="I9" s="12">
        <f t="shared" si="0"/>
        <v>720</v>
      </c>
      <c r="J9" s="21"/>
      <c r="K9" s="22" t="s">
        <v>256</v>
      </c>
    </row>
    <row r="10" s="1" customFormat="1" ht="29" customHeight="1" spans="1:11">
      <c r="A10" s="29"/>
      <c r="B10" s="51"/>
      <c r="C10" s="51"/>
      <c r="D10" s="34"/>
      <c r="E10" s="35"/>
      <c r="F10" s="12" t="s">
        <v>154</v>
      </c>
      <c r="G10" s="12">
        <v>7</v>
      </c>
      <c r="H10" s="12">
        <v>100</v>
      </c>
      <c r="I10" s="12">
        <f t="shared" si="0"/>
        <v>700</v>
      </c>
      <c r="J10" s="21"/>
      <c r="K10" s="22" t="s">
        <v>227</v>
      </c>
    </row>
    <row r="11" s="1" customFormat="1" ht="29" customHeight="1" spans="1:11">
      <c r="A11" s="29"/>
      <c r="B11" s="51"/>
      <c r="C11" s="51"/>
      <c r="D11" s="34"/>
      <c r="E11" s="32" t="s">
        <v>264</v>
      </c>
      <c r="F11" s="12" t="s">
        <v>154</v>
      </c>
      <c r="G11" s="12">
        <v>3</v>
      </c>
      <c r="H11" s="12">
        <v>180</v>
      </c>
      <c r="I11" s="12">
        <f t="shared" si="0"/>
        <v>540</v>
      </c>
      <c r="J11" s="21"/>
      <c r="K11" s="22" t="s">
        <v>256</v>
      </c>
    </row>
    <row r="12" s="1" customFormat="1" ht="29" customHeight="1" spans="1:11">
      <c r="A12" s="29"/>
      <c r="B12" s="51"/>
      <c r="C12" s="51"/>
      <c r="D12" s="36"/>
      <c r="E12" s="35"/>
      <c r="F12" s="12" t="s">
        <v>154</v>
      </c>
      <c r="G12" s="12">
        <v>2</v>
      </c>
      <c r="H12" s="12">
        <v>100</v>
      </c>
      <c r="I12" s="12">
        <f t="shared" si="0"/>
        <v>200</v>
      </c>
      <c r="J12" s="21"/>
      <c r="K12" s="22" t="s">
        <v>227</v>
      </c>
    </row>
    <row r="13" s="1" customFormat="1" ht="29" customHeight="1" spans="1:11">
      <c r="A13" s="29"/>
      <c r="B13" s="51"/>
      <c r="C13" s="51"/>
      <c r="D13" s="31">
        <v>45062</v>
      </c>
      <c r="E13" s="32" t="s">
        <v>265</v>
      </c>
      <c r="F13" s="12" t="s">
        <v>154</v>
      </c>
      <c r="G13" s="12">
        <v>1</v>
      </c>
      <c r="H13" s="12">
        <v>180</v>
      </c>
      <c r="I13" s="12">
        <f t="shared" si="0"/>
        <v>180</v>
      </c>
      <c r="J13" s="21"/>
      <c r="K13" s="22" t="s">
        <v>256</v>
      </c>
    </row>
    <row r="14" s="1" customFormat="1" ht="29" customHeight="1" spans="1:11">
      <c r="A14" s="29"/>
      <c r="B14" s="51"/>
      <c r="C14" s="51"/>
      <c r="D14" s="36"/>
      <c r="E14" s="35"/>
      <c r="F14" s="12" t="s">
        <v>154</v>
      </c>
      <c r="G14" s="12">
        <v>8</v>
      </c>
      <c r="H14" s="12">
        <v>100</v>
      </c>
      <c r="I14" s="12">
        <f t="shared" si="0"/>
        <v>800</v>
      </c>
      <c r="J14" s="21"/>
      <c r="K14" s="22" t="s">
        <v>227</v>
      </c>
    </row>
    <row r="15" s="1" customFormat="1" ht="29" customHeight="1" spans="1:11">
      <c r="A15" s="29"/>
      <c r="B15" s="51"/>
      <c r="C15" s="51"/>
      <c r="D15" s="55">
        <v>45063</v>
      </c>
      <c r="E15" s="56" t="s">
        <v>266</v>
      </c>
      <c r="F15" s="12" t="s">
        <v>154</v>
      </c>
      <c r="G15" s="12">
        <v>1</v>
      </c>
      <c r="H15" s="12">
        <v>180</v>
      </c>
      <c r="I15" s="12">
        <f t="shared" si="0"/>
        <v>180</v>
      </c>
      <c r="J15" s="21"/>
      <c r="K15" s="22" t="s">
        <v>256</v>
      </c>
    </row>
    <row r="16" s="1" customFormat="1" ht="29" customHeight="1" spans="1:11">
      <c r="A16" s="29"/>
      <c r="B16" s="51"/>
      <c r="C16" s="52"/>
      <c r="D16" s="57"/>
      <c r="E16" s="58"/>
      <c r="F16" s="12" t="s">
        <v>154</v>
      </c>
      <c r="G16" s="12">
        <v>8</v>
      </c>
      <c r="H16" s="12">
        <v>100</v>
      </c>
      <c r="I16" s="12">
        <f t="shared" si="0"/>
        <v>800</v>
      </c>
      <c r="J16" s="21"/>
      <c r="K16" s="22" t="s">
        <v>227</v>
      </c>
    </row>
    <row r="17" s="1" customFormat="1" ht="29" customHeight="1" spans="1:11">
      <c r="A17" s="29"/>
      <c r="B17" s="51"/>
      <c r="C17" s="52"/>
      <c r="D17" s="31">
        <v>45064</v>
      </c>
      <c r="E17" s="32" t="s">
        <v>267</v>
      </c>
      <c r="F17" s="12" t="s">
        <v>154</v>
      </c>
      <c r="G17" s="12">
        <v>6</v>
      </c>
      <c r="H17" s="12">
        <v>180</v>
      </c>
      <c r="I17" s="12">
        <f t="shared" si="0"/>
        <v>1080</v>
      </c>
      <c r="J17" s="21"/>
      <c r="K17" s="22" t="s">
        <v>256</v>
      </c>
    </row>
    <row r="18" s="1" customFormat="1" ht="29" customHeight="1" spans="1:11">
      <c r="A18" s="29"/>
      <c r="B18" s="51"/>
      <c r="C18" s="52"/>
      <c r="D18" s="36"/>
      <c r="E18" s="35"/>
      <c r="F18" s="12" t="s">
        <v>154</v>
      </c>
      <c r="G18" s="12">
        <v>20</v>
      </c>
      <c r="H18" s="12">
        <v>100</v>
      </c>
      <c r="I18" s="12">
        <f t="shared" si="0"/>
        <v>2000</v>
      </c>
      <c r="J18" s="21"/>
      <c r="K18" s="22" t="s">
        <v>227</v>
      </c>
    </row>
    <row r="19" s="1" customFormat="1" ht="29" customHeight="1" spans="1:11">
      <c r="A19" s="29"/>
      <c r="B19" s="51"/>
      <c r="C19" s="52"/>
      <c r="D19" s="31">
        <v>45065</v>
      </c>
      <c r="E19" s="32" t="s">
        <v>268</v>
      </c>
      <c r="F19" s="12" t="s">
        <v>154</v>
      </c>
      <c r="G19" s="12">
        <v>2</v>
      </c>
      <c r="H19" s="12">
        <v>180</v>
      </c>
      <c r="I19" s="12">
        <f t="shared" si="0"/>
        <v>360</v>
      </c>
      <c r="J19" s="21"/>
      <c r="K19" s="22" t="s">
        <v>256</v>
      </c>
    </row>
    <row r="20" s="1" customFormat="1" ht="29" customHeight="1" spans="1:11">
      <c r="A20" s="29"/>
      <c r="B20" s="51"/>
      <c r="C20" s="52"/>
      <c r="D20" s="36"/>
      <c r="E20" s="35"/>
      <c r="F20" s="12" t="s">
        <v>154</v>
      </c>
      <c r="G20" s="12">
        <v>18</v>
      </c>
      <c r="H20" s="12">
        <v>100</v>
      </c>
      <c r="I20" s="12">
        <f t="shared" si="0"/>
        <v>1800</v>
      </c>
      <c r="J20" s="21"/>
      <c r="K20" s="22" t="s">
        <v>227</v>
      </c>
    </row>
    <row r="21" s="1" customFormat="1" ht="29" customHeight="1" spans="1:11">
      <c r="A21" s="29"/>
      <c r="B21" s="59"/>
      <c r="C21" s="52"/>
      <c r="D21" s="31">
        <v>45066</v>
      </c>
      <c r="E21" s="32" t="s">
        <v>269</v>
      </c>
      <c r="F21" s="12" t="s">
        <v>154</v>
      </c>
      <c r="G21" s="12">
        <v>6</v>
      </c>
      <c r="H21" s="12">
        <v>180</v>
      </c>
      <c r="I21" s="12">
        <f t="shared" si="0"/>
        <v>1080</v>
      </c>
      <c r="J21" s="21"/>
      <c r="K21" s="22" t="s">
        <v>256</v>
      </c>
    </row>
    <row r="22" s="1" customFormat="1" ht="29" customHeight="1" spans="1:11">
      <c r="A22" s="29"/>
      <c r="B22" s="59"/>
      <c r="C22" s="52"/>
      <c r="D22" s="36"/>
      <c r="E22" s="35"/>
      <c r="F22" s="12" t="s">
        <v>154</v>
      </c>
      <c r="G22" s="12">
        <v>10</v>
      </c>
      <c r="H22" s="12">
        <v>100</v>
      </c>
      <c r="I22" s="12">
        <f t="shared" si="0"/>
        <v>1000</v>
      </c>
      <c r="J22" s="21"/>
      <c r="K22" s="22" t="s">
        <v>227</v>
      </c>
    </row>
    <row r="23" s="1" customFormat="1" ht="29" customHeight="1" spans="1:11">
      <c r="A23" s="29"/>
      <c r="B23" s="59"/>
      <c r="C23" s="52"/>
      <c r="D23" s="31">
        <v>45068</v>
      </c>
      <c r="E23" s="32" t="s">
        <v>270</v>
      </c>
      <c r="F23" s="12" t="s">
        <v>154</v>
      </c>
      <c r="G23" s="12">
        <v>2</v>
      </c>
      <c r="H23" s="12">
        <v>180</v>
      </c>
      <c r="I23" s="12">
        <f t="shared" si="0"/>
        <v>360</v>
      </c>
      <c r="J23" s="21"/>
      <c r="K23" s="22" t="s">
        <v>256</v>
      </c>
    </row>
    <row r="24" s="1" customFormat="1" ht="29" customHeight="1" spans="1:11">
      <c r="A24" s="29"/>
      <c r="B24" s="59"/>
      <c r="C24" s="52"/>
      <c r="D24" s="34"/>
      <c r="E24" s="40"/>
      <c r="F24" s="12" t="s">
        <v>154</v>
      </c>
      <c r="G24" s="12">
        <v>14</v>
      </c>
      <c r="H24" s="12">
        <v>100</v>
      </c>
      <c r="I24" s="12">
        <f t="shared" si="0"/>
        <v>1400</v>
      </c>
      <c r="J24" s="21"/>
      <c r="K24" s="22" t="s">
        <v>227</v>
      </c>
    </row>
    <row r="25" s="1" customFormat="1" ht="29" customHeight="1" spans="1:11">
      <c r="A25" s="29"/>
      <c r="B25" s="59"/>
      <c r="C25" s="52"/>
      <c r="D25" s="34"/>
      <c r="E25" s="40"/>
      <c r="F25" s="12" t="s">
        <v>234</v>
      </c>
      <c r="G25" s="12">
        <v>1</v>
      </c>
      <c r="H25" s="12">
        <v>1200</v>
      </c>
      <c r="I25" s="12">
        <f t="shared" si="0"/>
        <v>1200</v>
      </c>
      <c r="J25" s="21"/>
      <c r="K25" s="22" t="s">
        <v>271</v>
      </c>
    </row>
    <row r="26" s="1" customFormat="1" ht="29" customHeight="1" spans="1:11">
      <c r="A26" s="29"/>
      <c r="B26" s="59"/>
      <c r="C26" s="52"/>
      <c r="D26" s="36"/>
      <c r="E26" s="35"/>
      <c r="F26" s="12" t="s">
        <v>229</v>
      </c>
      <c r="G26" s="12">
        <v>6</v>
      </c>
      <c r="H26" s="12">
        <v>291</v>
      </c>
      <c r="I26" s="12">
        <f t="shared" si="0"/>
        <v>1746</v>
      </c>
      <c r="J26" s="21"/>
      <c r="K26" s="22" t="s">
        <v>272</v>
      </c>
    </row>
    <row r="27" s="1" customFormat="1" ht="29" customHeight="1" spans="1:11">
      <c r="A27" s="29"/>
      <c r="B27" s="59"/>
      <c r="C27" s="52"/>
      <c r="D27" s="31">
        <v>45069</v>
      </c>
      <c r="E27" s="32" t="s">
        <v>273</v>
      </c>
      <c r="F27" s="12" t="s">
        <v>154</v>
      </c>
      <c r="G27" s="12">
        <v>1</v>
      </c>
      <c r="H27" s="12">
        <v>180</v>
      </c>
      <c r="I27" s="12">
        <f t="shared" si="0"/>
        <v>180</v>
      </c>
      <c r="J27" s="21"/>
      <c r="K27" s="22" t="s">
        <v>256</v>
      </c>
    </row>
    <row r="28" s="1" customFormat="1" ht="29" customHeight="1" spans="1:11">
      <c r="A28" s="29"/>
      <c r="B28" s="59"/>
      <c r="C28" s="52"/>
      <c r="D28" s="34"/>
      <c r="E28" s="40"/>
      <c r="F28" s="12" t="s">
        <v>154</v>
      </c>
      <c r="G28" s="12">
        <v>9</v>
      </c>
      <c r="H28" s="12">
        <v>100</v>
      </c>
      <c r="I28" s="12">
        <f t="shared" si="0"/>
        <v>900</v>
      </c>
      <c r="J28" s="21"/>
      <c r="K28" s="22" t="s">
        <v>227</v>
      </c>
    </row>
    <row r="29" s="1" customFormat="1" ht="29" customHeight="1" spans="1:11">
      <c r="A29" s="29"/>
      <c r="B29" s="59"/>
      <c r="C29" s="52"/>
      <c r="D29" s="36"/>
      <c r="E29" s="35"/>
      <c r="F29" s="12" t="s">
        <v>234</v>
      </c>
      <c r="G29" s="12">
        <v>1</v>
      </c>
      <c r="H29" s="12">
        <v>291</v>
      </c>
      <c r="I29" s="12">
        <f t="shared" si="0"/>
        <v>291</v>
      </c>
      <c r="J29" s="21"/>
      <c r="K29" s="22" t="s">
        <v>271</v>
      </c>
    </row>
    <row r="30" s="1" customFormat="1" ht="29" customHeight="1" spans="1:11">
      <c r="A30" s="29"/>
      <c r="B30" s="59"/>
      <c r="C30" s="52"/>
      <c r="D30" s="31">
        <v>45070</v>
      </c>
      <c r="E30" s="32" t="s">
        <v>274</v>
      </c>
      <c r="F30" s="12" t="s">
        <v>154</v>
      </c>
      <c r="G30" s="12">
        <v>4</v>
      </c>
      <c r="H30" s="12">
        <v>180</v>
      </c>
      <c r="I30" s="12">
        <f t="shared" si="0"/>
        <v>720</v>
      </c>
      <c r="J30" s="21"/>
      <c r="K30" s="22" t="s">
        <v>256</v>
      </c>
    </row>
    <row r="31" s="1" customFormat="1" ht="29" customHeight="1" spans="1:11">
      <c r="A31" s="29"/>
      <c r="B31" s="59"/>
      <c r="C31" s="52"/>
      <c r="D31" s="34"/>
      <c r="E31" s="40"/>
      <c r="F31" s="12" t="s">
        <v>154</v>
      </c>
      <c r="G31" s="12">
        <v>12</v>
      </c>
      <c r="H31" s="12">
        <v>100</v>
      </c>
      <c r="I31" s="12">
        <f t="shared" si="0"/>
        <v>1200</v>
      </c>
      <c r="J31" s="21"/>
      <c r="K31" s="22" t="s">
        <v>227</v>
      </c>
    </row>
    <row r="32" s="1" customFormat="1" ht="29" customHeight="1" spans="1:11">
      <c r="A32" s="29"/>
      <c r="B32" s="59"/>
      <c r="C32" s="52"/>
      <c r="D32" s="34"/>
      <c r="E32" s="40"/>
      <c r="F32" s="12" t="s">
        <v>234</v>
      </c>
      <c r="G32" s="12">
        <v>1</v>
      </c>
      <c r="H32" s="12">
        <v>1200</v>
      </c>
      <c r="I32" s="12">
        <f t="shared" si="0"/>
        <v>1200</v>
      </c>
      <c r="J32" s="21"/>
      <c r="K32" s="22" t="s">
        <v>271</v>
      </c>
    </row>
    <row r="33" s="1" customFormat="1" ht="29" customHeight="1" spans="1:11">
      <c r="A33" s="29"/>
      <c r="B33" s="59"/>
      <c r="C33" s="52"/>
      <c r="D33" s="36"/>
      <c r="E33" s="35"/>
      <c r="F33" s="12" t="s">
        <v>229</v>
      </c>
      <c r="G33" s="12">
        <v>4</v>
      </c>
      <c r="H33" s="12">
        <v>291</v>
      </c>
      <c r="I33" s="12">
        <f t="shared" si="0"/>
        <v>1164</v>
      </c>
      <c r="J33" s="21"/>
      <c r="K33" s="22" t="s">
        <v>272</v>
      </c>
    </row>
    <row r="34" s="1" customFormat="1" ht="29" customHeight="1" spans="1:11">
      <c r="A34" s="29"/>
      <c r="B34" s="59"/>
      <c r="C34" s="52"/>
      <c r="D34" s="31">
        <v>45071</v>
      </c>
      <c r="E34" s="32" t="s">
        <v>275</v>
      </c>
      <c r="F34" s="12" t="s">
        <v>154</v>
      </c>
      <c r="G34" s="12">
        <v>1</v>
      </c>
      <c r="H34" s="12">
        <v>180</v>
      </c>
      <c r="I34" s="12">
        <f t="shared" si="0"/>
        <v>180</v>
      </c>
      <c r="J34" s="21"/>
      <c r="K34" s="22" t="s">
        <v>256</v>
      </c>
    </row>
    <row r="35" s="1" customFormat="1" ht="29" customHeight="1" spans="1:11">
      <c r="A35" s="29"/>
      <c r="B35" s="59"/>
      <c r="C35" s="52"/>
      <c r="D35" s="34"/>
      <c r="E35" s="40"/>
      <c r="F35" s="12" t="s">
        <v>154</v>
      </c>
      <c r="G35" s="12">
        <v>16</v>
      </c>
      <c r="H35" s="12">
        <v>100</v>
      </c>
      <c r="I35" s="12">
        <f t="shared" si="0"/>
        <v>1600</v>
      </c>
      <c r="J35" s="21"/>
      <c r="K35" s="22" t="s">
        <v>227</v>
      </c>
    </row>
    <row r="36" s="1" customFormat="1" ht="29" customHeight="1" spans="1:11">
      <c r="A36" s="29"/>
      <c r="B36" s="59"/>
      <c r="C36" s="52"/>
      <c r="D36" s="34"/>
      <c r="E36" s="40"/>
      <c r="F36" s="12" t="s">
        <v>234</v>
      </c>
      <c r="G36" s="12">
        <v>1</v>
      </c>
      <c r="H36" s="12">
        <v>1200</v>
      </c>
      <c r="I36" s="12">
        <f t="shared" si="0"/>
        <v>1200</v>
      </c>
      <c r="J36" s="21"/>
      <c r="K36" s="22" t="s">
        <v>271</v>
      </c>
    </row>
    <row r="37" s="1" customFormat="1" ht="29" customHeight="1" spans="1:11">
      <c r="A37" s="29"/>
      <c r="B37" s="59"/>
      <c r="C37" s="52"/>
      <c r="D37" s="34"/>
      <c r="E37" s="40"/>
      <c r="F37" s="12" t="s">
        <v>229</v>
      </c>
      <c r="G37" s="12">
        <v>3</v>
      </c>
      <c r="H37" s="12">
        <v>291</v>
      </c>
      <c r="I37" s="12">
        <f t="shared" si="0"/>
        <v>873</v>
      </c>
      <c r="J37" s="21"/>
      <c r="K37" s="22" t="s">
        <v>272</v>
      </c>
    </row>
    <row r="38" s="1" customFormat="1" ht="29" customHeight="1" spans="1:11">
      <c r="A38" s="29"/>
      <c r="B38" s="59"/>
      <c r="C38" s="52"/>
      <c r="D38" s="36"/>
      <c r="E38" s="35"/>
      <c r="F38" s="12" t="s">
        <v>229</v>
      </c>
      <c r="G38" s="12">
        <v>8</v>
      </c>
      <c r="H38" s="12">
        <v>300</v>
      </c>
      <c r="I38" s="12">
        <f t="shared" si="0"/>
        <v>2400</v>
      </c>
      <c r="J38" s="21"/>
      <c r="K38" s="22" t="s">
        <v>276</v>
      </c>
    </row>
    <row r="39" s="1" customFormat="1" ht="29" customHeight="1" spans="1:11">
      <c r="A39" s="29"/>
      <c r="B39" s="59"/>
      <c r="C39" s="52"/>
      <c r="D39" s="31">
        <v>45072</v>
      </c>
      <c r="E39" s="32" t="s">
        <v>277</v>
      </c>
      <c r="F39" s="12" t="s">
        <v>154</v>
      </c>
      <c r="G39" s="12">
        <v>2</v>
      </c>
      <c r="H39" s="12">
        <v>180</v>
      </c>
      <c r="I39" s="12">
        <f t="shared" si="0"/>
        <v>360</v>
      </c>
      <c r="J39" s="21"/>
      <c r="K39" s="22" t="s">
        <v>256</v>
      </c>
    </row>
    <row r="40" s="1" customFormat="1" ht="29" customHeight="1" spans="1:11">
      <c r="A40" s="29"/>
      <c r="B40" s="59"/>
      <c r="C40" s="52"/>
      <c r="D40" s="34"/>
      <c r="E40" s="40"/>
      <c r="F40" s="12" t="s">
        <v>154</v>
      </c>
      <c r="G40" s="12">
        <v>31</v>
      </c>
      <c r="H40" s="12">
        <v>100</v>
      </c>
      <c r="I40" s="12">
        <f t="shared" si="0"/>
        <v>3100</v>
      </c>
      <c r="J40" s="21"/>
      <c r="K40" s="22" t="s">
        <v>227</v>
      </c>
    </row>
    <row r="41" s="1" customFormat="1" ht="29" customHeight="1" spans="1:11">
      <c r="A41" s="29"/>
      <c r="B41" s="59"/>
      <c r="C41" s="52"/>
      <c r="D41" s="34"/>
      <c r="E41" s="40"/>
      <c r="F41" s="12" t="s">
        <v>234</v>
      </c>
      <c r="G41" s="12">
        <v>1</v>
      </c>
      <c r="H41" s="12">
        <v>1200</v>
      </c>
      <c r="I41" s="12">
        <f t="shared" si="0"/>
        <v>1200</v>
      </c>
      <c r="J41" s="21"/>
      <c r="K41" s="22" t="s">
        <v>271</v>
      </c>
    </row>
    <row r="42" s="1" customFormat="1" ht="29" customHeight="1" spans="1:11">
      <c r="A42" s="29"/>
      <c r="B42" s="59"/>
      <c r="C42" s="52"/>
      <c r="D42" s="36"/>
      <c r="E42" s="35"/>
      <c r="F42" s="12" t="s">
        <v>278</v>
      </c>
      <c r="G42" s="12">
        <v>5</v>
      </c>
      <c r="H42" s="12">
        <v>50</v>
      </c>
      <c r="I42" s="12">
        <f t="shared" si="0"/>
        <v>250</v>
      </c>
      <c r="J42" s="21"/>
      <c r="K42" s="22" t="s">
        <v>279</v>
      </c>
    </row>
    <row r="43" s="1" customFormat="1" ht="29" customHeight="1" spans="1:11">
      <c r="A43" s="29"/>
      <c r="B43" s="59"/>
      <c r="C43" s="52"/>
      <c r="D43" s="31">
        <v>45073</v>
      </c>
      <c r="E43" s="32" t="s">
        <v>280</v>
      </c>
      <c r="F43" s="12" t="s">
        <v>154</v>
      </c>
      <c r="G43" s="12">
        <v>2</v>
      </c>
      <c r="H43" s="12">
        <v>180</v>
      </c>
      <c r="I43" s="12">
        <f t="shared" si="0"/>
        <v>360</v>
      </c>
      <c r="J43" s="21"/>
      <c r="K43" s="22" t="s">
        <v>256</v>
      </c>
    </row>
    <row r="44" s="1" customFormat="1" ht="29" customHeight="1" spans="1:11">
      <c r="A44" s="29"/>
      <c r="B44" s="59"/>
      <c r="C44" s="52"/>
      <c r="D44" s="34"/>
      <c r="E44" s="40"/>
      <c r="F44" s="12" t="s">
        <v>154</v>
      </c>
      <c r="G44" s="12">
        <v>10</v>
      </c>
      <c r="H44" s="12">
        <v>100</v>
      </c>
      <c r="I44" s="12">
        <f t="shared" si="0"/>
        <v>1000</v>
      </c>
      <c r="J44" s="21"/>
      <c r="K44" s="22" t="s">
        <v>227</v>
      </c>
    </row>
    <row r="45" s="1" customFormat="1" ht="29" customHeight="1" spans="1:11">
      <c r="A45" s="29"/>
      <c r="B45" s="59"/>
      <c r="C45" s="52"/>
      <c r="D45" s="34"/>
      <c r="E45" s="40"/>
      <c r="F45" s="12" t="s">
        <v>234</v>
      </c>
      <c r="G45" s="12">
        <v>1</v>
      </c>
      <c r="H45" s="12">
        <v>1200</v>
      </c>
      <c r="I45" s="12">
        <f t="shared" si="0"/>
        <v>1200</v>
      </c>
      <c r="J45" s="21"/>
      <c r="K45" s="22" t="s">
        <v>271</v>
      </c>
    </row>
    <row r="46" s="1" customFormat="1" ht="29" customHeight="1" spans="1:11">
      <c r="A46" s="29"/>
      <c r="B46" s="59"/>
      <c r="C46" s="52"/>
      <c r="D46" s="34"/>
      <c r="E46" s="40"/>
      <c r="F46" s="12" t="s">
        <v>229</v>
      </c>
      <c r="G46" s="12">
        <v>4</v>
      </c>
      <c r="H46" s="12">
        <v>291</v>
      </c>
      <c r="I46" s="12">
        <f t="shared" si="0"/>
        <v>1164</v>
      </c>
      <c r="J46" s="21"/>
      <c r="K46" s="22" t="s">
        <v>272</v>
      </c>
    </row>
    <row r="47" s="1" customFormat="1" ht="29" customHeight="1" spans="1:11">
      <c r="A47" s="29"/>
      <c r="B47" s="51"/>
      <c r="C47" s="52"/>
      <c r="D47" s="36"/>
      <c r="E47" s="35"/>
      <c r="F47" s="12" t="s">
        <v>229</v>
      </c>
      <c r="G47" s="12">
        <v>6</v>
      </c>
      <c r="H47" s="12">
        <v>300</v>
      </c>
      <c r="I47" s="12">
        <f t="shared" si="0"/>
        <v>1800</v>
      </c>
      <c r="J47" s="21"/>
      <c r="K47" s="22" t="s">
        <v>276</v>
      </c>
    </row>
    <row r="48" s="1" customFormat="1" ht="29" customHeight="1" spans="1:11">
      <c r="A48" s="29"/>
      <c r="B48" s="51"/>
      <c r="C48" s="52"/>
      <c r="D48" s="31">
        <v>45077</v>
      </c>
      <c r="E48" s="32" t="s">
        <v>281</v>
      </c>
      <c r="F48" s="12" t="s">
        <v>154</v>
      </c>
      <c r="G48" s="12">
        <v>2</v>
      </c>
      <c r="H48" s="12">
        <v>100</v>
      </c>
      <c r="I48" s="12">
        <f t="shared" si="0"/>
        <v>200</v>
      </c>
      <c r="J48" s="21"/>
      <c r="K48" s="22"/>
    </row>
    <row r="49" s="1" customFormat="1" ht="29" customHeight="1" spans="1:11">
      <c r="A49" s="29"/>
      <c r="B49" s="51"/>
      <c r="C49" s="52"/>
      <c r="D49" s="36"/>
      <c r="E49" s="35"/>
      <c r="F49" s="12" t="s">
        <v>229</v>
      </c>
      <c r="G49" s="12">
        <v>6</v>
      </c>
      <c r="H49" s="12">
        <v>300</v>
      </c>
      <c r="I49" s="12">
        <f t="shared" si="0"/>
        <v>1800</v>
      </c>
      <c r="J49" s="21"/>
      <c r="K49" s="22" t="s">
        <v>276</v>
      </c>
    </row>
    <row r="50" s="1" customFormat="1" ht="29" customHeight="1" spans="1:11">
      <c r="A50" s="29"/>
      <c r="B50" s="51"/>
      <c r="C50" s="52"/>
      <c r="D50" s="31">
        <v>45084</v>
      </c>
      <c r="E50" s="32" t="s">
        <v>282</v>
      </c>
      <c r="F50" s="12" t="s">
        <v>154</v>
      </c>
      <c r="G50" s="12">
        <v>2</v>
      </c>
      <c r="H50" s="12">
        <v>100</v>
      </c>
      <c r="I50" s="12">
        <f t="shared" si="0"/>
        <v>200</v>
      </c>
      <c r="J50" s="21"/>
      <c r="K50" s="22"/>
    </row>
    <row r="51" s="1" customFormat="1" ht="29" customHeight="1" spans="1:11">
      <c r="A51" s="29"/>
      <c r="B51" s="51"/>
      <c r="C51" s="52"/>
      <c r="D51" s="34"/>
      <c r="E51" s="40"/>
      <c r="F51" s="12" t="s">
        <v>229</v>
      </c>
      <c r="G51" s="12">
        <v>2</v>
      </c>
      <c r="H51" s="12">
        <v>300</v>
      </c>
      <c r="I51" s="12">
        <f t="shared" si="0"/>
        <v>600</v>
      </c>
      <c r="J51" s="21"/>
      <c r="K51" s="22" t="s">
        <v>276</v>
      </c>
    </row>
    <row r="52" s="1" customFormat="1" ht="47" customHeight="1" spans="1:11">
      <c r="A52" s="29"/>
      <c r="B52" s="13"/>
      <c r="C52" s="14"/>
      <c r="D52" s="60">
        <v>45104</v>
      </c>
      <c r="E52" s="38" t="s">
        <v>283</v>
      </c>
      <c r="F52" s="12" t="s">
        <v>284</v>
      </c>
      <c r="G52" s="12">
        <v>1</v>
      </c>
      <c r="H52" s="12">
        <v>5280</v>
      </c>
      <c r="I52" s="12">
        <f t="shared" si="0"/>
        <v>5280</v>
      </c>
      <c r="J52" s="21"/>
      <c r="K52" s="22" t="s">
        <v>285</v>
      </c>
    </row>
    <row r="53" s="1" customFormat="1" ht="55" customHeight="1" spans="1:13">
      <c r="A53" s="7"/>
      <c r="B53" s="30"/>
      <c r="C53" s="11"/>
      <c r="D53" s="11"/>
      <c r="E53" s="11"/>
      <c r="F53" s="12"/>
      <c r="G53" s="12"/>
      <c r="H53" s="12"/>
      <c r="I53" s="12"/>
      <c r="J53" s="21"/>
      <c r="K53" s="22"/>
      <c r="L53" s="1"/>
      <c r="M53" s="1">
        <f>F54*1.3</f>
        <v>64672.4</v>
      </c>
    </row>
    <row r="54" s="1" customFormat="1" ht="22.5" customHeight="1" spans="1:11">
      <c r="A54" s="16">
        <v>5</v>
      </c>
      <c r="B54" s="17" t="s">
        <v>67</v>
      </c>
      <c r="C54" s="17"/>
      <c r="D54" s="17"/>
      <c r="E54" s="17"/>
      <c r="F54" s="18">
        <f>SUM(I3:I52)</f>
        <v>49748</v>
      </c>
      <c r="G54" s="18"/>
      <c r="H54" s="18"/>
      <c r="I54" s="18"/>
      <c r="J54" s="18"/>
      <c r="K54" s="23"/>
    </row>
    <row r="55" s="1" customFormat="1" ht="18.75" customHeight="1" spans="2:12">
      <c r="B55" s="1" t="s">
        <v>258</v>
      </c>
      <c r="C55" s="1"/>
      <c r="D55" s="1"/>
      <c r="E55" s="1"/>
      <c r="F55" s="1" t="s">
        <v>20</v>
      </c>
      <c r="G55" s="19"/>
      <c r="H55" s="19"/>
      <c r="I55" s="24" t="s">
        <v>259</v>
      </c>
      <c r="J55" s="24"/>
      <c r="K55" s="24"/>
      <c r="L55" s="2"/>
    </row>
    <row r="56" s="1" customFormat="1" ht="20.25" customHeight="1" spans="2:12">
      <c r="B56" s="1" t="s">
        <v>21</v>
      </c>
      <c r="G56" s="19"/>
      <c r="H56" s="19"/>
      <c r="I56" s="24" t="s">
        <v>21</v>
      </c>
      <c r="J56" s="24"/>
      <c r="K56" s="24"/>
      <c r="L56" s="24"/>
    </row>
    <row r="57" s="1" customFormat="1" ht="2.25" customHeight="1" spans="7:12">
      <c r="G57" s="19"/>
      <c r="H57" s="19"/>
      <c r="I57" s="19"/>
      <c r="J57" s="19"/>
      <c r="K57" s="19"/>
      <c r="L57" s="2"/>
    </row>
    <row r="58" s="1" customFormat="1" ht="29.1" customHeight="1" spans="1:11">
      <c r="A58" s="2"/>
      <c r="B58" s="2"/>
      <c r="C58" s="2"/>
      <c r="D58" s="2"/>
      <c r="E58" s="2"/>
      <c r="J58" s="2"/>
      <c r="K58" s="2"/>
    </row>
    <row r="59" s="1" customFormat="1" ht="29.1" customHeight="1" spans="4:11">
      <c r="D59" s="2"/>
      <c r="E59" s="2"/>
      <c r="J59" s="2"/>
      <c r="K59" s="2"/>
    </row>
    <row r="60" s="1" customFormat="1" ht="29.1" customHeight="1" spans="4:11">
      <c r="D60" s="2"/>
      <c r="E60" s="2"/>
      <c r="J60" s="2"/>
      <c r="K60" s="2"/>
    </row>
    <row r="61" s="1" customFormat="1" ht="29.1" customHeight="1" spans="4:11">
      <c r="D61" s="2"/>
      <c r="E61" s="2"/>
      <c r="J61" s="2"/>
      <c r="K61" s="2"/>
    </row>
    <row r="62" s="1" customFormat="1" ht="29.1" customHeight="1" spans="4:11">
      <c r="D62" s="2"/>
      <c r="E62" s="2"/>
      <c r="J62" s="2"/>
      <c r="K62" s="2"/>
    </row>
    <row r="63" s="1" customFormat="1" ht="29.1" customHeight="1" spans="4:11">
      <c r="D63" s="2"/>
      <c r="E63" s="2"/>
      <c r="J63" s="2"/>
      <c r="K63" s="2"/>
    </row>
    <row r="64" s="1" customFormat="1" ht="29.1" customHeight="1" spans="4:11">
      <c r="D64" s="2"/>
      <c r="E64" s="2"/>
      <c r="J64" s="2"/>
      <c r="K64" s="2"/>
    </row>
    <row r="65" s="1" customFormat="1" ht="29.1" customHeight="1" spans="4:11">
      <c r="D65" s="2"/>
      <c r="E65" s="2"/>
      <c r="J65" s="2"/>
      <c r="K65" s="2"/>
    </row>
    <row r="66" s="1" customFormat="1" ht="29.1" customHeight="1" spans="4:11">
      <c r="D66" s="2"/>
      <c r="E66" s="2"/>
      <c r="J66" s="2"/>
      <c r="K66" s="2"/>
    </row>
    <row r="67" s="1" customFormat="1" ht="29.1" customHeight="1" spans="4:11">
      <c r="D67" s="2"/>
      <c r="E67" s="2"/>
      <c r="J67" s="2"/>
      <c r="K67" s="2"/>
    </row>
    <row r="68" s="1" customFormat="1" ht="29.1" customHeight="1" spans="4:11">
      <c r="D68" s="2"/>
      <c r="E68" s="2"/>
      <c r="J68" s="2"/>
      <c r="K68" s="2"/>
    </row>
    <row r="69" s="1" customFormat="1" ht="29.1" customHeight="1" spans="4:11">
      <c r="D69" s="2"/>
      <c r="E69" s="2"/>
      <c r="J69" s="2"/>
      <c r="K69" s="2"/>
    </row>
    <row r="70" s="1" customFormat="1" ht="29.1" customHeight="1" spans="4:11">
      <c r="D70" s="2"/>
      <c r="E70" s="2"/>
      <c r="J70" s="2"/>
      <c r="K70" s="2"/>
    </row>
  </sheetData>
  <mergeCells count="49">
    <mergeCell ref="A1:K1"/>
    <mergeCell ref="B54:E54"/>
    <mergeCell ref="F54:J54"/>
    <mergeCell ref="I55:L55"/>
    <mergeCell ref="I56:L56"/>
    <mergeCell ref="I57:L57"/>
    <mergeCell ref="A58:B58"/>
    <mergeCell ref="A56:A57"/>
    <mergeCell ref="B3:B15"/>
    <mergeCell ref="B16:B20"/>
    <mergeCell ref="B47:B52"/>
    <mergeCell ref="B56:B57"/>
    <mergeCell ref="C3:C15"/>
    <mergeCell ref="C16:C52"/>
    <mergeCell ref="D3:D4"/>
    <mergeCell ref="D5:D6"/>
    <mergeCell ref="D7:D8"/>
    <mergeCell ref="D9:D12"/>
    <mergeCell ref="D13:D14"/>
    <mergeCell ref="D15:D16"/>
    <mergeCell ref="D17:D18"/>
    <mergeCell ref="D19:D20"/>
    <mergeCell ref="D21:D22"/>
    <mergeCell ref="D23:D26"/>
    <mergeCell ref="D27:D29"/>
    <mergeCell ref="D30:D33"/>
    <mergeCell ref="D34:D38"/>
    <mergeCell ref="D39:D42"/>
    <mergeCell ref="D43:D47"/>
    <mergeCell ref="D48:D49"/>
    <mergeCell ref="D50:D51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6"/>
    <mergeCell ref="E27:E29"/>
    <mergeCell ref="E30:E33"/>
    <mergeCell ref="E34:E38"/>
    <mergeCell ref="E39:E42"/>
    <mergeCell ref="E43:E47"/>
    <mergeCell ref="E48:E49"/>
    <mergeCell ref="E50:E5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H14" sqref="H14"/>
    </sheetView>
  </sheetViews>
  <sheetFormatPr defaultColWidth="10" defaultRowHeight="12"/>
  <cols>
    <col min="1" max="1" width="5.55555555555556" style="1" customWidth="1"/>
    <col min="2" max="2" width="20.2777777777778" style="1" customWidth="1"/>
    <col min="3" max="3" width="18.1111111111111" style="1" customWidth="1"/>
    <col min="4" max="4" width="17.0833333333333" style="2" customWidth="1"/>
    <col min="5" max="5" width="15.5555555555556" style="2" customWidth="1"/>
    <col min="6" max="6" width="9.44444444444444" style="1" customWidth="1"/>
    <col min="7" max="7" width="12.0555555555556" style="1" customWidth="1"/>
    <col min="8" max="8" width="13.3240740740741" style="1" customWidth="1"/>
    <col min="9" max="9" width="14.9166666666667" style="1" customWidth="1"/>
    <col min="10" max="10" width="10.9722222222222" style="2" customWidth="1"/>
    <col min="11" max="11" width="18.0555555555556" style="2" customWidth="1"/>
    <col min="12" max="12" width="10.5555555555556" style="1"/>
    <col min="13" max="16384" width="10" style="1"/>
  </cols>
  <sheetData>
    <row r="1" s="1" customFormat="1" ht="41.25" customHeight="1" spans="1:11">
      <c r="A1" s="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5" t="s">
        <v>29</v>
      </c>
      <c r="B2" s="6" t="s">
        <v>64</v>
      </c>
      <c r="C2" s="6" t="s">
        <v>217</v>
      </c>
      <c r="D2" s="6" t="s">
        <v>218</v>
      </c>
      <c r="E2" s="6" t="s">
        <v>219</v>
      </c>
      <c r="F2" s="6" t="s">
        <v>101</v>
      </c>
      <c r="G2" s="6" t="s">
        <v>220</v>
      </c>
      <c r="H2" s="6" t="s">
        <v>221</v>
      </c>
      <c r="I2" s="6" t="s">
        <v>222</v>
      </c>
      <c r="J2" s="20" t="s">
        <v>34</v>
      </c>
      <c r="K2" s="20" t="s">
        <v>223</v>
      </c>
    </row>
    <row r="3" s="1" customFormat="1" ht="115" customHeight="1" spans="1:13">
      <c r="A3" s="7">
        <v>3</v>
      </c>
      <c r="B3" s="8" t="s">
        <v>286</v>
      </c>
      <c r="C3" s="9" t="s">
        <v>287</v>
      </c>
      <c r="D3" s="10">
        <v>45049</v>
      </c>
      <c r="E3" s="11" t="s">
        <v>288</v>
      </c>
      <c r="F3" s="12" t="s">
        <v>115</v>
      </c>
      <c r="G3" s="12">
        <f>5.2*2.2+(5.9+8)*3.6+(4.5+9)*3.6*0.5</f>
        <v>85.78</v>
      </c>
      <c r="H3" s="12">
        <v>214.7</v>
      </c>
      <c r="I3" s="12">
        <f>G3*H3</f>
        <v>18416.966</v>
      </c>
      <c r="J3" s="21"/>
      <c r="K3" s="22" t="s">
        <v>289</v>
      </c>
      <c r="L3" s="1"/>
      <c r="M3" s="12">
        <f>(4.15+5.45)*15.8*0.5*(1.45+1.28)*0.5+4.5*4.2*1.55*0.5+5.2*2.2+(5.9+8)*3.6*0.5*1.3+(4.5+9)*3.6*0.5*1.3</f>
        <v>193.7251</v>
      </c>
    </row>
    <row r="4" s="1" customFormat="1" ht="55" customHeight="1" spans="1:11">
      <c r="A4" s="7"/>
      <c r="B4" s="13"/>
      <c r="C4" s="14"/>
      <c r="D4" s="15"/>
      <c r="E4" s="11" t="s">
        <v>290</v>
      </c>
      <c r="F4" s="12" t="s">
        <v>118</v>
      </c>
      <c r="G4" s="12">
        <f>5.2*2.2*1.3+(5.9+8)*3.6*0.5*1.3+(4.5+9)*3.6*0.5*1.3</f>
        <v>78.988</v>
      </c>
      <c r="H4" s="12">
        <v>11.5</v>
      </c>
      <c r="I4" s="12">
        <f>G4*H4</f>
        <v>908.362</v>
      </c>
      <c r="J4" s="21"/>
      <c r="K4" s="22" t="s">
        <v>291</v>
      </c>
    </row>
    <row r="5" s="1" customFormat="1" ht="22.5" customHeight="1" spans="1:11">
      <c r="A5" s="16">
        <v>5</v>
      </c>
      <c r="B5" s="17" t="s">
        <v>67</v>
      </c>
      <c r="C5" s="17"/>
      <c r="D5" s="17"/>
      <c r="E5" s="17"/>
      <c r="F5" s="18">
        <f>I3+I4</f>
        <v>19325.328</v>
      </c>
      <c r="G5" s="18"/>
      <c r="H5" s="18"/>
      <c r="I5" s="18"/>
      <c r="J5" s="18"/>
      <c r="K5" s="23"/>
    </row>
    <row r="6" s="1" customFormat="1" ht="18.75" customHeight="1" spans="2:12">
      <c r="B6" s="1" t="s">
        <v>258</v>
      </c>
      <c r="C6" s="1"/>
      <c r="D6" s="1"/>
      <c r="E6" s="1"/>
      <c r="F6" s="1" t="s">
        <v>20</v>
      </c>
      <c r="G6" s="19"/>
      <c r="H6" s="19"/>
      <c r="I6" s="24" t="s">
        <v>259</v>
      </c>
      <c r="J6" s="24"/>
      <c r="K6" s="24"/>
      <c r="L6" s="2"/>
    </row>
    <row r="7" s="1" customFormat="1" ht="20.25" customHeight="1" spans="2:12">
      <c r="B7" s="1" t="s">
        <v>21</v>
      </c>
      <c r="G7" s="19"/>
      <c r="H7" s="19"/>
      <c r="I7" s="24" t="s">
        <v>21</v>
      </c>
      <c r="J7" s="24"/>
      <c r="K7" s="24"/>
      <c r="L7" s="24"/>
    </row>
    <row r="8" s="1" customFormat="1" ht="2.25" customHeight="1" spans="7:12">
      <c r="G8" s="19"/>
      <c r="H8" s="19"/>
      <c r="I8" s="19"/>
      <c r="J8" s="19"/>
      <c r="K8" s="19"/>
      <c r="L8" s="2"/>
    </row>
    <row r="9" s="1" customFormat="1" ht="29.1" customHeight="1" spans="1:11">
      <c r="A9" s="2"/>
      <c r="B9" s="2"/>
      <c r="C9" s="2"/>
      <c r="D9" s="2"/>
      <c r="E9" s="2"/>
      <c r="J9" s="2"/>
      <c r="K9" s="2"/>
    </row>
    <row r="10" s="1" customFormat="1" ht="29.1" customHeight="1" spans="4:11">
      <c r="D10" s="2"/>
      <c r="E10" s="2"/>
      <c r="J10" s="2"/>
      <c r="K10" s="2"/>
    </row>
    <row r="11" s="1" customFormat="1" ht="29.1" customHeight="1" spans="4:11">
      <c r="D11" s="2"/>
      <c r="E11" s="2"/>
      <c r="J11" s="2"/>
      <c r="K11" s="2"/>
    </row>
    <row r="12" s="1" customFormat="1" ht="29.1" customHeight="1" spans="4:11">
      <c r="D12" s="2"/>
      <c r="E12" s="2"/>
      <c r="J12" s="2"/>
      <c r="K12" s="2"/>
    </row>
    <row r="13" s="1" customFormat="1" ht="29.1" customHeight="1" spans="4:11">
      <c r="D13" s="2"/>
      <c r="E13" s="2"/>
      <c r="J13" s="2"/>
      <c r="K13" s="2"/>
    </row>
    <row r="14" s="1" customFormat="1" ht="29.1" customHeight="1" spans="4:11">
      <c r="D14" s="2"/>
      <c r="E14" s="2"/>
      <c r="J14" s="2"/>
      <c r="K14" s="2"/>
    </row>
    <row r="15" s="1" customFormat="1" ht="29.1" customHeight="1" spans="4:11">
      <c r="D15" s="2"/>
      <c r="E15" s="2"/>
      <c r="J15" s="2"/>
      <c r="K15" s="2"/>
    </row>
    <row r="16" s="1" customFormat="1" ht="29.1" customHeight="1" spans="4:11">
      <c r="D16" s="2"/>
      <c r="E16" s="2"/>
      <c r="J16" s="2"/>
      <c r="K16" s="2"/>
    </row>
    <row r="17" s="1" customFormat="1" ht="29.1" customHeight="1" spans="4:11">
      <c r="D17" s="2"/>
      <c r="E17" s="2"/>
      <c r="J17" s="2"/>
      <c r="K17" s="2"/>
    </row>
    <row r="18" s="1" customFormat="1" ht="29.1" customHeight="1" spans="4:11">
      <c r="D18" s="2"/>
      <c r="E18" s="2"/>
      <c r="J18" s="2"/>
      <c r="K18" s="2"/>
    </row>
    <row r="19" s="1" customFormat="1" ht="29.1" customHeight="1" spans="4:11">
      <c r="D19" s="2"/>
      <c r="E19" s="2"/>
      <c r="J19" s="2"/>
      <c r="K19" s="2"/>
    </row>
    <row r="20" s="1" customFormat="1" ht="29.1" customHeight="1" spans="4:11">
      <c r="D20" s="2"/>
      <c r="E20" s="2"/>
      <c r="J20" s="2"/>
      <c r="K20" s="2"/>
    </row>
    <row r="21" s="1" customFormat="1" ht="29.1" customHeight="1" spans="4:11">
      <c r="D21" s="2"/>
      <c r="E21" s="2"/>
      <c r="J21" s="2"/>
      <c r="K21" s="2"/>
    </row>
  </sheetData>
  <mergeCells count="12">
    <mergeCell ref="A1:K1"/>
    <mergeCell ref="B5:E5"/>
    <mergeCell ref="F5:J5"/>
    <mergeCell ref="I6:L6"/>
    <mergeCell ref="I7:L7"/>
    <mergeCell ref="I8:L8"/>
    <mergeCell ref="A9:B9"/>
    <mergeCell ref="A7:A8"/>
    <mergeCell ref="B3:B4"/>
    <mergeCell ref="B7:B8"/>
    <mergeCell ref="C3:C4"/>
    <mergeCell ref="D3:D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B3" sqref="B3:B5"/>
    </sheetView>
  </sheetViews>
  <sheetFormatPr defaultColWidth="10" defaultRowHeight="12"/>
  <cols>
    <col min="1" max="1" width="5.55555555555556" style="1" customWidth="1"/>
    <col min="2" max="2" width="16.7777777777778" style="1" customWidth="1"/>
    <col min="3" max="3" width="9.55555555555556" style="1" customWidth="1"/>
    <col min="4" max="4" width="14.6666666666667" style="2" customWidth="1"/>
    <col min="5" max="5" width="16.7777777777778" style="2" customWidth="1"/>
    <col min="6" max="6" width="9.44444444444444" style="1" customWidth="1"/>
    <col min="7" max="7" width="9.51851851851852" style="1" customWidth="1"/>
    <col min="8" max="8" width="10.1574074074074" style="1" customWidth="1"/>
    <col min="9" max="9" width="12.4444444444444" style="1" customWidth="1"/>
    <col min="10" max="10" width="9.22222222222222" style="2" customWidth="1"/>
    <col min="11" max="11" width="20.2222222222222" style="2" customWidth="1"/>
    <col min="12" max="12" width="10.5555555555556" style="1"/>
    <col min="13" max="16384" width="10" style="1"/>
  </cols>
  <sheetData>
    <row r="1" s="1" customFormat="1" ht="41.25" customHeight="1" spans="1:11">
      <c r="A1" s="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5" t="s">
        <v>29</v>
      </c>
      <c r="B2" s="6" t="s">
        <v>64</v>
      </c>
      <c r="C2" s="6" t="s">
        <v>217</v>
      </c>
      <c r="D2" s="6" t="s">
        <v>218</v>
      </c>
      <c r="E2" s="6" t="s">
        <v>219</v>
      </c>
      <c r="F2" s="6" t="s">
        <v>101</v>
      </c>
      <c r="G2" s="6" t="s">
        <v>220</v>
      </c>
      <c r="H2" s="6" t="s">
        <v>221</v>
      </c>
      <c r="I2" s="6" t="s">
        <v>222</v>
      </c>
      <c r="J2" s="20" t="s">
        <v>34</v>
      </c>
      <c r="K2" s="20" t="s">
        <v>223</v>
      </c>
    </row>
    <row r="3" s="1" customFormat="1" ht="47" customHeight="1" spans="1:11">
      <c r="A3" s="29">
        <v>2</v>
      </c>
      <c r="B3" s="8" t="s">
        <v>292</v>
      </c>
      <c r="C3" s="9"/>
      <c r="D3" s="50">
        <v>45066</v>
      </c>
      <c r="E3" s="38" t="s">
        <v>293</v>
      </c>
      <c r="F3" s="12" t="s">
        <v>115</v>
      </c>
      <c r="G3" s="12">
        <v>726.42</v>
      </c>
      <c r="H3" s="12">
        <f>19.62*3</f>
        <v>58.86</v>
      </c>
      <c r="I3" s="12">
        <f>H3*G3</f>
        <v>42757.0812</v>
      </c>
      <c r="J3" s="21"/>
      <c r="K3" s="22"/>
    </row>
    <row r="4" s="1" customFormat="1" ht="48" customHeight="1" spans="1:11">
      <c r="A4" s="29"/>
      <c r="B4" s="51"/>
      <c r="C4" s="52"/>
      <c r="D4" s="53"/>
      <c r="E4" s="38" t="s">
        <v>294</v>
      </c>
      <c r="F4" s="12" t="s">
        <v>154</v>
      </c>
      <c r="G4" s="12">
        <v>40</v>
      </c>
      <c r="H4" s="12">
        <f>250*1.09</f>
        <v>272.5</v>
      </c>
      <c r="I4" s="12">
        <f>H4*G4</f>
        <v>10900</v>
      </c>
      <c r="J4" s="21"/>
      <c r="K4" s="22" t="s">
        <v>295</v>
      </c>
    </row>
    <row r="5" s="1" customFormat="1" ht="61" customHeight="1" spans="1:11">
      <c r="A5" s="29"/>
      <c r="B5" s="51"/>
      <c r="C5" s="52"/>
      <c r="D5" s="54"/>
      <c r="E5" s="12" t="s">
        <v>296</v>
      </c>
      <c r="F5" s="12" t="s">
        <v>115</v>
      </c>
      <c r="G5" s="12">
        <f>19.2*6.5+(6.6+11)*9.5*0.5</f>
        <v>208.4</v>
      </c>
      <c r="H5" s="12">
        <v>45</v>
      </c>
      <c r="I5" s="12">
        <f>H5*G5</f>
        <v>9378</v>
      </c>
      <c r="J5" s="21"/>
      <c r="K5" s="22" t="s">
        <v>297</v>
      </c>
    </row>
    <row r="6" s="1" customFormat="1" ht="55" customHeight="1" spans="1:11">
      <c r="A6" s="7"/>
      <c r="B6" s="30"/>
      <c r="C6" s="11"/>
      <c r="D6" s="11"/>
      <c r="E6" s="11"/>
      <c r="F6" s="12"/>
      <c r="G6" s="12"/>
      <c r="H6" s="12"/>
      <c r="I6" s="12"/>
      <c r="J6" s="21"/>
      <c r="K6" s="22"/>
    </row>
    <row r="7" s="1" customFormat="1" ht="22.5" customHeight="1" spans="1:11">
      <c r="A7" s="16">
        <v>5</v>
      </c>
      <c r="B7" s="17" t="s">
        <v>67</v>
      </c>
      <c r="C7" s="17"/>
      <c r="D7" s="17"/>
      <c r="E7" s="17"/>
      <c r="F7" s="18">
        <f>SUM(I3:I5)</f>
        <v>63035.0812</v>
      </c>
      <c r="G7" s="18"/>
      <c r="H7" s="18"/>
      <c r="I7" s="18"/>
      <c r="J7" s="18"/>
      <c r="K7" s="23"/>
    </row>
    <row r="8" s="1" customFormat="1" ht="18.75" customHeight="1" spans="2:12">
      <c r="B8" s="1" t="s">
        <v>258</v>
      </c>
      <c r="C8" s="1"/>
      <c r="D8" s="1"/>
      <c r="E8" s="1"/>
      <c r="F8" s="1" t="s">
        <v>20</v>
      </c>
      <c r="G8" s="19"/>
      <c r="H8" s="19"/>
      <c r="I8" s="24" t="s">
        <v>259</v>
      </c>
      <c r="J8" s="24"/>
      <c r="K8" s="24"/>
      <c r="L8" s="2"/>
    </row>
    <row r="9" s="1" customFormat="1" ht="20.25" customHeight="1" spans="2:12">
      <c r="B9" s="1" t="s">
        <v>21</v>
      </c>
      <c r="G9" s="19"/>
      <c r="H9" s="19"/>
      <c r="I9" s="24" t="s">
        <v>21</v>
      </c>
      <c r="J9" s="24"/>
      <c r="K9" s="24"/>
      <c r="L9" s="24"/>
    </row>
    <row r="10" s="1" customFormat="1" ht="2.25" customHeight="1" spans="7:12">
      <c r="G10" s="19"/>
      <c r="H10" s="19"/>
      <c r="I10" s="19"/>
      <c r="J10" s="19"/>
      <c r="K10" s="19"/>
      <c r="L10" s="2"/>
    </row>
    <row r="11" s="1" customFormat="1" ht="29.1" customHeight="1" spans="1:11">
      <c r="A11" s="2"/>
      <c r="B11" s="2"/>
      <c r="C11" s="2"/>
      <c r="D11" s="2"/>
      <c r="E11" s="2"/>
      <c r="J11" s="2"/>
      <c r="K11" s="2"/>
    </row>
    <row r="12" s="1" customFormat="1" ht="29.1" customHeight="1" spans="4:11">
      <c r="D12" s="2"/>
      <c r="E12" s="2"/>
      <c r="J12" s="2"/>
      <c r="K12" s="2"/>
    </row>
    <row r="13" s="1" customFormat="1" ht="29.1" customHeight="1" spans="4:11">
      <c r="D13" s="2"/>
      <c r="E13" s="2"/>
      <c r="J13" s="2"/>
      <c r="K13" s="2"/>
    </row>
    <row r="14" s="1" customFormat="1" ht="29.1" customHeight="1" spans="4:11">
      <c r="D14" s="2"/>
      <c r="E14" s="2"/>
      <c r="J14" s="2"/>
      <c r="K14" s="2"/>
    </row>
    <row r="15" s="1" customFormat="1" ht="29.1" customHeight="1" spans="4:11">
      <c r="D15" s="2"/>
      <c r="E15" s="2"/>
      <c r="J15" s="2"/>
      <c r="K15" s="2"/>
    </row>
    <row r="16" s="1" customFormat="1" ht="29.1" customHeight="1" spans="4:11">
      <c r="D16" s="2"/>
      <c r="E16" s="2"/>
      <c r="J16" s="2"/>
      <c r="K16" s="2"/>
    </row>
    <row r="17" s="1" customFormat="1" ht="29.1" customHeight="1" spans="4:11">
      <c r="D17" s="2"/>
      <c r="E17" s="2"/>
      <c r="J17" s="2"/>
      <c r="K17" s="2"/>
    </row>
    <row r="18" s="1" customFormat="1" ht="29.1" customHeight="1" spans="4:11">
      <c r="D18" s="2"/>
      <c r="E18" s="2"/>
      <c r="J18" s="2"/>
      <c r="K18" s="2"/>
    </row>
    <row r="19" s="1" customFormat="1" ht="29.1" customHeight="1" spans="4:11">
      <c r="D19" s="2"/>
      <c r="E19" s="2"/>
      <c r="J19" s="2"/>
      <c r="K19" s="2"/>
    </row>
    <row r="20" s="1" customFormat="1" ht="29.1" customHeight="1" spans="4:11">
      <c r="D20" s="2"/>
      <c r="E20" s="2"/>
      <c r="J20" s="2"/>
      <c r="K20" s="2"/>
    </row>
    <row r="21" s="1" customFormat="1" ht="29.1" customHeight="1" spans="4:11">
      <c r="D21" s="2"/>
      <c r="E21" s="2"/>
      <c r="J21" s="2"/>
      <c r="K21" s="2"/>
    </row>
    <row r="22" s="1" customFormat="1" ht="29.1" customHeight="1" spans="4:11">
      <c r="D22" s="2"/>
      <c r="E22" s="2"/>
      <c r="J22" s="2"/>
      <c r="K22" s="2"/>
    </row>
    <row r="23" s="1" customFormat="1" ht="29.1" customHeight="1" spans="4:11">
      <c r="D23" s="2"/>
      <c r="E23" s="2"/>
      <c r="J23" s="2"/>
      <c r="K23" s="2"/>
    </row>
  </sheetData>
  <mergeCells count="13">
    <mergeCell ref="A1:K1"/>
    <mergeCell ref="B7:E7"/>
    <mergeCell ref="F7:J7"/>
    <mergeCell ref="I8:L8"/>
    <mergeCell ref="I9:L9"/>
    <mergeCell ref="I10:L10"/>
    <mergeCell ref="A11:B11"/>
    <mergeCell ref="A3:A5"/>
    <mergeCell ref="A9:A10"/>
    <mergeCell ref="B3:B5"/>
    <mergeCell ref="B9:B10"/>
    <mergeCell ref="C3:C5"/>
    <mergeCell ref="D3:D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2:F11"/>
  <sheetViews>
    <sheetView workbookViewId="0">
      <selection activeCell="O29" sqref="O29"/>
    </sheetView>
  </sheetViews>
  <sheetFormatPr defaultColWidth="9" defaultRowHeight="14.4" outlineLevelCol="5"/>
  <cols>
    <col min="1" max="1" width="9" style="49"/>
    <col min="2" max="2" width="11.25" style="49" customWidth="1"/>
    <col min="3" max="16384" width="9" style="49"/>
  </cols>
  <sheetData>
    <row r="2" spans="1:6">
      <c r="A2" s="49" t="s">
        <v>298</v>
      </c>
      <c r="B2" s="49">
        <v>6.79</v>
      </c>
      <c r="E2" s="49" t="s">
        <v>299</v>
      </c>
      <c r="F2" s="49">
        <v>4.52</v>
      </c>
    </row>
    <row r="3" spans="2:6">
      <c r="B3" s="49">
        <v>2.73</v>
      </c>
      <c r="F3" s="49">
        <v>4.63</v>
      </c>
    </row>
    <row r="4" spans="2:6">
      <c r="B4" s="49">
        <v>7.07</v>
      </c>
      <c r="F4" s="49">
        <v>3.08</v>
      </c>
    </row>
    <row r="5" spans="2:6">
      <c r="B5" s="49">
        <v>7.81</v>
      </c>
      <c r="F5" s="49">
        <v>13.78</v>
      </c>
    </row>
    <row r="6" spans="2:6">
      <c r="B6" s="49">
        <v>6.28</v>
      </c>
      <c r="E6" s="49" t="s">
        <v>300</v>
      </c>
      <c r="F6" s="49">
        <f>SUM(F2:F5)</f>
        <v>26.01</v>
      </c>
    </row>
    <row r="7" spans="2:2">
      <c r="B7" s="49">
        <v>10.19</v>
      </c>
    </row>
    <row r="8" spans="2:2">
      <c r="B8" s="49">
        <v>2.81</v>
      </c>
    </row>
    <row r="9" spans="2:2">
      <c r="B9" s="49">
        <v>14.32</v>
      </c>
    </row>
    <row r="10" spans="1:2">
      <c r="A10" s="49" t="s">
        <v>300</v>
      </c>
      <c r="B10" s="49">
        <f>SUM(B2:B9)</f>
        <v>58</v>
      </c>
    </row>
    <row r="11" spans="1:2">
      <c r="A11" s="49" t="s">
        <v>301</v>
      </c>
      <c r="B11" s="49" t="s">
        <v>302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结算审批表</vt:lpstr>
      <vt:lpstr>资料存档目录</vt:lpstr>
      <vt:lpstr>结算汇总表</vt:lpstr>
      <vt:lpstr>园建工程+安装</vt:lpstr>
      <vt:lpstr>零星工程签证明细汇总编号01</vt:lpstr>
      <vt:lpstr>零星工程签证明细汇总编号02</vt:lpstr>
      <vt:lpstr>零星工程签证明细汇总编号04</vt:lpstr>
      <vt:lpstr>零星工程签证明细汇总编号05</vt:lpstr>
      <vt:lpstr>安装--计算过程</vt:lpstr>
      <vt:lpstr>零星工程签证明细汇总编号06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HMJ</cp:lastModifiedBy>
  <dcterms:created xsi:type="dcterms:W3CDTF">2023-04-30T04:03:00Z</dcterms:created>
  <dcterms:modified xsi:type="dcterms:W3CDTF">2024-10-25T10:36:58Z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06E81DE071684738B19A99C8A61234A4_13</vt:lpwstr>
  </property>
</Properties>
</file>