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tabRatio="832" firstSheet="2" activeTab="5"/>
  </bookViews>
  <sheets>
    <sheet name="Sheet2" sheetId="20" state="hidden" r:id="rId1"/>
    <sheet name="清单报价说明" sheetId="7" r:id="rId2"/>
    <sheet name="01、汇总表" sheetId="9" r:id="rId3"/>
    <sheet name="Sheet1" sheetId="19" state="hidden" r:id="rId4"/>
    <sheet name="02、样板间装饰工程" sheetId="22" r:id="rId5"/>
    <sheet name="03、安装工程" sheetId="23" r:id="rId6"/>
    <sheet name="04、其中电器及洁具明细" sheetId="24" r:id="rId7"/>
    <sheet name="门头钢结构工程量计算" sheetId="13" state="hidden" r:id="rId8"/>
  </sheets>
  <definedNames>
    <definedName name="_xlnm._FilterDatabase" localSheetId="4" hidden="1">'02、样板间装饰工程'!$A$1:$O$60</definedName>
    <definedName name="_xlnm._FilterDatabase" localSheetId="5" hidden="1">'03、安装工程'!$A$5:$P$74</definedName>
    <definedName name="_xlnm._FilterDatabase" localSheetId="7" hidden="1">门头钢结构工程量计算!$A$2:$G$22</definedName>
    <definedName name="_xlnm.Print_Area" localSheetId="2">'01、汇总表'!$A$1:$E$7</definedName>
    <definedName name="_xlnm.Print_Area" localSheetId="3">Sheet1!$A$1:$I$53</definedName>
    <definedName name="_xlnm.Print_Area" localSheetId="0">Sheet2!$A$1:$I$55</definedName>
    <definedName name="_xlnm.Print_Area" localSheetId="1">清单报价说明!$A$1:$B$24</definedName>
    <definedName name="_xlnm.Print_Area" localSheetId="5">'03、安装工程'!$A$1:$O$63</definedName>
    <definedName name="_xlnm.Print_Titles" localSheetId="5">'03、安装工程'!$1:$5</definedName>
    <definedName name="w" localSheetId="4">EVALUATE(SUBSTITUTE(SUBSTITUTE('02、样板间装饰工程'!$E1,"【","*ISTEXT(""【"),"】","】"")"))</definedName>
    <definedName name="_xlnm.Print_Area" localSheetId="4">'02、样板间装饰工程'!$A$1:$O$60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<sst xmlns="http://schemas.openxmlformats.org/spreadsheetml/2006/main" count="646" uniqueCount="297">
  <si>
    <t>工程量清单报价说明</t>
  </si>
  <si>
    <t>一、工程概况:</t>
  </si>
  <si>
    <t>工程概况:</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</si>
  <si>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</si>
  <si>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</si>
  <si>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</si>
  <si>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</si>
  <si>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</si>
  <si>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</si>
  <si>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</si>
  <si>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</si>
  <si>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</si>
  <si>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</si>
  <si>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</si>
  <si>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其他材料费（辅材费）包括如下：a、各种规格的螺栓、化学螺栓、泡沫棒、连接件、挂件、背栓件、支座、镀锌钢、；b、硅酮建筑耐候密封胶、铝板打胶、环氧树脂结构胶；c、各种规格的不锈钢挂件、不锈钢钉、不锈钢铆钉等为完成本项目工作的一切材料费用。</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</si>
  <si>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</si>
  <si>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</si>
  <si>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工程量计算规则除另有说明外,执行《建设工程工程量清单计算规范》GB 50854-2013。</t>
  </si>
  <si>
    <t>四、其他计价说明</t>
  </si>
  <si>
    <t>精装修施工范围：图纸范围内的墙面地面天棚装修、强电、排水给水（含洁具），室内精装不包含成品装饰摆件，家电卫浴灯具部分（04表格）单列部分可单独报价，此部分（04表格）我方保留单独采购的权利；</t>
  </si>
  <si>
    <t>五、计划工期</t>
  </si>
  <si>
    <t>工期暂定两个月</t>
  </si>
  <si>
    <t>如有方案调整、材料更换等其他不可抗力因素工期顺延。</t>
  </si>
  <si>
    <t>以下内容为空白。</t>
  </si>
  <si>
    <t>20#楼2单元202室精装样板间清单工程造价汇总表</t>
  </si>
  <si>
    <t>序 号</t>
  </si>
  <si>
    <t>项目名称</t>
  </si>
  <si>
    <t>单位</t>
  </si>
  <si>
    <t>合计(元)</t>
  </si>
  <si>
    <t>备注</t>
  </si>
  <si>
    <t>一</t>
  </si>
  <si>
    <t>装饰工程</t>
  </si>
  <si>
    <t>项</t>
  </si>
  <si>
    <t>二</t>
  </si>
  <si>
    <t>安装工程</t>
  </si>
  <si>
    <t>三</t>
  </si>
  <si>
    <t>减电器及洁具</t>
  </si>
  <si>
    <t>（一）+（二）</t>
  </si>
  <si>
    <r>
      <rPr>
        <sz val="10"/>
        <rFont val="宋体"/>
        <charset val="1"/>
      </rPr>
      <t>说明：</t>
    </r>
    <r>
      <rPr>
        <sz val="10"/>
        <rFont val="Arial"/>
        <charset val="1"/>
      </rPr>
      <t>1</t>
    </r>
    <r>
      <rPr>
        <sz val="10"/>
        <rFont val="宋体"/>
        <charset val="1"/>
      </rPr>
      <t>、减电器及洁具甲方有权剥离自己采购。</t>
    </r>
    <r>
      <rPr>
        <sz val="10"/>
        <rFont val="Arial"/>
        <charset val="1"/>
      </rPr>
      <t xml:space="preserve">
</t>
    </r>
  </si>
  <si>
    <t>河南专晶建筑工程有限公司</t>
  </si>
  <si>
    <t>20#楼2单元202室精装样板间清单装饰工程价格清单（装饰部分）</t>
  </si>
  <si>
    <t>工程名称：20#楼2单元202室精装样板间清单装饰工程价格清单</t>
  </si>
  <si>
    <t>序号</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</si>
  <si>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</si>
  <si>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</si>
  <si>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</si>
  <si>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</si>
  <si>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</si>
  <si>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</si>
  <si>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</si>
  <si>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</si>
  <si>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</si>
  <si>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</si>
  <si>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</si>
  <si>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</si>
  <si>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</si>
  <si>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</si>
  <si>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</si>
  <si>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</si>
  <si>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</si>
  <si>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地面</t>
  </si>
  <si>
    <t>地暖敷设</t>
  </si>
  <si>
    <t>1.钢筋混凝土楼板结构板处理
2、隔热层敷设
3.反射膜敷设
4.地暖管道敷设及配套设施（分水器、温控开关等）
5.钢筋细石混凝土填充层，木地板房间回填层表面需要抹光为铺设木地板找平，瓷砖房间地面为毛面。
6.及其他未注明，但与地暖相关的所有工序</t>
  </si>
  <si>
    <t>m2</t>
  </si>
  <si>
    <t>多层实木地板(选样)楼面</t>
  </si>
  <si>
    <t>1.多层实木地板(选样)12mm（厚）
2.5mm厚木地板防潮胶垫
3.部位：卧室
4.其它说明：铺贴、擦缝、切割、磨边、金属收边条等一切铺贴步骤及所需之辅材，满足规范和设计图纸要求</t>
  </si>
  <si>
    <t>大自然</t>
  </si>
  <si>
    <t>瓷砖楼面</t>
  </si>
  <si>
    <t>1.GT-1 1500mm*750mm瓷砖地面 
2.5mm厚DTA粘结砂浆层
3.15mm厚DSM15砂浆找平
4.部位：客厅、餐厅、厨房、阳光房
5.其它说明：铺贴、擦缝、切割、磨边、美缝等一切铺贴步骤及所需之辅材，满足规范和设计图纸要求</t>
  </si>
  <si>
    <t>1200mm*400mm灰麻花岗岩地面</t>
  </si>
  <si>
    <t>1.1200mm*400mm灰麻花岗岩
2.5mm厚DTA粘结砂浆层
3.15mm厚DSM15砂浆找平
4.部位：露台
5.其它说明：铺贴、擦缝、切割、磨边等一切铺贴步骤及所需之辅材，满足规范和设计图纸要求</t>
  </si>
  <si>
    <t>卫生间防水层</t>
  </si>
  <si>
    <t>1.1.5mm厚JS聚合物水泥防水涂料1I型分三遍涂刷，门洞口往外延伸300mm
2.部位：洗衣服、卫生间
3.其它说明：防水层所需之辅材，满足规范和设计图纸要求</t>
  </si>
  <si>
    <t>墙面</t>
  </si>
  <si>
    <t>瓷砖墙面</t>
  </si>
  <si>
    <t>1.莱姆石大理石(选样)
2.5mm厚DTA粘结砂浆层
3.15mm厚DSM15砂浆找平
4.其它说明：铺贴、擦缝、切割、磨边、美缝等一切铺贴步骤及所需之辅材，满足规范和设计图纸要求</t>
  </si>
  <si>
    <t>木饰面</t>
  </si>
  <si>
    <t>1.灰混油饰面(选样)
2.12mm厚阻燃木基层
3.具体施工技术要求根据现场工程要求施工，满足规范和设计图纸要求</t>
  </si>
  <si>
    <t>门套线</t>
  </si>
  <si>
    <t>1、入户门套线、
2、暂定细木工板基层
3、灰色混油墙板
4、后期补偿节点图，具体施工技术要求根据现场工程要求施工，满足规范和设计图纸要求</t>
  </si>
  <si>
    <t>m</t>
  </si>
  <si>
    <t>壁龛</t>
  </si>
  <si>
    <t>1、详见详图01，大样图B
2、具体施工技术要求根据现场工程要求施工，满足规范和设计图纸要求，成活价</t>
  </si>
  <si>
    <t>壁布(选样)</t>
  </si>
  <si>
    <t xml:space="preserve">
1、腻子批嵌+基膜
2、壁布(选样)
3、具体施工技术要求根据现场工程要求施工，满足规范和设计图纸要求</t>
  </si>
  <si>
    <t>厨房吊柜</t>
  </si>
  <si>
    <t>1、灰色玻璃门、柜体实木多层板、五金件等
2、具体施工技术要求根据现场工程要求施工，满足规范和设计图纸要求，成活价</t>
  </si>
  <si>
    <t>定制橱柜</t>
  </si>
  <si>
    <t>1、岩板台面(选样)
2、灰色木饰面柜门(选样)、柜体实木多层板（含岛台）
3、具体施工技术要求根据现场工程要求施工，满足规范和设计图纸要求，成活价</t>
  </si>
  <si>
    <t>餐边柜</t>
  </si>
  <si>
    <t>玄关造型</t>
  </si>
  <si>
    <t>1、艺术玻璃、木饰面(选样)、岩板(选样)
2、具体施工技术要求根据现场工程要求施工，满足规范和设计图纸要求，成活价</t>
  </si>
  <si>
    <t>柜体墙面</t>
  </si>
  <si>
    <t>1、柜体实木多层板、五金件，灰色成品衣柜等
2、详见施工立面图-02中04详图。
3、具体施工技术要求根据现场工程要求施工，满足规范和设计图纸要求，成活价</t>
  </si>
  <si>
    <t>卫生间瓷砖墙面</t>
  </si>
  <si>
    <t>1.750*1500墙砖(选样)
2.5mm厚DTA粘结砂浆层
3.15mm厚DSM15砂浆找平
4.其它说明：铺贴、擦缝、切割、磨边、美缝等一切铺贴步骤及所需之辅材，满足规范和设计图纸要求</t>
  </si>
  <si>
    <t>卫生间门</t>
  </si>
  <si>
    <t>1、钛镁合金门壁厚0.8m
2、成品门，需要选型有质感</t>
  </si>
  <si>
    <t>洗手柜及镜子</t>
  </si>
  <si>
    <t>1、镜子（规格1010*1000）
2、大理石台面、木饰面，规格1010*550等成活价格（不含盆）
3、具体施工技术要求根据现场工程要求施工，满足规范和设计图纸要求，成活价</t>
  </si>
  <si>
    <t>个</t>
  </si>
  <si>
    <t>卧室2 玻璃隔断、门</t>
  </si>
  <si>
    <t>1、成品玻璃隔断雾化玻璃6+6玻璃钢化
2、具体施工技术要求根据现场工程要求施工，满足规范和设计图纸要求，成活价</t>
  </si>
  <si>
    <t>玻璃隔断门套</t>
  </si>
  <si>
    <t>1、木纹门套
2、具体施工技术要求根据现场工程要求施工，满足规范和设计图纸要求，成活价</t>
  </si>
  <si>
    <t>卫生间玻璃隔断</t>
  </si>
  <si>
    <t>1、12厚钢化超白玻璃，推拉门含五金件等成活价
2、具体施工技术要求根据现场工程要求施工，满足规范和设计图纸要求。</t>
  </si>
  <si>
    <t>踢脚线</t>
  </si>
  <si>
    <r>
      <rPr>
        <sz val="10"/>
        <rFont val="宋体"/>
        <charset val="1"/>
      </rPr>
      <t>1、木色踢脚线</t>
    </r>
    <r>
      <rPr>
        <sz val="10"/>
        <rFont val="Arial"/>
        <charset val="1"/>
      </rPr>
      <t>(</t>
    </r>
    <r>
      <rPr>
        <sz val="10"/>
        <rFont val="宋体"/>
        <charset val="1"/>
      </rPr>
      <t>选样</t>
    </r>
    <r>
      <rPr>
        <sz val="10"/>
        <rFont val="Arial"/>
        <charset val="1"/>
      </rPr>
      <t>)
2</t>
    </r>
    <r>
      <rPr>
        <sz val="10"/>
        <rFont val="宋体"/>
        <charset val="1"/>
      </rPr>
      <t>、成品铝合金</t>
    </r>
  </si>
  <si>
    <t>阳台柜子</t>
  </si>
  <si>
    <t>1、柜体实木多层板、五金件，灰色成品衣柜等
2、具体施工技术要求根据现场工程要求施工，满足规范和设计图纸要求，成活价</t>
  </si>
  <si>
    <t>阳台隐形门</t>
  </si>
  <si>
    <t>1、柜体实木多层板、五金件，隐形门(选样)等
2、具体施工技术要求根据现场工程要求施工，满足规范和设计图纸要求，成活价</t>
  </si>
  <si>
    <t>窗台板</t>
  </si>
  <si>
    <t>1、朗姆石大理石窗台板(选样)
2、具体施工技术要求根据现场工程要求施工，满足规范和设计图纸要求，成活价</t>
  </si>
  <si>
    <t>卧室2木格栅</t>
  </si>
  <si>
    <t>1、灰色混油格栅(选样)
2、2、具体施工技术要求根据现场工程要求施工，满足规范和设计图纸要求，成活价</t>
  </si>
  <si>
    <t>卧室2床头木饰面</t>
  </si>
  <si>
    <t>1、深色木饰面(选样)
2、具体施工技术要求根据现场工程要求施工，满足规范和设计图纸要求，成活价</t>
  </si>
  <si>
    <t>1、柜体实木多层板、五金件，灰色成品衣柜等，卧室2
2、具体施工技术要求根据现场工程要求施工，满足规范和设计图纸要求，成活</t>
  </si>
  <si>
    <t>卧室2床头柜</t>
  </si>
  <si>
    <t>深色木饰面(选样) 430*180*585</t>
  </si>
  <si>
    <t>户内门</t>
  </si>
  <si>
    <t>1、室一  户内门采用实木门
2、具体施工技术要求根据现场工程要求施工，满足规范和设计图纸要求，成活价</t>
  </si>
  <si>
    <t>樘</t>
  </si>
  <si>
    <t>硬包</t>
  </si>
  <si>
    <t>1、皮纹硬包02(选样)
2、具体施工技术要求根据现场工程要求施工，满足规范和设计图纸要求，成活价</t>
  </si>
  <si>
    <t xml:space="preserve">
1、皮纹硬包01(选样)
2、具体施工技术要求根据现场工程要求施工，满足规范和设计图纸要求，成活价
</t>
  </si>
  <si>
    <t>不锈钢线条</t>
  </si>
  <si>
    <t>1、定制枪灰色不锈钢线条
2、具体施工技术要求根据现场工程要求施工，满足规范和设计图纸要求，成活价</t>
  </si>
  <si>
    <t>床头柜</t>
  </si>
  <si>
    <t>1、深色木纹(选样)
2、具体施工技术要求根据现场工程要求施工，满足规范和设计图纸要求，成活价</t>
  </si>
  <si>
    <t>天棚</t>
  </si>
  <si>
    <t>1、室内天花吊顶大样图
2、50系列轻钢龙骨、阻燃板基层
3、双层9.5mm厚石膏板白色乳胶漆饰面
4、具体施工技术要求根据现场工程要求施工，满足规范和设计图纸要求，成活价</t>
  </si>
  <si>
    <t>阳光房吊顶</t>
  </si>
  <si>
    <r>
      <rPr>
        <sz val="10"/>
        <rFont val="Arial"/>
        <charset val="1"/>
      </rPr>
      <t>1</t>
    </r>
    <r>
      <rPr>
        <sz val="10"/>
        <rFont val="宋体"/>
        <charset val="1"/>
      </rPr>
      <t>、</t>
    </r>
    <r>
      <rPr>
        <sz val="10"/>
        <rFont val="Arial"/>
        <charset val="1"/>
      </rPr>
      <t>50</t>
    </r>
    <r>
      <rPr>
        <sz val="10"/>
        <rFont val="宋体"/>
        <charset val="1"/>
      </rPr>
      <t>系列轻钢龙骨、阻燃板基层</t>
    </r>
    <r>
      <rPr>
        <sz val="10"/>
        <rFont val="Arial"/>
        <charset val="1"/>
      </rPr>
      <t xml:space="preserve">
2</t>
    </r>
    <r>
      <rPr>
        <sz val="10"/>
        <rFont val="宋体"/>
        <charset val="1"/>
      </rPr>
      <t>、双层</t>
    </r>
    <r>
      <rPr>
        <sz val="10"/>
        <rFont val="Arial"/>
        <charset val="1"/>
      </rPr>
      <t>9.5mm</t>
    </r>
    <r>
      <rPr>
        <sz val="10"/>
        <rFont val="宋体"/>
        <charset val="1"/>
      </rPr>
      <t>厚石膏板白色乳胶漆饰面</t>
    </r>
    <r>
      <rPr>
        <sz val="10"/>
        <rFont val="Arial"/>
        <charset val="1"/>
      </rPr>
      <t xml:space="preserve">
3</t>
    </r>
    <r>
      <rPr>
        <sz val="10"/>
        <rFont val="宋体"/>
        <charset val="1"/>
      </rPr>
      <t>、具体施工技术要求根据现场工程要求施工，满足规范和设计图纸要求，成活价</t>
    </r>
  </si>
  <si>
    <t>吊顶不锈钢装饰梁</t>
  </si>
  <si>
    <t>1、304不锈钢厚度0.7mm
2、具体施工技术要求根据现场工程要求施工，满足规范和设计图纸要求</t>
  </si>
  <si>
    <t>洗衣房</t>
  </si>
  <si>
    <t>四</t>
  </si>
  <si>
    <t>阳光房主体</t>
  </si>
  <si>
    <t>1、断桥铝合金、中空双玻6+12A+6 单面low玻璃等，成品铝合金阳光房。
2、具体施工技术要求根据现场工程要求施工，满足规范和设计图纸要求，成活价</t>
  </si>
  <si>
    <t>开放格子</t>
  </si>
  <si>
    <t>1、木色成品置物柜(选样)柜体实木多层板、五金件等
2、具体施工技术要求根据现场工程要求施工，满足规范和设计图纸要求，成活价</t>
  </si>
  <si>
    <t>铝板</t>
  </si>
  <si>
    <t>1、铝板佛碳漆处理
2、具体施工技术要求根据现场工程要求施工，满足规范和设计图纸要求，成活价</t>
  </si>
  <si>
    <t>背景墙</t>
  </si>
  <si>
    <t>1、莱姆石大理石(选样)
2、具体施工技术要求根据现场工程要求施工，满足规范和设计图纸要求，成活价</t>
  </si>
  <si>
    <t>门</t>
  </si>
  <si>
    <t>洗衣房瓷砖</t>
  </si>
  <si>
    <t>1.
2.5mm厚DTA粘结砂浆层
3.15mm厚DSM15砂浆找平
4.其它说明：铺贴、擦缝、切割、磨边、美缝等一切铺贴步骤及所需之辅材，满足规范和设计图纸要求</t>
  </si>
  <si>
    <t>冠珠</t>
  </si>
  <si>
    <t>洗衣机柜</t>
  </si>
  <si>
    <t>1、大理石台面、木饰面，规格1010*550等成活价格（不含盆）
2、具体施工技术要求根据现场工程要求施工，满足规范和设计图纸要求，成活价</t>
  </si>
  <si>
    <t>洗衣机吊柜</t>
  </si>
  <si>
    <t>1、柜体实木多层板、五金件等
2、具体施工技术要求根据现场工程要求施工，满足规范和设计图纸要求，成活价</t>
  </si>
  <si>
    <t>五</t>
  </si>
  <si>
    <t>玻璃栏杆扶手</t>
  </si>
  <si>
    <t>1、6+6mm加胶钢化玻璃护栏
2、灰麻花岗岩压顶，详见详图-09中 B节点
3、具体施工技术要求根据现场工程要求施工，满足规范和设计图纸要求，成活价</t>
  </si>
  <si>
    <t>20#楼2单元202室精装样板间清单装饰工程价格清单（安装部分）</t>
  </si>
  <si>
    <t>工程名称：20#楼2单元202室精装样板间清单装饰工程价格清单--安装工程</t>
  </si>
  <si>
    <t>给排水</t>
  </si>
  <si>
    <t>塑料管</t>
  </si>
  <si>
    <t>1.安装部位:室内
2.介质:冷水
3.材质、规格:PPR塑料管 De20 S5系列
4.连接形式:热熔连接
5.管道消毒、冲洗
6.未尽事宜，详见图纸</t>
  </si>
  <si>
    <t>1.安装部位:室内
2.介质:冷水
3.材质、规格:PPR塑料管 De25 S5系列
4.连接形式:热熔连接
5.管道消毒、冲洗
6.未尽事宜，详见图纸</t>
  </si>
  <si>
    <t>1.安装部位:室内
2.介质:热水
3.材质、规格:PPR塑料管 De32 S5系列
4.连接形式:热熔连接
5.管道消毒、冲洗
6.未尽事宜，详见图纸</t>
  </si>
  <si>
    <t>1.安装部位:室内
2.介质:热水
3.材质、规格:PPR塑料管 De25 S3.2系列
4.连接形式:热熔连接
5.管道消毒、冲洗
6.未尽事宜，详见图纸</t>
  </si>
  <si>
    <t>1.安装部位:室内
2.介质:热水
3.材质、规格:PPR塑料管 De20 S3.2系列
4.连接形式:热熔连接
5.管道消毒、冲洗
6.未尽事宜，详见图纸</t>
  </si>
  <si>
    <t>1.安装部位:室内
2.介质:排水
3.材质、规格:UPVC排水管De50
4.连接形式:粘结连接
5.管道管道灌水试验
6.未尽事宜，详见图纸</t>
  </si>
  <si>
    <t>1.安装部位:室内
2.介质:排水
3.材质、规格:UPVC排水管De75
4.连接形式:粘结连接
5.管道管道灌水试验
6.未尽事宜，详见图纸</t>
  </si>
  <si>
    <t>1.安装部位:室内
2.介质:排水
3.材质、规格:UPVC排水管De110
4.连接形式:粘结连接
5.管道管道灌水试验
6.未尽事宜，详见图纸</t>
  </si>
  <si>
    <t>1.安装部位:室内
2.介质:排水
3.材质、规格:UPVC排水管De160
4.连接形式:粘结连接
5.管道管道灌水试验
6.未尽事宜，详见图纸</t>
  </si>
  <si>
    <t>淋浴器</t>
  </si>
  <si>
    <t>1.名称:淋浴器
2.安装高度:距地1.1m
3.其他说明:满足规范和设计图纸要求，参考设计卫浴表</t>
  </si>
  <si>
    <t>套</t>
  </si>
  <si>
    <t>洗脸盆</t>
  </si>
  <si>
    <t>1.名称:台式洗脸盆（台下盆）(包含下水口，角阀、金属软管等一切相关配件）
2.安装高度:距地1m，卫生间
3.其它说明:满足规范和设计图纸要求，参考设计卫浴表</t>
  </si>
  <si>
    <t>科勒</t>
  </si>
  <si>
    <t>1.名称:台式洗脸盆（台下盆）(包含下水口，角阀、金属软管等一切相关配件）
2.安装高度:距地1m 洗衣房
3.其它说明:满足规范和设计图纸要求，参考设计卫浴表</t>
  </si>
  <si>
    <t>水龙头</t>
  </si>
  <si>
    <t>1.名称:台式洗脸盆水龙头（包含角阀、金属软管等一切相关配件）
2.安装高度:距地1.2m
3.其它说明:满足规范和设计图纸要求，参考设计卫浴表</t>
  </si>
  <si>
    <t>1.名称:洗衣柜水龙头（包含角阀、金属软管等一切相关配件）
2.安装高度:距地1.2m
3.其它说明:满足规范和设计图纸要求，参考设计卫浴表</t>
  </si>
  <si>
    <t>大便器</t>
  </si>
  <si>
    <t>1.名称:智能坐式大便器(包含角阀、金属软管等一切相关配件）
2.安装高度:距地0.15m
3.其他说明:满足规范和设计图纸要求，参考设计卫浴表</t>
  </si>
  <si>
    <t>洗衣机</t>
  </si>
  <si>
    <t>1.名称:洗烘一体机(包含阀门、金属软管等一切相关配件）
2.安装高度:距地0.15m
3.其他说明:满足规范和设计图纸要求，参考设计卫浴表</t>
  </si>
  <si>
    <t>台</t>
  </si>
  <si>
    <t>螺纹阀门</t>
  </si>
  <si>
    <t>1.名称:截止阀
2.材质:铜
3.规格:DN20
4.连接方式:螺纹连接
5.未尽事宜，详见图纸</t>
  </si>
  <si>
    <t>其他成品卫生器具</t>
  </si>
  <si>
    <t>1.名称:地漏
2.规格:De50
3.未尽事宜，详见图纸</t>
  </si>
  <si>
    <t>1.名称:清扫口
2.规格:De110
3.未尽事宜，详见图纸</t>
  </si>
  <si>
    <t>电气工程</t>
  </si>
  <si>
    <t>配管</t>
  </si>
  <si>
    <t>1.名称:电气配管
2.材质、规格:PVC16
3.配置形式:暗配
4.含接线盒、灯头盒、开关盒暗装
5.未尽事宜，详见图纸</t>
  </si>
  <si>
    <t>1.名称:塑料管
2.材质、规格:PVC20
3.配置形式:暗配
4.含接线盒、灯头盒、开关盒暗装
5.未尽事宜，详见图纸</t>
  </si>
  <si>
    <t>1.名称:塑料管
2.材质、规格:PVC25
3.配置形式:暗配
4.含接线盒、灯头盒、开关盒暗装
5.未尽事宜，详见图纸</t>
  </si>
  <si>
    <t>1.名称:塑料管
2.材质、规格:PVC32
3.配置形式:暗配
4.含接线盒、灯头盒、开关盒暗装
5.未尽事宜，详见图纸</t>
  </si>
  <si>
    <t>配线</t>
  </si>
  <si>
    <t>1.名称:管内穿线
2.型号:BV-2.5
3.材质:铜芯
4.未尽事宜，详见图纸</t>
  </si>
  <si>
    <t>郑州三厂</t>
  </si>
  <si>
    <t>1.名称:管内穿线
2.型号:BV-4
3.材质:铜芯
4.配线部位:暗敷
5.未尽事宜，详见图纸</t>
  </si>
  <si>
    <t>1.名称:管内穿线
2.型号:BV-6
3.材质:铜芯
4.配线部位:暗敷
5.未尽事宜，详见图纸</t>
  </si>
  <si>
    <t>照明开关</t>
  </si>
  <si>
    <t>1.名称:一位单控开关
2.规格:250V 10A
3.安装方式:距地1.3m
4.未尽事宜，详见图纸，参考开关插座表</t>
  </si>
  <si>
    <t>西蒙</t>
  </si>
  <si>
    <t>1.名称:两位单控开关
2.规格:250V 10A
3.安装方式:距地1.3m
4.未尽事宜，详见图纸，参考开关插座表</t>
  </si>
  <si>
    <t>1.名称:三位单控开关
2.规格:250V 10A
3.安装方式:距地1.3m
4.未尽事宜，详见图纸，参考开关插座表</t>
  </si>
  <si>
    <t>1.名称:两位双控开关
2.规格:250V 10A
3.安装方式:距地1.3m
4.未尽事宜，详见图纸，参考开关插座表</t>
  </si>
  <si>
    <t>插座</t>
  </si>
  <si>
    <t>1.名称:3+2高位插座
2.规格:250V 16A                   3.安装方式:距地2m
4.未尽事宜，详见图纸，参考开关插座表</t>
  </si>
  <si>
    <t>1.名称:3+2高位插座(带防水）
2.规格:250V 16A                   3.安装方式:距地2m
4.未尽事宜，详见图纸，参考开关插座表</t>
  </si>
  <si>
    <t>1.名称:3+2中位插座
2.规格:250V 16A                   3.安装方式:距地1.2m
4.未尽事宜，详见图纸，参考开关插座表</t>
  </si>
  <si>
    <t>1.名称:3+2中位插座（带防水）
2.规格:250V 16A                   3.安装方式:距地1.2m
4.未尽事宜，详见图纸，参考开关插座表</t>
  </si>
  <si>
    <t>1.名称:3+2低位插座
2.规格:250V 16A                   3.安装方式:距地2m
4.未尽事宜，详见图纸，参考开关插座表</t>
  </si>
  <si>
    <t>1.名称:电动窗帘五孔插座
2.规格:250V 16A                   3.安装方式:安装高度
4.未尽事宜，详见图纸，参考开关插座表</t>
  </si>
  <si>
    <t>1.名称:电视插座
2.规格:250V 16A
3.安装方式:距地0.3m
4.未尽事宜，详见图纸，参考开关插座表</t>
  </si>
  <si>
    <t>1.名称;宽带插座
2.规格:250V 10A
3.安装方式:距地0.3m
4.未尽事宜，详见图纸，参考开关插座表</t>
  </si>
  <si>
    <t>1.名称;地插
2.规格:250V 10A
3.安装方式:地面安装
4.未尽事宜，详见图纸，参考开关插座表</t>
  </si>
  <si>
    <t>普通灯具</t>
  </si>
  <si>
    <t>1.名称:投光灯
2.型号:DC36V 2W/自带蓄电池 
3.安装方式:室外景观树下插地安装
4.未尽事宜，详见图纸，参考灯具表</t>
  </si>
  <si>
    <t>西顿</t>
  </si>
  <si>
    <t>1.名称:射灯R1
2.型号:色温3000k/7W,光束角36°
3.类型:吊顶内安装
5.未尽事宜，详见图纸，参考灯具表</t>
  </si>
  <si>
    <t>1.名称:LED灯带
2.型号:色温3000k/10W
4.类型:安吊顶内安装
5.未尽事宜，详见图纸，参考灯具表</t>
  </si>
  <si>
    <t>1.名称:阳光房磁吸轨道灯（包含轨道）
2.型号:色温3000k/7W,光束角60°
4.类型:吊顶内安装
5.未尽事宜，详见图纸，参考灯具表</t>
  </si>
  <si>
    <t>1.名称:磁吸射灯
2.型号:色温3000k/7W,光束角60°
4.类型:吊顶内安装
5.未尽事宜，详见图纸，参考灯具表</t>
  </si>
  <si>
    <t>设备</t>
  </si>
  <si>
    <t>1.名称:卫生间五合一多功能暖风机（带照明）
2.型号:满足现场施工要求
3.安装形式:吊顶内安装
4.未尽事宜，详见图纸，参考灯具表</t>
  </si>
  <si>
    <t>1.名称:拉线吊灯
2.型号:220V,36W(LED)
3.类型:吊顶内安装
4.未尽事宜，详见图纸，参考灯具表</t>
  </si>
  <si>
    <t>1.名称:餐厅灯具
2.型号:满足现场施工要求
3.规格:吸顶安装
4.未尽事宜，详见图纸，参考灯具表</t>
  </si>
  <si>
    <t>1.名称:起夜灯
2.型号:满足现场施工要求
3.未尽事宜，详见图纸，参考灯具表</t>
  </si>
  <si>
    <t>1.名称:可调节射灯S1
2.型号:功率20W 色温3000K
3.未尽事宜，详见图纸，参考灯具表</t>
  </si>
  <si>
    <t>1.名称:筒灯 
2.型号:功率20W 色温3000K
3.未尽事宜，详见图纸，参考灯具表</t>
  </si>
  <si>
    <t>1.名称:射灯S5
2.型号:功率12W 色温3000K
3.未尽事宜，详见图纸</t>
  </si>
  <si>
    <t>1.名称:明装筒灯
2.型号:功率10W 色温3000K
3.未尽事宜，详见图纸，参考灯具表</t>
  </si>
  <si>
    <t>1.名称:漫反射线性灯
2.型号:功率36W 色温3000K
3.未尽事宜，详见图纸，参考灯具表</t>
  </si>
  <si>
    <t>1.名称:LED灯带
2.型号:功率10W 色温3000K
3.未尽事宜，详见图纸，参考灯具表</t>
  </si>
  <si>
    <t>1.名称:嵌入式LED灯带
2.型号:功率10W 色温3000K
3.未尽事宜，详见图纸，参考灯具表</t>
  </si>
  <si>
    <t>1.名称:电井壁灯
2.未尽事宜，详见图纸</t>
  </si>
  <si>
    <t>1.名称:格栅灯
2.型号、安装形式:详见图纸设计</t>
  </si>
  <si>
    <t>1.名称:LED平板灯
2.型号:24W
3.规格:满足施工要求
4.未尽事宜，详见图纸</t>
  </si>
  <si>
    <t>1.名称:LED平板灯
2.型号:10W
3.规格:满足施工要求
4.未尽事宜，详见图纸</t>
  </si>
  <si>
    <t>空调工程</t>
  </si>
  <si>
    <t>新风</t>
  </si>
  <si>
    <t>主机设备</t>
  </si>
  <si>
    <t>1.名称:新风主机（含开关、配线、配管等）
2.规格:满足施工要求
3.未尽事宜，详见图纸</t>
  </si>
  <si>
    <t>美的</t>
  </si>
  <si>
    <t>风口</t>
  </si>
  <si>
    <t>1.名称:空调侧回风口
2.规格:满足施工要求
3.未尽事宜，详见图纸</t>
  </si>
  <si>
    <t>1.名称:空调侧出风口
2.规格:满足施工要求
3.未尽事宜，详见图纸</t>
  </si>
  <si>
    <t>1.名称:空调下回风口
2.规格:满足施工要求
3.未尽事宜，详见图纸</t>
  </si>
  <si>
    <t>1.名称:空调下出风口
2.规格:满足施工要求
3.未尽事宜，详见图纸</t>
  </si>
  <si>
    <t>烟机灶具</t>
  </si>
  <si>
    <t>电器及洁具清单</t>
  </si>
  <si>
    <t>名称</t>
  </si>
  <si>
    <t>数量</t>
  </si>
  <si>
    <t>单价</t>
  </si>
  <si>
    <t>合计</t>
  </si>
  <si>
    <t>型号</t>
  </si>
  <si>
    <t>家用电器</t>
  </si>
  <si>
    <t>洗烘一体机</t>
  </si>
  <si>
    <t>热水器</t>
  </si>
  <si>
    <t>抽油烟机</t>
  </si>
  <si>
    <t>燃气灶</t>
  </si>
  <si>
    <t>卫生间集成暖风机（带照明）</t>
  </si>
  <si>
    <t>小计</t>
  </si>
  <si>
    <t>洁具</t>
  </si>
  <si>
    <r>
      <rPr>
        <sz val="10"/>
        <rFont val="宋体"/>
        <charset val="1"/>
      </rPr>
      <t>洗脸盆</t>
    </r>
    <r>
      <rPr>
        <sz val="10"/>
        <rFont val="Arial"/>
        <charset val="1"/>
      </rPr>
      <t xml:space="preserve"> </t>
    </r>
  </si>
  <si>
    <t>洗脸盆水龙头</t>
  </si>
  <si>
    <t>洗衣柜水龙头</t>
  </si>
  <si>
    <t>厨房洗菜盆</t>
  </si>
  <si>
    <t>智能坐便器</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</si>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</sst>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Red]0.00"/>
  </numFmts>
  <fonts count="52">
    <font>
      <sz val="10"/>
      <name val="Arial"/>
      <charset val="1"/>
    </font>
    <font>
      <sz val="20"/>
      <name val="Arial"/>
      <charset val="134"/>
    </font>
    <font>
      <sz val="10"/>
      <name val="宋体"/>
      <charset val="134"/>
    </font>
    <font>
      <b/>
      <sz val="10"/>
      <name val="Arial"/>
      <charset val="1"/>
    </font>
    <font>
      <b/>
      <sz val="16"/>
      <name val="宋体"/>
      <charset val="1"/>
    </font>
    <font>
      <b/>
      <sz val="16"/>
      <name val="Arial"/>
      <charset val="1"/>
    </font>
    <font>
      <b/>
      <sz val="10"/>
      <name val="宋体"/>
      <charset val="1"/>
    </font>
    <font>
      <sz val="10"/>
      <name val="宋体"/>
      <charset val="1"/>
    </font>
    <font>
      <sz val="10"/>
      <name val="宋体"/>
      <charset val="134"/>
      <scheme val="minor"/>
    </font>
    <font>
      <sz val="10"/>
      <color rgb="FFFF0000"/>
      <name val="宋体"/>
      <charset val="134"/>
      <scheme val="minor"/>
    </font>
    <font>
      <sz val="9"/>
      <name val="宋体"/>
      <charset val="134"/>
      <scheme val="minor"/>
    </font>
    <font>
      <b/>
      <sz val="20"/>
      <name val="宋体"/>
      <charset val="134"/>
    </font>
    <font>
      <sz val="9"/>
      <name val="宋体"/>
      <charset val="134"/>
    </font>
    <font>
      <sz val="9"/>
      <color theme="1"/>
      <name val="宋体"/>
      <charset val="134"/>
    </font>
    <font>
      <sz val="9"/>
      <color rgb="FFFF0000"/>
      <name val="宋体"/>
      <charset val="134"/>
    </font>
    <font>
      <b/>
      <sz val="9"/>
      <name val="宋体"/>
      <charset val="134"/>
    </font>
    <font>
      <sz val="12"/>
      <name val="宋体"/>
      <charset val="134"/>
    </font>
    <font>
      <b/>
      <sz val="16"/>
      <name val="宋体"/>
      <charset val="134"/>
    </font>
    <font>
      <sz val="10"/>
      <color theme="1"/>
      <name val="微软雅黑"/>
      <charset val="134"/>
    </font>
    <font>
      <sz val="10"/>
      <name val="微软雅黑"/>
      <charset val="134"/>
    </font>
    <font>
      <b/>
      <sz val="10"/>
      <name val="宋体"/>
      <charset val="134"/>
    </font>
    <font>
      <sz val="10"/>
      <color rgb="FFFF0000"/>
      <name val="宋体"/>
      <charset val="134"/>
    </font>
    <font>
      <b/>
      <sz val="12"/>
      <name val="宋体"/>
      <charset val="1"/>
    </font>
    <font>
      <b/>
      <sz val="12"/>
      <name val="Arial"/>
      <charset val="1"/>
    </font>
    <font>
      <b/>
      <sz val="16"/>
      <name val="楷体_GB2312"/>
      <charset val="134"/>
    </font>
    <font>
      <b/>
      <sz val="11"/>
      <name val="宋体"/>
      <charset val="134"/>
    </font>
    <font>
      <sz val="10.5"/>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9"/>
      <color theme="1"/>
      <name val="宋体"/>
      <charset val="134"/>
      <scheme val="minor"/>
    </font>
    <font>
      <sz val="11"/>
      <color indexed="8"/>
      <name val="宋体"/>
      <charset val="134"/>
    </font>
    <font>
      <sz val="10"/>
      <name val="Arial"/>
      <charset val="134"/>
    </font>
    <font>
      <sz val="20"/>
      <name val="宋体"/>
      <charset val="134"/>
    </font>
  </fonts>
  <fills count="3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auto="1"/>
      </left>
      <right style="thin">
        <color indexed="8"/>
      </right>
      <top style="thin">
        <color indexed="8"/>
      </top>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5" fillId="0" borderId="0" applyNumberFormat="0" applyFill="0" applyBorder="0" applyAlignment="0" applyProtection="0">
      <alignment vertical="center"/>
    </xf>
    <xf numFmtId="0" fontId="36" fillId="6" borderId="12" applyNumberFormat="0" applyAlignment="0" applyProtection="0">
      <alignment vertical="center"/>
    </xf>
    <xf numFmtId="0" fontId="37" fillId="7" borderId="13" applyNumberFormat="0" applyAlignment="0" applyProtection="0">
      <alignment vertical="center"/>
    </xf>
    <xf numFmtId="0" fontId="38" fillId="7" borderId="12" applyNumberFormat="0" applyAlignment="0" applyProtection="0">
      <alignment vertical="center"/>
    </xf>
    <xf numFmtId="0" fontId="39" fillId="8" borderId="14" applyNumberFormat="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7"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8" fillId="0" borderId="0"/>
    <xf numFmtId="176" fontId="47" fillId="0" borderId="1">
      <alignment horizontal="right" vertical="center" wrapText="1"/>
    </xf>
    <xf numFmtId="176" fontId="47" fillId="0" borderId="1">
      <alignment horizontal="right" vertical="center" wrapText="1"/>
    </xf>
    <xf numFmtId="0" fontId="49" fillId="0" borderId="0">
      <alignment vertical="center"/>
    </xf>
    <xf numFmtId="0" fontId="16" fillId="0" borderId="0"/>
    <xf numFmtId="0" fontId="27" fillId="0" borderId="0">
      <alignment vertical="center"/>
    </xf>
    <xf numFmtId="0" fontId="49" fillId="0" borderId="0">
      <alignment vertical="center"/>
    </xf>
    <xf numFmtId="0" fontId="49"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0"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138">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0" fillId="0" borderId="0" xfId="0" applyAlignment="1">
      <alignment horizontal="left"/>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0" xfId="0" applyFont="1"/>
    <xf numFmtId="0" fontId="0" fillId="0" borderId="1" xfId="0"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vertical="center"/>
    </xf>
    <xf numFmtId="0" fontId="0"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xf numFmtId="0" fontId="0" fillId="0" borderId="1" xfId="0" applyBorder="1" applyAlignment="1">
      <alignment horizontal="left" vertical="center"/>
    </xf>
    <xf numFmtId="0" fontId="6" fillId="0" borderId="1" xfId="0" applyFont="1" applyBorder="1" applyAlignment="1">
      <alignment horizontal="center"/>
    </xf>
    <xf numFmtId="0" fontId="6" fillId="0" borderId="1" xfId="0" applyFont="1" applyBorder="1" applyAlignment="1">
      <alignment horizontal="left"/>
    </xf>
    <xf numFmtId="0" fontId="8" fillId="0" borderId="0" xfId="0" applyFont="1" applyFill="1" applyBorder="1" applyAlignment="1">
      <alignment vertical="center"/>
    </xf>
    <xf numFmtId="0" fontId="8" fillId="0" borderId="0" xfId="54" applyFont="1" applyFill="1" applyBorder="1" applyAlignment="1"/>
    <xf numFmtId="0" fontId="9" fillId="0" borderId="0" xfId="54" applyFont="1" applyFill="1" applyBorder="1" applyAlignment="1"/>
    <xf numFmtId="0" fontId="10" fillId="0" borderId="0" xfId="54" applyFont="1" applyFill="1" applyBorder="1" applyAlignment="1">
      <alignment horizontal="left" vertical="center"/>
    </xf>
    <xf numFmtId="0" fontId="10" fillId="0" borderId="0" xfId="54" applyFont="1" applyFill="1" applyAlignment="1">
      <alignment horizontal="center"/>
    </xf>
    <xf numFmtId="0" fontId="10" fillId="0" borderId="0" xfId="54" applyFont="1" applyFill="1" applyAlignment="1">
      <alignment horizontal="left"/>
    </xf>
    <xf numFmtId="176" fontId="10" fillId="0" borderId="0" xfId="54" applyNumberFormat="1" applyFont="1" applyFill="1" applyAlignment="1">
      <alignment horizontal="center"/>
    </xf>
    <xf numFmtId="0" fontId="10" fillId="0" borderId="0" xfId="54" applyFont="1" applyFill="1" applyAlignment="1">
      <alignment horizontal="center" vertical="center" wrapText="1"/>
    </xf>
    <xf numFmtId="0" fontId="11" fillId="0" borderId="0" xfId="54" applyFont="1" applyFill="1" applyAlignment="1">
      <alignment horizontal="center" vertical="center" wrapText="1"/>
    </xf>
    <xf numFmtId="0" fontId="12" fillId="0" borderId="0" xfId="54" applyFont="1" applyFill="1" applyAlignment="1">
      <alignment horizontal="left" vertical="center" wrapText="1"/>
    </xf>
    <xf numFmtId="0" fontId="12" fillId="0" borderId="0" xfId="54" applyFont="1" applyFill="1" applyAlignment="1">
      <alignment horizontal="center" vertical="center" wrapText="1"/>
    </xf>
    <xf numFmtId="0" fontId="12" fillId="0" borderId="1" xfId="54" applyFont="1" applyFill="1" applyBorder="1" applyAlignment="1">
      <alignment horizontal="center" vertical="center" wrapText="1"/>
    </xf>
    <xf numFmtId="0" fontId="12" fillId="0" borderId="1" xfId="54" applyFont="1" applyFill="1" applyBorder="1" applyAlignment="1">
      <alignment horizontal="left" vertical="center" wrapText="1"/>
    </xf>
    <xf numFmtId="0" fontId="12" fillId="0" borderId="2" xfId="54" applyFont="1" applyFill="1" applyBorder="1" applyAlignment="1">
      <alignment horizontal="center" vertical="center" wrapText="1"/>
    </xf>
    <xf numFmtId="0" fontId="12" fillId="0" borderId="3" xfId="54" applyFont="1" applyFill="1" applyBorder="1" applyAlignment="1">
      <alignment horizontal="left" vertical="center" wrapText="1"/>
    </xf>
    <xf numFmtId="0" fontId="12" fillId="0" borderId="3" xfId="54" applyFont="1" applyFill="1" applyBorder="1" applyAlignment="1">
      <alignment horizontal="center" vertical="center" wrapText="1"/>
    </xf>
    <xf numFmtId="176" fontId="12" fillId="0" borderId="1" xfId="54" applyNumberFormat="1" applyFont="1" applyFill="1" applyBorder="1" applyAlignment="1">
      <alignment horizontal="center" vertical="center" wrapText="1"/>
    </xf>
    <xf numFmtId="177" fontId="12" fillId="0" borderId="1" xfId="54" applyNumberFormat="1" applyFont="1" applyFill="1" applyBorder="1" applyAlignment="1">
      <alignment horizontal="center" vertical="center" wrapText="1"/>
    </xf>
    <xf numFmtId="177" fontId="12" fillId="2" borderId="1" xfId="54" applyNumberFormat="1" applyFont="1" applyFill="1" applyBorder="1" applyAlignment="1">
      <alignment horizontal="center" vertical="center" wrapText="1"/>
    </xf>
    <xf numFmtId="176" fontId="12" fillId="2" borderId="1" xfId="54" applyNumberFormat="1" applyFont="1" applyFill="1" applyBorder="1" applyAlignment="1">
      <alignment horizontal="center" vertical="center" wrapText="1"/>
    </xf>
    <xf numFmtId="176" fontId="11" fillId="0" borderId="0" xfId="54" applyNumberFormat="1" applyFont="1" applyFill="1" applyAlignment="1">
      <alignment horizontal="center" vertical="center" wrapText="1"/>
    </xf>
    <xf numFmtId="176" fontId="12" fillId="0" borderId="0" xfId="54" applyNumberFormat="1" applyFont="1" applyFill="1" applyAlignment="1">
      <alignment horizontal="center" vertical="center" wrapText="1"/>
    </xf>
    <xf numFmtId="9" fontId="12" fillId="0" borderId="1" xfId="3"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center" vertical="center"/>
    </xf>
    <xf numFmtId="0" fontId="12"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13"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54" applyFont="1" applyFill="1" applyBorder="1" applyAlignment="1">
      <alignment vertical="center" wrapText="1"/>
    </xf>
    <xf numFmtId="0" fontId="9" fillId="0" borderId="1" xfId="54" applyFont="1" applyFill="1" applyBorder="1" applyAlignment="1">
      <alignment vertical="center" wrapText="1"/>
    </xf>
    <xf numFmtId="0" fontId="10" fillId="0" borderId="1" xfId="54" applyFont="1" applyFill="1" applyBorder="1" applyAlignment="1">
      <alignment horizontal="center"/>
    </xf>
    <xf numFmtId="0" fontId="12" fillId="0" borderId="4" xfId="54" applyFont="1" applyFill="1" applyBorder="1" applyAlignment="1">
      <alignment horizontal="center" vertical="center" wrapText="1"/>
    </xf>
    <xf numFmtId="0" fontId="12" fillId="0" borderId="5" xfId="54" applyFont="1" applyFill="1" applyBorder="1" applyAlignment="1">
      <alignment horizontal="left" vertical="center" wrapText="1"/>
    </xf>
    <xf numFmtId="0" fontId="12" fillId="0" borderId="5" xfId="54" applyFont="1" applyFill="1" applyBorder="1" applyAlignment="1">
      <alignment horizontal="center" vertical="center" wrapText="1"/>
    </xf>
    <xf numFmtId="0" fontId="10" fillId="0" borderId="1" xfId="54" applyFont="1" applyFill="1" applyBorder="1" applyAlignment="1">
      <alignment horizontal="left"/>
    </xf>
    <xf numFmtId="176" fontId="10" fillId="0" borderId="1" xfId="54" applyNumberFormat="1" applyFont="1" applyFill="1" applyBorder="1" applyAlignment="1">
      <alignment horizontal="center"/>
    </xf>
    <xf numFmtId="0" fontId="10" fillId="0" borderId="1" xfId="54" applyFont="1" applyFill="1" applyBorder="1" applyAlignment="1">
      <alignment horizontal="center" vertical="center" wrapText="1"/>
    </xf>
    <xf numFmtId="0" fontId="10" fillId="0" borderId="6" xfId="54"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left"/>
    </xf>
    <xf numFmtId="0" fontId="0" fillId="3" borderId="0" xfId="0" applyFill="1" applyAlignment="1">
      <alignment horizontal="center"/>
    </xf>
    <xf numFmtId="0" fontId="0" fillId="4" borderId="0" xfId="0" applyFill="1" applyAlignment="1">
      <alignment horizontal="center"/>
    </xf>
    <xf numFmtId="0" fontId="11" fillId="0" borderId="0" xfId="54" applyFont="1" applyFill="1" applyAlignment="1">
      <alignment horizontal="left" vertical="center" wrapText="1"/>
    </xf>
    <xf numFmtId="0" fontId="11" fillId="3" borderId="0" xfId="54" applyFont="1" applyFill="1" applyAlignment="1">
      <alignment horizontal="center" vertical="center" wrapText="1"/>
    </xf>
    <xf numFmtId="0" fontId="12" fillId="3" borderId="0" xfId="54" applyFont="1" applyFill="1" applyAlignment="1">
      <alignment horizontal="center" vertical="center" wrapText="1"/>
    </xf>
    <xf numFmtId="0" fontId="12" fillId="3" borderId="1" xfId="54" applyFont="1" applyFill="1" applyBorder="1" applyAlignment="1">
      <alignment horizontal="center" vertical="center" wrapText="1"/>
    </xf>
    <xf numFmtId="0" fontId="15" fillId="0" borderId="1" xfId="54" applyFont="1" applyFill="1" applyBorder="1" applyAlignment="1">
      <alignment horizontal="left" vertical="center" wrapText="1"/>
    </xf>
    <xf numFmtId="176" fontId="12" fillId="3" borderId="1" xfId="54" applyNumberFormat="1" applyFont="1" applyFill="1" applyBorder="1" applyAlignment="1">
      <alignment horizontal="center" vertical="center" wrapText="1"/>
    </xf>
    <xf numFmtId="0" fontId="12" fillId="0" borderId="7" xfId="54" applyFont="1" applyFill="1" applyBorder="1" applyAlignment="1">
      <alignment horizontal="left" vertical="center" wrapText="1"/>
    </xf>
    <xf numFmtId="0" fontId="7" fillId="0" borderId="0" xfId="0" applyFont="1" applyFill="1" applyAlignment="1">
      <alignment vertical="center" wrapText="1"/>
    </xf>
    <xf numFmtId="0" fontId="12" fillId="0" borderId="7" xfId="54" applyFont="1" applyFill="1" applyBorder="1" applyAlignment="1">
      <alignment horizontal="center" vertical="center" wrapText="1"/>
    </xf>
    <xf numFmtId="176" fontId="12" fillId="0" borderId="7" xfId="54" applyNumberFormat="1" applyFont="1" applyFill="1" applyBorder="1" applyAlignment="1">
      <alignment horizontal="center" vertical="center" wrapText="1"/>
    </xf>
    <xf numFmtId="0" fontId="0" fillId="0" borderId="0" xfId="0" applyFont="1" applyFill="1" applyAlignment="1">
      <alignment wrapText="1"/>
    </xf>
    <xf numFmtId="0" fontId="11" fillId="4" borderId="0" xfId="54" applyFont="1" applyFill="1" applyAlignment="1">
      <alignment horizontal="center" vertical="center" wrapText="1"/>
    </xf>
    <xf numFmtId="0" fontId="12" fillId="4" borderId="0" xfId="54" applyFont="1" applyFill="1" applyAlignment="1">
      <alignment horizontal="center" vertical="center" wrapText="1"/>
    </xf>
    <xf numFmtId="0" fontId="12" fillId="4" borderId="1" xfId="54" applyFont="1" applyFill="1" applyBorder="1" applyAlignment="1">
      <alignment horizontal="center" vertical="center" wrapText="1"/>
    </xf>
    <xf numFmtId="9" fontId="12" fillId="0" borderId="1" xfId="3" applyFont="1" applyFill="1" applyBorder="1" applyAlignment="1" applyProtection="1">
      <alignment horizontal="center" vertical="center" wrapText="1"/>
    </xf>
    <xf numFmtId="176" fontId="12" fillId="4" borderId="1" xfId="54" applyNumberFormat="1" applyFont="1" applyFill="1" applyBorder="1" applyAlignment="1">
      <alignment horizontal="center" vertical="center" wrapText="1"/>
    </xf>
    <xf numFmtId="176" fontId="12" fillId="0" borderId="1" xfId="54" applyNumberFormat="1" applyFont="1" applyFill="1" applyBorder="1" applyAlignment="1">
      <alignment horizontal="left" vertical="center" wrapText="1"/>
    </xf>
    <xf numFmtId="176" fontId="14" fillId="0" borderId="1" xfId="54" applyNumberFormat="1" applyFont="1" applyFill="1" applyBorder="1" applyAlignment="1">
      <alignment horizontal="left" vertical="center" wrapText="1"/>
    </xf>
    <xf numFmtId="0" fontId="16" fillId="0" borderId="0" xfId="0" applyFont="1" applyFill="1" applyBorder="1" applyAlignment="1">
      <alignment vertical="center"/>
    </xf>
    <xf numFmtId="0" fontId="16" fillId="0" borderId="0" xfId="0" applyFont="1" applyFill="1" applyAlignment="1">
      <alignment vertical="center"/>
    </xf>
    <xf numFmtId="0" fontId="17" fillId="0" borderId="0" xfId="0" applyFont="1" applyFill="1" applyAlignment="1">
      <alignment horizontal="center" vertical="center" wrapText="1"/>
    </xf>
    <xf numFmtId="0" fontId="18"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0" fillId="0" borderId="7" xfId="0" applyFont="1" applyFill="1" applyBorder="1" applyAlignment="1">
      <alignment horizontal="center" vertical="center" wrapText="1"/>
    </xf>
    <xf numFmtId="178" fontId="20" fillId="0" borderId="7" xfId="0" applyNumberFormat="1" applyFont="1" applyFill="1" applyBorder="1" applyAlignment="1">
      <alignment horizontal="center" vertical="center" wrapText="1"/>
    </xf>
    <xf numFmtId="0" fontId="20" fillId="0" borderId="7" xfId="0" applyFont="1" applyFill="1" applyBorder="1" applyAlignment="1">
      <alignment vertical="center"/>
    </xf>
    <xf numFmtId="178" fontId="20" fillId="0" borderId="1" xfId="0" applyNumberFormat="1" applyFont="1" applyFill="1" applyBorder="1" applyAlignment="1">
      <alignment horizontal="center" vertical="center" wrapText="1"/>
    </xf>
    <xf numFmtId="0" fontId="20" fillId="0" borderId="1" xfId="0" applyFont="1" applyFill="1" applyBorder="1" applyAlignment="1">
      <alignment vertical="center"/>
    </xf>
    <xf numFmtId="0" fontId="7" fillId="0" borderId="0" xfId="0" applyFont="1" applyFill="1" applyAlignment="1">
      <alignment horizontal="left" wrapText="1"/>
    </xf>
    <xf numFmtId="0" fontId="22" fillId="0" borderId="0" xfId="0" applyFont="1" applyFill="1" applyAlignment="1">
      <alignment horizontal="center"/>
    </xf>
    <xf numFmtId="0" fontId="23" fillId="0" borderId="0" xfId="0" applyFont="1" applyFill="1" applyAlignment="1">
      <alignment horizontal="center"/>
    </xf>
    <xf numFmtId="0" fontId="16" fillId="2" borderId="0" xfId="0" applyFont="1" applyFill="1" applyBorder="1" applyAlignment="1">
      <alignment vertical="center"/>
    </xf>
    <xf numFmtId="0" fontId="16" fillId="0" borderId="0" xfId="0" applyNumberFormat="1" applyFont="1" applyFill="1" applyBorder="1" applyAlignment="1">
      <alignment vertical="center" wrapText="1"/>
    </xf>
    <xf numFmtId="0" fontId="24" fillId="0" borderId="0" xfId="0" applyFont="1" applyFill="1" applyAlignment="1">
      <alignment horizontal="center" vertical="center"/>
    </xf>
    <xf numFmtId="49" fontId="25" fillId="0" borderId="1" xfId="56" applyNumberFormat="1" applyFont="1" applyFill="1" applyBorder="1" applyAlignment="1" applyProtection="1">
      <alignment horizontal="left" vertical="center"/>
    </xf>
    <xf numFmtId="49" fontId="25" fillId="0" borderId="1" xfId="56" applyNumberFormat="1" applyFont="1" applyFill="1" applyBorder="1" applyAlignment="1" applyProtection="1">
      <alignment horizontal="left" vertical="center" wrapText="1"/>
    </xf>
    <xf numFmtId="0" fontId="24" fillId="0" borderId="0" xfId="0" applyFont="1" applyFill="1" applyBorder="1" applyAlignment="1">
      <alignment horizontal="center" vertical="center"/>
    </xf>
    <xf numFmtId="0" fontId="2" fillId="0" borderId="1" xfId="59" applyFont="1" applyFill="1" applyBorder="1" applyAlignment="1" applyProtection="1">
      <alignment horizontal="center" vertical="center"/>
    </xf>
    <xf numFmtId="0" fontId="2" fillId="0" borderId="1" xfId="56" applyNumberFormat="1" applyFont="1" applyFill="1" applyBorder="1" applyAlignment="1" applyProtection="1">
      <alignment horizontal="left" vertical="center" wrapText="1"/>
    </xf>
    <xf numFmtId="0" fontId="26" fillId="0" borderId="0" xfId="0" applyNumberFormat="1" applyFont="1" applyFill="1" applyBorder="1" applyAlignment="1">
      <alignment horizontal="justify" vertical="center" wrapText="1"/>
    </xf>
    <xf numFmtId="0" fontId="8" fillId="0" borderId="1" xfId="58" applyNumberFormat="1" applyFont="1" applyFill="1" applyBorder="1" applyAlignment="1" applyProtection="1">
      <alignment horizontal="justify" vertical="center" wrapText="1"/>
    </xf>
    <xf numFmtId="0" fontId="2" fillId="0" borderId="1" xfId="49" applyNumberFormat="1" applyFont="1" applyFill="1" applyBorder="1" applyAlignment="1" applyProtection="1">
      <alignment horizontal="center" vertical="center"/>
    </xf>
    <xf numFmtId="0" fontId="2" fillId="0" borderId="1" xfId="57" applyNumberFormat="1" applyFont="1" applyFill="1" applyBorder="1" applyAlignment="1" applyProtection="1">
      <alignment vertical="center" wrapText="1"/>
    </xf>
    <xf numFmtId="0" fontId="26" fillId="0" borderId="0" xfId="0" applyNumberFormat="1" applyFont="1" applyFill="1" applyBorder="1" applyAlignment="1">
      <alignment horizontal="left" vertical="center" wrapText="1"/>
    </xf>
    <xf numFmtId="0" fontId="2" fillId="0" borderId="1" xfId="55" applyNumberFormat="1" applyFont="1" applyFill="1" applyBorder="1" applyAlignment="1" applyProtection="1">
      <alignment horizontal="left" vertical="center" wrapText="1"/>
    </xf>
    <xf numFmtId="0" fontId="2" fillId="0" borderId="1" xfId="57" applyNumberFormat="1" applyFont="1" applyFill="1" applyBorder="1" applyAlignment="1" applyProtection="1">
      <alignment horizontal="left" vertical="center" wrapText="1"/>
    </xf>
    <xf numFmtId="0" fontId="21" fillId="0" borderId="1" xfId="49" applyNumberFormat="1" applyFont="1" applyFill="1" applyBorder="1" applyAlignment="1" applyProtection="1">
      <alignment horizontal="center" vertical="center"/>
    </xf>
    <xf numFmtId="0" fontId="21" fillId="0" borderId="1" xfId="56" applyNumberFormat="1" applyFont="1" applyFill="1" applyBorder="1" applyAlignment="1" applyProtection="1">
      <alignment horizontal="left" vertical="center" wrapText="1"/>
    </xf>
    <xf numFmtId="0" fontId="21" fillId="0" borderId="7" xfId="49" applyNumberFormat="1" applyFont="1" applyFill="1" applyBorder="1" applyAlignment="1" applyProtection="1">
      <alignment horizontal="center" vertical="center"/>
    </xf>
    <xf numFmtId="0" fontId="21" fillId="0" borderId="8" xfId="56" applyNumberFormat="1" applyFont="1" applyFill="1" applyBorder="1" applyAlignment="1" applyProtection="1">
      <alignment horizontal="left" vertical="center" wrapText="1"/>
    </xf>
    <xf numFmtId="0" fontId="25" fillId="0" borderId="0" xfId="0" applyFont="1" applyFill="1" applyAlignment="1">
      <alignment horizontal="left"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3232" xfId="50"/>
    <cellStyle name="3232 2" xfId="51"/>
    <cellStyle name="3232 2 2" xfId="52"/>
    <cellStyle name="3232 3" xfId="53"/>
    <cellStyle name="Normal" xfId="54"/>
    <cellStyle name="表体数字 3 2 6 5 3 2" xfId="55"/>
    <cellStyle name="表体数字 3 2 6 6" xfId="56"/>
    <cellStyle name="常规 10" xfId="57"/>
    <cellStyle name="常规 11" xfId="58"/>
    <cellStyle name="常规 144 4" xfId="59"/>
    <cellStyle name="常规 2" xfId="60"/>
    <cellStyle name="常规 2 2 2" xfId="61"/>
    <cellStyle name="常规 2 3" xfId="62"/>
    <cellStyle name="常规 3" xfId="63"/>
    <cellStyle name="常规 3 2" xfId="64"/>
    <cellStyle name="常规 3 2 2" xfId="65"/>
    <cellStyle name="常规 3 2 2 2" xfId="66"/>
    <cellStyle name="常规 3 2 3" xfId="67"/>
    <cellStyle name="常规 3 3" xfId="68"/>
    <cellStyle name="常规 3 3 2" xfId="69"/>
    <cellStyle name="常规 3 4" xfId="70"/>
    <cellStyle name="常规 4" xfId="71"/>
    <cellStyle name="常规 5" xfId="72"/>
    <cellStyle name="常规 5 2" xfId="73"/>
    <cellStyle name="常规 5 2 2" xfId="74"/>
    <cellStyle name="常规 5 3" xfId="75"/>
    <cellStyle name="常规 53" xfId="76"/>
    <cellStyle name="常规 53 2" xfId="77"/>
    <cellStyle name="常规 53 2 2" xfId="78"/>
    <cellStyle name="常规 53 3" xfId="79"/>
    <cellStyle name="常规 7" xfId="80"/>
    <cellStyle name="常规 7 2" xfId="81"/>
    <cellStyle name="常规 7 2 2" xfId="82"/>
    <cellStyle name="常规 7 3" xfId="83"/>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cstate="print"/>
        <a:srcRect l="4340" t="7160" r="6759" b="1401"/>
        <a:stretch>
          <a:fillRect/>
        </a:stretch>
      </xdr:blipFill>
      <xdr:spPr>
        <a:xfrm>
          <a:off x="9525" y="95250"/>
          <a:ext cx="5607685"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48005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1" sqref="A11:E11"/>
    </sheetView>
  </sheetViews>
  <sheetFormatPr defaultColWidth="9.14285714285714" defaultRowHeight="12.75"/>
  <sheetData/>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4"/>
  <sheetViews>
    <sheetView view="pageBreakPreview" zoomScaleNormal="100" topLeftCell="A9" workbookViewId="0">
      <selection activeCell="B17" sqref="B17"/>
    </sheetView>
  </sheetViews>
  <sheetFormatPr defaultColWidth="10" defaultRowHeight="14.25" outlineLevelCol="3"/>
  <cols>
    <col min="1" max="1" width="6.42857142857143" style="100" customWidth="1"/>
    <col min="2" max="2" width="93.8571428571429" style="100" customWidth="1"/>
    <col min="3" max="3" width="10.2857142857143" style="100"/>
    <col min="4" max="4" width="10.2857142857143" style="100" customWidth="1"/>
    <col min="5" max="31" width="10.2857142857143" style="100"/>
    <col min="32" max="16384" width="10" style="100"/>
  </cols>
  <sheetData>
    <row r="1" ht="24.95" customHeight="1" spans="1:2">
      <c r="A1" s="120" t="s">
        <v>0</v>
      </c>
      <c r="B1" s="120"/>
    </row>
    <row r="2" s="119" customFormat="1" ht="17.1" customHeight="1" spans="1:4">
      <c r="A2" s="121" t="s">
        <v>1</v>
      </c>
      <c r="B2" s="122"/>
      <c r="D2" s="123"/>
    </row>
    <row r="3" s="119" customFormat="1" ht="23.1" customHeight="1" spans="1:4">
      <c r="A3" s="124">
        <v>1</v>
      </c>
      <c r="B3" s="125" t="s">
        <v>2</v>
      </c>
      <c r="D3" s="126"/>
    </row>
    <row r="4" s="119" customFormat="1" ht="72.95" customHeight="1" spans="1:4">
      <c r="A4" s="124">
        <v>2</v>
      </c>
      <c r="B4" s="127" t="s">
        <v>3</v>
      </c>
      <c r="D4" s="126"/>
    </row>
    <row r="5" s="119" customFormat="1" ht="17.1" customHeight="1" spans="1:4">
      <c r="A5" s="121" t="s">
        <v>4</v>
      </c>
      <c r="B5" s="122"/>
      <c r="D5" s="126"/>
    </row>
    <row r="6" s="119" customFormat="1" ht="83" customHeight="1" spans="1:4">
      <c r="A6" s="128">
        <v>1</v>
      </c>
      <c r="B6" s="129" t="s">
        <v>5</v>
      </c>
      <c r="D6" s="126"/>
    </row>
    <row r="7" s="119" customFormat="1" ht="57" customHeight="1" spans="1:4">
      <c r="A7" s="128">
        <v>2</v>
      </c>
      <c r="B7" s="129" t="s">
        <v>6</v>
      </c>
      <c r="D7" s="126"/>
    </row>
    <row r="8" s="119" customFormat="1" ht="45" customHeight="1" spans="1:4">
      <c r="A8" s="128">
        <v>3</v>
      </c>
      <c r="B8" s="129" t="s">
        <v>7</v>
      </c>
      <c r="D8" s="126"/>
    </row>
    <row r="9" s="119" customFormat="1" ht="76" customHeight="1" spans="1:4">
      <c r="A9" s="128">
        <v>4</v>
      </c>
      <c r="B9" s="129" t="s">
        <v>8</v>
      </c>
      <c r="D9" s="130"/>
    </row>
    <row r="10" ht="50" customHeight="1" spans="1:4">
      <c r="A10" s="128">
        <v>5</v>
      </c>
      <c r="B10" s="131" t="s">
        <v>9</v>
      </c>
      <c r="D10" s="130"/>
    </row>
    <row r="11" ht="54" customHeight="1" spans="1:4">
      <c r="A11" s="128">
        <v>6</v>
      </c>
      <c r="B11" s="132" t="s">
        <v>10</v>
      </c>
      <c r="D11" s="130"/>
    </row>
    <row r="12" ht="54" customHeight="1" spans="1:2">
      <c r="A12" s="128">
        <v>7</v>
      </c>
      <c r="B12" s="132" t="s">
        <v>11</v>
      </c>
    </row>
    <row r="13" ht="44.1" customHeight="1" spans="1:2">
      <c r="A13" s="128">
        <v>8</v>
      </c>
      <c r="B13" s="132" t="s">
        <v>12</v>
      </c>
    </row>
    <row r="14" ht="24" customHeight="1" spans="1:2">
      <c r="A14" s="128">
        <v>9</v>
      </c>
      <c r="B14" s="132" t="s">
        <v>13</v>
      </c>
    </row>
    <row r="15" ht="47.1" customHeight="1" spans="1:2">
      <c r="A15" s="128">
        <v>10</v>
      </c>
      <c r="B15" s="132" t="s">
        <v>14</v>
      </c>
    </row>
    <row r="16" ht="15.95" customHeight="1" spans="1:2">
      <c r="A16" s="121" t="s">
        <v>15</v>
      </c>
      <c r="B16" s="122"/>
    </row>
    <row r="17" ht="30.95" customHeight="1" spans="1:2">
      <c r="A17" s="128">
        <v>1</v>
      </c>
      <c r="B17" s="125" t="s">
        <v>16</v>
      </c>
    </row>
    <row r="18" ht="19" customHeight="1" spans="1:2">
      <c r="A18" s="128">
        <v>2</v>
      </c>
      <c r="B18" s="125" t="s">
        <v>17</v>
      </c>
    </row>
    <row r="19" ht="18" customHeight="1" spans="1:2">
      <c r="A19" s="121" t="s">
        <v>18</v>
      </c>
      <c r="B19" s="122"/>
    </row>
    <row r="20" ht="39" customHeight="1" spans="1:2">
      <c r="A20" s="133">
        <v>1</v>
      </c>
      <c r="B20" s="134" t="s">
        <v>19</v>
      </c>
    </row>
    <row r="21" ht="18" customHeight="1" spans="1:2">
      <c r="A21" s="121" t="s">
        <v>20</v>
      </c>
      <c r="B21" s="122"/>
    </row>
    <row r="22" ht="22" customHeight="1" spans="1:2">
      <c r="A22" s="135">
        <v>1</v>
      </c>
      <c r="B22" s="136" t="s">
        <v>21</v>
      </c>
    </row>
    <row r="23" ht="23" customHeight="1" spans="1:2">
      <c r="A23" s="135">
        <v>2</v>
      </c>
      <c r="B23" s="136" t="s">
        <v>22</v>
      </c>
    </row>
    <row r="24" ht="20" customHeight="1" spans="1:2">
      <c r="A24" s="137" t="s">
        <v>23</v>
      </c>
      <c r="B24" s="137"/>
    </row>
  </sheetData>
  <mergeCells count="7">
    <mergeCell ref="A1:B1"/>
    <mergeCell ref="A2:B2"/>
    <mergeCell ref="A5:B5"/>
    <mergeCell ref="A16:B16"/>
    <mergeCell ref="A19:B19"/>
    <mergeCell ref="A21:B21"/>
    <mergeCell ref="A24:B24"/>
  </mergeCells>
  <printOptions horizontalCentered="1"/>
  <pageMargins left="0.196527777777778" right="0.196527777777778" top="0.590277777777778" bottom="0.590277777777778" header="0.5" footer="0.5"/>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view="pageBreakPreview" zoomScaleNormal="100" workbookViewId="0">
      <selection activeCell="E17" sqref="E17"/>
    </sheetView>
  </sheetViews>
  <sheetFormatPr defaultColWidth="8.85714285714286" defaultRowHeight="12.75"/>
  <cols>
    <col min="1" max="1" width="8.85714285714286" style="4"/>
    <col min="2" max="2" width="20.5714285714286" style="78" customWidth="1"/>
    <col min="3" max="3" width="10.1428571428571" style="78" customWidth="1"/>
    <col min="4" max="4" width="20.4285714285714" style="4" customWidth="1"/>
    <col min="5" max="5" width="26.2857142857143" style="4" customWidth="1"/>
    <col min="6" max="6" width="8.85714285714286" style="4"/>
    <col min="7" max="9" width="14.5714285714286" style="4"/>
    <col min="10" max="10" width="17.7142857142857" style="4" customWidth="1"/>
    <col min="11" max="12" width="8.85714285714286" style="4"/>
    <col min="13" max="13" width="14.5714285714286" style="4"/>
    <col min="14" max="16384" width="8.85714285714286" style="4"/>
  </cols>
  <sheetData>
    <row r="1" s="100" customFormat="1" ht="48" customHeight="1" spans="1:5">
      <c r="A1" s="102" t="s">
        <v>24</v>
      </c>
      <c r="B1" s="102"/>
      <c r="C1" s="102"/>
      <c r="D1" s="102"/>
      <c r="E1" s="102"/>
    </row>
    <row r="2" s="100" customFormat="1" ht="30" customHeight="1" spans="1:5">
      <c r="A2" s="103" t="s">
        <v>25</v>
      </c>
      <c r="B2" s="103" t="s">
        <v>26</v>
      </c>
      <c r="C2" s="103" t="s">
        <v>27</v>
      </c>
      <c r="D2" s="104" t="s">
        <v>28</v>
      </c>
      <c r="E2" s="105" t="s">
        <v>29</v>
      </c>
    </row>
    <row r="3" s="100" customFormat="1" ht="51" customHeight="1" spans="1:10">
      <c r="A3" s="106" t="s">
        <v>30</v>
      </c>
      <c r="B3" s="106" t="s">
        <v>31</v>
      </c>
      <c r="C3" s="107" t="s">
        <v>32</v>
      </c>
      <c r="D3" s="104">
        <f>'02、样板间装饰工程'!N60</f>
        <v>291697.20066627</v>
      </c>
      <c r="E3" s="108"/>
      <c r="I3" s="118"/>
      <c r="J3" s="118"/>
    </row>
    <row r="4" s="100" customFormat="1" ht="51" customHeight="1" spans="1:5">
      <c r="A4" s="106" t="s">
        <v>33</v>
      </c>
      <c r="B4" s="106" t="s">
        <v>34</v>
      </c>
      <c r="C4" s="107" t="s">
        <v>32</v>
      </c>
      <c r="D4" s="104">
        <f>'03、安装工程'!N77</f>
        <v>128303.0746956</v>
      </c>
      <c r="E4" s="109"/>
    </row>
    <row r="5" s="101" customFormat="1" ht="51" customHeight="1" spans="1:5">
      <c r="A5" s="110" t="s">
        <v>35</v>
      </c>
      <c r="B5" s="110" t="s">
        <v>36</v>
      </c>
      <c r="C5" s="107" t="s">
        <v>32</v>
      </c>
      <c r="D5" s="111"/>
      <c r="E5" s="112"/>
    </row>
    <row r="6" s="101" customFormat="1" ht="33" customHeight="1" spans="1:5">
      <c r="A6" s="106" t="s">
        <v>28</v>
      </c>
      <c r="B6" s="106"/>
      <c r="C6" s="106"/>
      <c r="D6" s="113">
        <f>D4+D3</f>
        <v>420000.27536187</v>
      </c>
      <c r="E6" s="114" t="s">
        <v>37</v>
      </c>
    </row>
    <row r="7" customFormat="1" ht="36" customHeight="1" spans="1:5">
      <c r="A7" s="115" t="s">
        <v>38</v>
      </c>
      <c r="B7" s="79"/>
      <c r="C7" s="79"/>
      <c r="D7" s="79"/>
      <c r="E7" s="79"/>
    </row>
    <row r="9" ht="34" customHeight="1" spans="3:5">
      <c r="C9" s="116" t="s">
        <v>39</v>
      </c>
      <c r="D9" s="117"/>
      <c r="E9" s="117"/>
    </row>
  </sheetData>
  <mergeCells count="4">
    <mergeCell ref="A1:E1"/>
    <mergeCell ref="A6:B6"/>
    <mergeCell ref="A7:E7"/>
    <mergeCell ref="C9:E9"/>
  </mergeCells>
  <pageMargins left="0.751388888888889" right="0.751388888888889" top="1" bottom="1" header="0.5" footer="0.5"/>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1" sqref="A11:E11"/>
    </sheetView>
  </sheetViews>
  <sheetFormatPr defaultColWidth="9.14285714285714" defaultRowHeight="12.75"/>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60"/>
  <sheetViews>
    <sheetView view="pageBreakPreview" zoomScaleNormal="100" workbookViewId="0">
      <pane ySplit="5" topLeftCell="A42" activePane="bottomLeft" state="frozen"/>
      <selection/>
      <selection pane="bottomLeft" activeCell="H46" sqref="H46"/>
    </sheetView>
  </sheetViews>
  <sheetFormatPr defaultColWidth="9.14285714285714" defaultRowHeight="12.75"/>
  <cols>
    <col min="1" max="1" width="2.92380952380952" style="78" customWidth="1"/>
    <col min="2" max="2" width="11.7142857142857" style="79" customWidth="1"/>
    <col min="3" max="3" width="51.4190476190476" style="4" customWidth="1"/>
    <col min="4" max="4" width="5.14285714285714" style="78" customWidth="1"/>
    <col min="5" max="6" width="9.14285714285714" style="78"/>
    <col min="7" max="7" width="12.7142857142857" style="80" customWidth="1"/>
    <col min="8" max="8" width="9.14285714285714" style="78"/>
    <col min="9" max="9" width="12.4285714285714" style="78" customWidth="1"/>
    <col min="10" max="10" width="12.2857142857143" style="78" customWidth="1"/>
    <col min="11" max="11" width="13.8571428571429" style="78" customWidth="1"/>
    <col min="12" max="12" width="14.8571428571429" style="78" customWidth="1"/>
    <col min="13" max="13" width="10.1428571428571" style="81"/>
    <col min="14" max="14" width="14.447619047619" style="4" customWidth="1"/>
    <col min="15" max="15" width="11.8666666666667" style="4" customWidth="1"/>
    <col min="16" max="19" width="9.85714285714286" style="4" customWidth="1"/>
    <col min="20" max="16384" width="9.14285714285714" style="4"/>
  </cols>
  <sheetData>
    <row r="1" ht="37" customHeight="1" spans="1:15">
      <c r="A1" s="45" t="s">
        <v>40</v>
      </c>
      <c r="B1" s="82"/>
      <c r="C1" s="45"/>
      <c r="D1" s="45"/>
      <c r="E1" s="57"/>
      <c r="F1" s="45"/>
      <c r="G1" s="83"/>
      <c r="H1" s="45"/>
      <c r="I1" s="45"/>
      <c r="J1" s="45"/>
      <c r="K1" s="45"/>
      <c r="L1" s="45"/>
      <c r="M1" s="93"/>
      <c r="N1" s="45"/>
      <c r="O1" s="45"/>
    </row>
    <row r="2" ht="20" customHeight="1" spans="1:15">
      <c r="A2" s="46" t="s">
        <v>41</v>
      </c>
      <c r="B2" s="46"/>
      <c r="C2" s="46"/>
      <c r="D2" s="47"/>
      <c r="E2" s="58"/>
      <c r="F2" s="47"/>
      <c r="G2" s="84"/>
      <c r="H2" s="47"/>
      <c r="I2" s="47"/>
      <c r="J2" s="47"/>
      <c r="K2" s="47"/>
      <c r="L2" s="47"/>
      <c r="M2" s="94"/>
      <c r="N2" s="46"/>
      <c r="O2" s="46"/>
    </row>
    <row r="3" spans="1:15">
      <c r="A3" s="48" t="s">
        <v>42</v>
      </c>
      <c r="B3" s="48" t="s">
        <v>43</v>
      </c>
      <c r="C3" s="49" t="s">
        <v>44</v>
      </c>
      <c r="D3" s="48" t="s">
        <v>27</v>
      </c>
      <c r="E3" s="53" t="s">
        <v>45</v>
      </c>
      <c r="F3" s="48" t="s">
        <v>46</v>
      </c>
      <c r="G3" s="85"/>
      <c r="H3" s="48"/>
      <c r="I3" s="48"/>
      <c r="J3" s="48"/>
      <c r="K3" s="48"/>
      <c r="L3" s="48"/>
      <c r="M3" s="95" t="s">
        <v>47</v>
      </c>
      <c r="N3" s="49" t="s">
        <v>48</v>
      </c>
      <c r="O3" s="49" t="s">
        <v>49</v>
      </c>
    </row>
    <row r="4" ht="22.5" spans="1:15">
      <c r="A4" s="48"/>
      <c r="B4" s="48"/>
      <c r="C4" s="49"/>
      <c r="D4" s="48"/>
      <c r="E4" s="53"/>
      <c r="F4" s="48" t="s">
        <v>50</v>
      </c>
      <c r="G4" s="85" t="s">
        <v>51</v>
      </c>
      <c r="H4" s="48" t="s">
        <v>52</v>
      </c>
      <c r="I4" s="48" t="s">
        <v>53</v>
      </c>
      <c r="J4" s="48" t="s">
        <v>54</v>
      </c>
      <c r="K4" s="48" t="s">
        <v>55</v>
      </c>
      <c r="L4" s="48" t="s">
        <v>56</v>
      </c>
      <c r="M4" s="95"/>
      <c r="N4" s="49"/>
      <c r="O4" s="49"/>
    </row>
    <row r="5" ht="13" customHeight="1" spans="1:15">
      <c r="A5" s="48"/>
      <c r="B5" s="48"/>
      <c r="C5" s="49"/>
      <c r="D5" s="48"/>
      <c r="E5" s="53"/>
      <c r="F5" s="48"/>
      <c r="G5" s="85" t="s">
        <v>57</v>
      </c>
      <c r="H5" s="48" t="s">
        <v>58</v>
      </c>
      <c r="I5" s="48" t="s">
        <v>59</v>
      </c>
      <c r="J5" s="48"/>
      <c r="K5" s="59">
        <v>0.05</v>
      </c>
      <c r="L5" s="59">
        <v>0.09</v>
      </c>
      <c r="M5" s="95"/>
      <c r="N5" s="53"/>
      <c r="O5" s="49"/>
    </row>
    <row r="6" s="4" customFormat="1" ht="30" customHeight="1" spans="1:15">
      <c r="A6" s="48" t="s">
        <v>30</v>
      </c>
      <c r="B6" s="86" t="s">
        <v>60</v>
      </c>
      <c r="C6" s="49"/>
      <c r="D6" s="48"/>
      <c r="E6" s="53"/>
      <c r="F6" s="54"/>
      <c r="G6" s="87"/>
      <c r="H6" s="54"/>
      <c r="I6" s="96"/>
      <c r="J6" s="53"/>
      <c r="K6" s="53"/>
      <c r="L6" s="53"/>
      <c r="M6" s="97"/>
      <c r="N6" s="53">
        <f>E6*M6</f>
        <v>0</v>
      </c>
      <c r="O6" s="98"/>
    </row>
    <row r="7" s="4" customFormat="1" ht="85" customHeight="1" spans="1:15">
      <c r="A7" s="48">
        <v>1</v>
      </c>
      <c r="B7" s="86" t="s">
        <v>61</v>
      </c>
      <c r="C7" s="49" t="s">
        <v>62</v>
      </c>
      <c r="D7" s="48" t="s">
        <v>63</v>
      </c>
      <c r="E7" s="53">
        <f>20.23+12.9+5.06+6.94+25.56</f>
        <v>70.69</v>
      </c>
      <c r="F7" s="54">
        <v>40</v>
      </c>
      <c r="G7" s="87">
        <f t="shared" ref="G7:G11" si="0">H7*(1+I7)</f>
        <v>51</v>
      </c>
      <c r="H7" s="54">
        <v>50</v>
      </c>
      <c r="I7" s="59">
        <v>0.02</v>
      </c>
      <c r="J7" s="53">
        <v>10</v>
      </c>
      <c r="K7" s="53">
        <f>(J7+G7+F7)*0.05</f>
        <v>5.05</v>
      </c>
      <c r="L7" s="53">
        <f t="shared" ref="L7:L11" si="1">(K7+J7+G7+F7)*0.09</f>
        <v>9.5445</v>
      </c>
      <c r="M7" s="97">
        <f t="shared" ref="M7:M11" si="2">L7+K7+J7+G7+F7</f>
        <v>115.5945</v>
      </c>
      <c r="N7" s="53">
        <f t="shared" ref="N7:N11" si="3">M7*E7</f>
        <v>8171.375205</v>
      </c>
      <c r="O7" s="98"/>
    </row>
    <row r="8" customFormat="1" ht="81.75" customHeight="1" spans="1:17">
      <c r="A8" s="48">
        <v>2</v>
      </c>
      <c r="B8" s="49" t="s">
        <v>64</v>
      </c>
      <c r="C8" s="49" t="s">
        <v>65</v>
      </c>
      <c r="D8" s="48" t="s">
        <v>63</v>
      </c>
      <c r="E8" s="53">
        <f>20.23+12.9</f>
        <v>33.13</v>
      </c>
      <c r="F8" s="54">
        <v>30</v>
      </c>
      <c r="G8" s="87">
        <f t="shared" si="0"/>
        <v>183.6</v>
      </c>
      <c r="H8" s="54">
        <v>180</v>
      </c>
      <c r="I8" s="59">
        <v>0.02</v>
      </c>
      <c r="J8" s="53">
        <v>10</v>
      </c>
      <c r="K8" s="53">
        <f t="shared" ref="K8:K54" si="4">(J8+G8+F8)*0.05</f>
        <v>11.18</v>
      </c>
      <c r="L8" s="53">
        <f t="shared" si="1"/>
        <v>21.1302</v>
      </c>
      <c r="M8" s="97">
        <f t="shared" si="2"/>
        <v>255.9102</v>
      </c>
      <c r="N8" s="53">
        <f t="shared" si="3"/>
        <v>8478.304926</v>
      </c>
      <c r="O8" s="98" t="s">
        <v>66</v>
      </c>
      <c r="Q8" s="4"/>
    </row>
    <row r="9" customFormat="1" ht="92.1" customHeight="1" spans="1:15">
      <c r="A9" s="48">
        <v>4</v>
      </c>
      <c r="B9" s="49" t="s">
        <v>67</v>
      </c>
      <c r="C9" s="49" t="s">
        <v>68</v>
      </c>
      <c r="D9" s="48" t="s">
        <v>63</v>
      </c>
      <c r="E9" s="53">
        <f>5.06+6.94+25.56+40.34+2.55</f>
        <v>80.45</v>
      </c>
      <c r="F9" s="54">
        <v>55</v>
      </c>
      <c r="G9" s="87">
        <f t="shared" si="0"/>
        <v>112.2</v>
      </c>
      <c r="H9" s="54">
        <v>110</v>
      </c>
      <c r="I9" s="59">
        <v>0.02</v>
      </c>
      <c r="J9" s="53">
        <v>20</v>
      </c>
      <c r="K9" s="53">
        <f t="shared" si="4"/>
        <v>9.36</v>
      </c>
      <c r="L9" s="53">
        <f t="shared" si="1"/>
        <v>17.6904</v>
      </c>
      <c r="M9" s="97">
        <f t="shared" si="2"/>
        <v>214.2504</v>
      </c>
      <c r="N9" s="53">
        <f t="shared" si="3"/>
        <v>17236.44468</v>
      </c>
      <c r="O9" s="98"/>
    </row>
    <row r="10" customFormat="1" ht="83" customHeight="1" spans="1:15">
      <c r="A10" s="48">
        <v>5</v>
      </c>
      <c r="B10" s="49" t="s">
        <v>69</v>
      </c>
      <c r="C10" s="49" t="s">
        <v>70</v>
      </c>
      <c r="D10" s="48" t="s">
        <v>63</v>
      </c>
      <c r="E10" s="53">
        <v>59.95</v>
      </c>
      <c r="F10" s="54">
        <v>60</v>
      </c>
      <c r="G10" s="87">
        <f t="shared" si="0"/>
        <v>137.7</v>
      </c>
      <c r="H10" s="54">
        <v>135</v>
      </c>
      <c r="I10" s="59">
        <v>0.02</v>
      </c>
      <c r="J10" s="53">
        <v>25</v>
      </c>
      <c r="K10" s="53">
        <f t="shared" si="4"/>
        <v>11.135</v>
      </c>
      <c r="L10" s="53">
        <f t="shared" si="1"/>
        <v>21.04515</v>
      </c>
      <c r="M10" s="97">
        <f t="shared" si="2"/>
        <v>254.88015</v>
      </c>
      <c r="N10" s="53">
        <f t="shared" si="3"/>
        <v>15280.0649925</v>
      </c>
      <c r="O10" s="98"/>
    </row>
    <row r="11" customFormat="1" ht="80.25" customHeight="1" spans="1:15">
      <c r="A11" s="48">
        <v>6</v>
      </c>
      <c r="B11" s="49" t="s">
        <v>71</v>
      </c>
      <c r="C11" s="49" t="s">
        <v>72</v>
      </c>
      <c r="D11" s="48" t="s">
        <v>63</v>
      </c>
      <c r="E11" s="53">
        <f>5.06+2.55</f>
        <v>7.61</v>
      </c>
      <c r="F11" s="54">
        <v>35</v>
      </c>
      <c r="G11" s="87">
        <f t="shared" si="0"/>
        <v>20.4</v>
      </c>
      <c r="H11" s="54">
        <v>20</v>
      </c>
      <c r="I11" s="59">
        <v>0.02</v>
      </c>
      <c r="J11" s="53">
        <v>15</v>
      </c>
      <c r="K11" s="53">
        <f t="shared" si="4"/>
        <v>3.52</v>
      </c>
      <c r="L11" s="53">
        <f t="shared" si="1"/>
        <v>6.6528</v>
      </c>
      <c r="M11" s="97">
        <f t="shared" si="2"/>
        <v>80.5728</v>
      </c>
      <c r="N11" s="53">
        <f t="shared" si="3"/>
        <v>613.159008</v>
      </c>
      <c r="O11" s="98"/>
    </row>
    <row r="12" customFormat="1" spans="1:15">
      <c r="A12" s="48" t="s">
        <v>33</v>
      </c>
      <c r="B12" s="49" t="s">
        <v>73</v>
      </c>
      <c r="C12" s="49"/>
      <c r="D12" s="48"/>
      <c r="E12" s="53"/>
      <c r="F12" s="54"/>
      <c r="G12" s="87"/>
      <c r="H12" s="54"/>
      <c r="I12" s="59"/>
      <c r="J12" s="53"/>
      <c r="K12" s="53">
        <f t="shared" si="4"/>
        <v>0</v>
      </c>
      <c r="L12" s="53"/>
      <c r="M12" s="97"/>
      <c r="N12" s="53"/>
      <c r="O12" s="98"/>
    </row>
    <row r="13" customFormat="1" ht="56.25" spans="1:15">
      <c r="A13" s="48">
        <v>1</v>
      </c>
      <c r="B13" s="49" t="s">
        <v>74</v>
      </c>
      <c r="C13" s="49" t="s">
        <v>75</v>
      </c>
      <c r="D13" s="48" t="s">
        <v>63</v>
      </c>
      <c r="E13" s="53">
        <f>(1.15+1.46+1.15+2.44+2.29+1.53)*2.32-1.2*1.5</f>
        <v>21.4464</v>
      </c>
      <c r="F13" s="54">
        <v>60</v>
      </c>
      <c r="G13" s="87">
        <f t="shared" ref="G13:G27" si="5">H13*(1+I13)</f>
        <v>137.7</v>
      </c>
      <c r="H13" s="54">
        <v>135</v>
      </c>
      <c r="I13" s="59">
        <v>0.02</v>
      </c>
      <c r="J13" s="53">
        <v>25</v>
      </c>
      <c r="K13" s="53">
        <f t="shared" si="4"/>
        <v>11.135</v>
      </c>
      <c r="L13" s="53">
        <f t="shared" ref="L13:L27" si="6">(K13+J13+G13+F13)*0.09</f>
        <v>21.04515</v>
      </c>
      <c r="M13" s="97">
        <f t="shared" ref="M13:M27" si="7">L13+K13+J13+G13+F13</f>
        <v>254.88015</v>
      </c>
      <c r="N13" s="53">
        <f t="shared" ref="N13:N26" si="8">M13*E13</f>
        <v>5466.26164896</v>
      </c>
      <c r="O13" s="98"/>
    </row>
    <row r="14" customFormat="1" ht="42" customHeight="1" spans="1:15">
      <c r="A14" s="48">
        <v>2</v>
      </c>
      <c r="B14" s="49" t="s">
        <v>76</v>
      </c>
      <c r="C14" s="49" t="s">
        <v>77</v>
      </c>
      <c r="D14" s="48" t="s">
        <v>63</v>
      </c>
      <c r="E14" s="53">
        <f>4*2.32-1.04*2.32+(1.17+4.49)*2.32+2.45*0.32+1.65+(3.71-2.31)*2.32+0.89*2.27+2.24*0.23+0.43*2.32+(0.23*2.24+0.4*2.32+1.22*0.585+1.9*1.16+0.262*2*1.16)+(0.45+0.92+0.45+0.4+0.23)*2.32</f>
        <v>39.86624</v>
      </c>
      <c r="F14" s="54">
        <v>160</v>
      </c>
      <c r="G14" s="87">
        <f t="shared" si="5"/>
        <v>442.9</v>
      </c>
      <c r="H14" s="54">
        <v>430</v>
      </c>
      <c r="I14" s="59">
        <v>0.03</v>
      </c>
      <c r="J14" s="53">
        <v>50</v>
      </c>
      <c r="K14" s="53">
        <f t="shared" si="4"/>
        <v>32.645</v>
      </c>
      <c r="L14" s="53">
        <f t="shared" si="6"/>
        <v>61.69905</v>
      </c>
      <c r="M14" s="97">
        <f t="shared" si="7"/>
        <v>747.24405</v>
      </c>
      <c r="N14" s="53">
        <f t="shared" si="8"/>
        <v>29789.810635872</v>
      </c>
      <c r="O14" s="98"/>
    </row>
    <row r="15" customFormat="1" ht="64" customHeight="1" spans="1:15">
      <c r="A15" s="48">
        <v>3</v>
      </c>
      <c r="B15" s="49" t="s">
        <v>78</v>
      </c>
      <c r="C15" s="49" t="s">
        <v>79</v>
      </c>
      <c r="D15" s="48" t="s">
        <v>80</v>
      </c>
      <c r="E15" s="53">
        <f>1.04+2.32*2</f>
        <v>5.68</v>
      </c>
      <c r="F15" s="54">
        <v>55</v>
      </c>
      <c r="G15" s="87">
        <f t="shared" si="5"/>
        <v>77.25</v>
      </c>
      <c r="H15" s="54">
        <v>75</v>
      </c>
      <c r="I15" s="59">
        <v>0.03</v>
      </c>
      <c r="J15" s="53">
        <v>15</v>
      </c>
      <c r="K15" s="53">
        <f t="shared" si="4"/>
        <v>7.3625</v>
      </c>
      <c r="L15" s="53">
        <f t="shared" si="6"/>
        <v>13.915125</v>
      </c>
      <c r="M15" s="97">
        <f t="shared" si="7"/>
        <v>168.527625</v>
      </c>
      <c r="N15" s="53">
        <f t="shared" si="8"/>
        <v>957.23691</v>
      </c>
      <c r="O15" s="98"/>
    </row>
    <row r="16" customFormat="1" ht="46" customHeight="1" spans="1:15">
      <c r="A16" s="48">
        <v>4</v>
      </c>
      <c r="B16" s="49" t="s">
        <v>81</v>
      </c>
      <c r="C16" s="49" t="s">
        <v>82</v>
      </c>
      <c r="D16" s="48" t="s">
        <v>80</v>
      </c>
      <c r="E16" s="53">
        <v>1.3</v>
      </c>
      <c r="F16" s="54">
        <v>350</v>
      </c>
      <c r="G16" s="87">
        <f t="shared" si="5"/>
        <v>412</v>
      </c>
      <c r="H16" s="54">
        <v>400</v>
      </c>
      <c r="I16" s="59">
        <v>0.03</v>
      </c>
      <c r="J16" s="53">
        <v>20</v>
      </c>
      <c r="K16" s="53">
        <f t="shared" si="4"/>
        <v>39.1</v>
      </c>
      <c r="L16" s="53">
        <f t="shared" si="6"/>
        <v>73.899</v>
      </c>
      <c r="M16" s="97">
        <f t="shared" si="7"/>
        <v>894.999</v>
      </c>
      <c r="N16" s="53">
        <f t="shared" si="8"/>
        <v>1163.4987</v>
      </c>
      <c r="O16" s="98"/>
    </row>
    <row r="17" customFormat="1" ht="57" customHeight="1" spans="1:15">
      <c r="A17" s="48">
        <v>5</v>
      </c>
      <c r="B17" s="49" t="s">
        <v>83</v>
      </c>
      <c r="C17" s="49" t="s">
        <v>84</v>
      </c>
      <c r="D17" s="48" t="s">
        <v>63</v>
      </c>
      <c r="E17" s="53">
        <f>2.5*1.47-1.5*1.43+(1.5+1.43*2)*0.1+3.64*2.27+(7.2-5.98+(2.6+2*2)*0.1)+(0.4+0.23)*2.62+(2.94+10.119)</f>
        <v>26.8184</v>
      </c>
      <c r="F17" s="54">
        <v>50</v>
      </c>
      <c r="G17" s="87">
        <f t="shared" si="5"/>
        <v>47.25</v>
      </c>
      <c r="H17" s="54">
        <v>45</v>
      </c>
      <c r="I17" s="59">
        <v>0.05</v>
      </c>
      <c r="J17" s="53">
        <v>20</v>
      </c>
      <c r="K17" s="53">
        <f t="shared" si="4"/>
        <v>5.8625</v>
      </c>
      <c r="L17" s="53">
        <f t="shared" si="6"/>
        <v>11.080125</v>
      </c>
      <c r="M17" s="97">
        <f t="shared" si="7"/>
        <v>134.192625</v>
      </c>
      <c r="N17" s="53">
        <f t="shared" si="8"/>
        <v>3598.8314943</v>
      </c>
      <c r="O17" s="98"/>
    </row>
    <row r="18" customFormat="1" ht="42" customHeight="1" spans="1:15">
      <c r="A18" s="48">
        <v>6</v>
      </c>
      <c r="B18" s="49" t="s">
        <v>85</v>
      </c>
      <c r="C18" s="49" t="s">
        <v>86</v>
      </c>
      <c r="D18" s="48" t="s">
        <v>80</v>
      </c>
      <c r="E18" s="53">
        <v>2.44</v>
      </c>
      <c r="F18" s="54">
        <v>180</v>
      </c>
      <c r="G18" s="87">
        <f t="shared" si="5"/>
        <v>326.4</v>
      </c>
      <c r="H18" s="54">
        <v>320</v>
      </c>
      <c r="I18" s="59">
        <v>0.02</v>
      </c>
      <c r="J18" s="53">
        <v>30</v>
      </c>
      <c r="K18" s="53">
        <f t="shared" si="4"/>
        <v>26.82</v>
      </c>
      <c r="L18" s="53">
        <f t="shared" si="6"/>
        <v>50.6898</v>
      </c>
      <c r="M18" s="97">
        <f t="shared" si="7"/>
        <v>613.9098</v>
      </c>
      <c r="N18" s="53">
        <f t="shared" si="8"/>
        <v>1497.939912</v>
      </c>
      <c r="O18" s="98"/>
    </row>
    <row r="19" customFormat="1" ht="61" customHeight="1" spans="1:15">
      <c r="A19" s="48">
        <v>7</v>
      </c>
      <c r="B19" s="49" t="s">
        <v>87</v>
      </c>
      <c r="C19" s="49" t="s">
        <v>88</v>
      </c>
      <c r="D19" s="48" t="s">
        <v>80</v>
      </c>
      <c r="E19" s="53">
        <f>1.87+0.572+1.38+0.339+1.9</f>
        <v>6.061</v>
      </c>
      <c r="F19" s="54">
        <v>350</v>
      </c>
      <c r="G19" s="87">
        <f t="shared" si="5"/>
        <v>765</v>
      </c>
      <c r="H19" s="54">
        <v>750</v>
      </c>
      <c r="I19" s="59">
        <v>0.02</v>
      </c>
      <c r="J19" s="53">
        <v>50</v>
      </c>
      <c r="K19" s="53">
        <f t="shared" si="4"/>
        <v>58.25</v>
      </c>
      <c r="L19" s="53">
        <f t="shared" si="6"/>
        <v>110.0925</v>
      </c>
      <c r="M19" s="97">
        <f t="shared" si="7"/>
        <v>1333.3425</v>
      </c>
      <c r="N19" s="53">
        <f t="shared" si="8"/>
        <v>8081.3888925</v>
      </c>
      <c r="O19" s="98"/>
    </row>
    <row r="20" customFormat="1" ht="40" customHeight="1" spans="1:15">
      <c r="A20" s="48">
        <v>8</v>
      </c>
      <c r="B20" s="49" t="s">
        <v>89</v>
      </c>
      <c r="C20" s="49" t="s">
        <v>86</v>
      </c>
      <c r="D20" s="48" t="s">
        <v>80</v>
      </c>
      <c r="E20" s="53">
        <v>2.46</v>
      </c>
      <c r="F20" s="54">
        <v>180</v>
      </c>
      <c r="G20" s="87">
        <f t="shared" si="5"/>
        <v>326.4</v>
      </c>
      <c r="H20" s="54">
        <v>320</v>
      </c>
      <c r="I20" s="59">
        <v>0.02</v>
      </c>
      <c r="J20" s="53">
        <v>30</v>
      </c>
      <c r="K20" s="53">
        <f t="shared" si="4"/>
        <v>26.82</v>
      </c>
      <c r="L20" s="53">
        <f t="shared" si="6"/>
        <v>50.6898</v>
      </c>
      <c r="M20" s="97">
        <f t="shared" si="7"/>
        <v>613.9098</v>
      </c>
      <c r="N20" s="53">
        <f t="shared" si="8"/>
        <v>1510.218108</v>
      </c>
      <c r="O20" s="98"/>
    </row>
    <row r="21" customFormat="1" ht="45" customHeight="1" spans="1:15">
      <c r="A21" s="48">
        <v>9</v>
      </c>
      <c r="B21" s="49" t="s">
        <v>90</v>
      </c>
      <c r="C21" s="49" t="s">
        <v>91</v>
      </c>
      <c r="D21" s="48" t="s">
        <v>63</v>
      </c>
      <c r="E21" s="53">
        <f>1.12*2.32</f>
        <v>2.5984</v>
      </c>
      <c r="F21" s="54">
        <v>160</v>
      </c>
      <c r="G21" s="87">
        <f t="shared" si="5"/>
        <v>360.5</v>
      </c>
      <c r="H21" s="54">
        <v>350</v>
      </c>
      <c r="I21" s="59">
        <v>0.03</v>
      </c>
      <c r="J21" s="53">
        <v>50</v>
      </c>
      <c r="K21" s="53">
        <f t="shared" si="4"/>
        <v>28.525</v>
      </c>
      <c r="L21" s="53">
        <f t="shared" si="6"/>
        <v>53.91225</v>
      </c>
      <c r="M21" s="97">
        <f t="shared" si="7"/>
        <v>652.93725</v>
      </c>
      <c r="N21" s="53">
        <f t="shared" si="8"/>
        <v>1696.5921504</v>
      </c>
      <c r="O21" s="98"/>
    </row>
    <row r="22" customFormat="1" ht="77" customHeight="1" spans="1:15">
      <c r="A22" s="48">
        <v>10</v>
      </c>
      <c r="B22" s="49" t="s">
        <v>92</v>
      </c>
      <c r="C22" s="49" t="s">
        <v>93</v>
      </c>
      <c r="D22" s="48" t="s">
        <v>63</v>
      </c>
      <c r="E22" s="53">
        <f>2.73*2.32</f>
        <v>6.3336</v>
      </c>
      <c r="F22" s="54">
        <v>195</v>
      </c>
      <c r="G22" s="87">
        <f t="shared" si="5"/>
        <v>566.5</v>
      </c>
      <c r="H22" s="54">
        <v>550</v>
      </c>
      <c r="I22" s="59">
        <v>0.03</v>
      </c>
      <c r="J22" s="53">
        <v>45</v>
      </c>
      <c r="K22" s="53">
        <f t="shared" si="4"/>
        <v>40.325</v>
      </c>
      <c r="L22" s="53">
        <f t="shared" si="6"/>
        <v>76.21425</v>
      </c>
      <c r="M22" s="97">
        <f t="shared" si="7"/>
        <v>923.03925</v>
      </c>
      <c r="N22" s="53">
        <f t="shared" si="8"/>
        <v>5846.1613938</v>
      </c>
      <c r="O22" s="98"/>
    </row>
    <row r="23" customFormat="1" ht="63" customHeight="1" spans="1:15">
      <c r="A23" s="48">
        <v>11</v>
      </c>
      <c r="B23" s="49" t="s">
        <v>94</v>
      </c>
      <c r="C23" s="49" t="s">
        <v>95</v>
      </c>
      <c r="D23" s="48" t="s">
        <v>63</v>
      </c>
      <c r="E23" s="53">
        <f>(2.91+6.94-0.7*2)*2.34-0.37*1.2+(1.2+0.37)*2*0.1</f>
        <v>19.643</v>
      </c>
      <c r="F23" s="54">
        <v>55</v>
      </c>
      <c r="G23" s="87">
        <f t="shared" si="5"/>
        <v>113.3</v>
      </c>
      <c r="H23" s="54">
        <v>110</v>
      </c>
      <c r="I23" s="59">
        <v>0.03</v>
      </c>
      <c r="J23" s="53">
        <v>35</v>
      </c>
      <c r="K23" s="53">
        <f t="shared" si="4"/>
        <v>10.165</v>
      </c>
      <c r="L23" s="53">
        <f t="shared" si="6"/>
        <v>19.21185</v>
      </c>
      <c r="M23" s="97">
        <f t="shared" si="7"/>
        <v>232.67685</v>
      </c>
      <c r="N23" s="53">
        <f t="shared" si="8"/>
        <v>4570.47136455</v>
      </c>
      <c r="O23" s="98"/>
    </row>
    <row r="24" customFormat="1" ht="36" customHeight="1" spans="1:15">
      <c r="A24" s="48">
        <v>12</v>
      </c>
      <c r="B24" s="49" t="s">
        <v>96</v>
      </c>
      <c r="C24" s="49" t="s">
        <v>97</v>
      </c>
      <c r="D24" s="48" t="s">
        <v>63</v>
      </c>
      <c r="E24" s="53">
        <f>0.7*2.34</f>
        <v>1.638</v>
      </c>
      <c r="F24" s="54">
        <v>110</v>
      </c>
      <c r="G24" s="87">
        <f t="shared" si="5"/>
        <v>606</v>
      </c>
      <c r="H24" s="54">
        <v>600</v>
      </c>
      <c r="I24" s="59">
        <v>0.01</v>
      </c>
      <c r="J24" s="53">
        <v>25</v>
      </c>
      <c r="K24" s="53">
        <f t="shared" si="4"/>
        <v>37.05</v>
      </c>
      <c r="L24" s="53">
        <f t="shared" si="6"/>
        <v>70.0245</v>
      </c>
      <c r="M24" s="97">
        <f t="shared" si="7"/>
        <v>848.0745</v>
      </c>
      <c r="N24" s="53">
        <f t="shared" si="8"/>
        <v>1389.146031</v>
      </c>
      <c r="O24" s="98"/>
    </row>
    <row r="25" s="4" customFormat="1" ht="45" spans="1:15">
      <c r="A25" s="48">
        <v>13</v>
      </c>
      <c r="B25" s="49" t="s">
        <v>98</v>
      </c>
      <c r="C25" s="49" t="s">
        <v>99</v>
      </c>
      <c r="D25" s="48" t="s">
        <v>100</v>
      </c>
      <c r="E25" s="53">
        <v>1</v>
      </c>
      <c r="F25" s="54">
        <v>350</v>
      </c>
      <c r="G25" s="87">
        <f t="shared" si="5"/>
        <v>1200</v>
      </c>
      <c r="H25" s="54">
        <v>1200</v>
      </c>
      <c r="I25" s="59">
        <v>0</v>
      </c>
      <c r="J25" s="53">
        <v>25</v>
      </c>
      <c r="K25" s="53">
        <f t="shared" si="4"/>
        <v>78.75</v>
      </c>
      <c r="L25" s="53">
        <f t="shared" si="6"/>
        <v>148.8375</v>
      </c>
      <c r="M25" s="97">
        <f t="shared" si="7"/>
        <v>1802.5875</v>
      </c>
      <c r="N25" s="53">
        <f t="shared" si="8"/>
        <v>1802.5875</v>
      </c>
      <c r="O25" s="98"/>
    </row>
    <row r="26" s="4" customFormat="1" ht="40" customHeight="1" spans="1:15">
      <c r="A26" s="48">
        <v>14</v>
      </c>
      <c r="B26" s="49" t="s">
        <v>101</v>
      </c>
      <c r="C26" s="49" t="s">
        <v>102</v>
      </c>
      <c r="D26" s="48" t="s">
        <v>63</v>
      </c>
      <c r="E26" s="53">
        <f>2.32*2.31</f>
        <v>5.3592</v>
      </c>
      <c r="F26" s="54">
        <v>110</v>
      </c>
      <c r="G26" s="87">
        <f t="shared" si="5"/>
        <v>555.5</v>
      </c>
      <c r="H26" s="54">
        <v>550</v>
      </c>
      <c r="I26" s="59">
        <v>0.01</v>
      </c>
      <c r="J26" s="53">
        <v>25</v>
      </c>
      <c r="K26" s="53">
        <f t="shared" si="4"/>
        <v>34.525</v>
      </c>
      <c r="L26" s="53">
        <f t="shared" si="6"/>
        <v>65.25225</v>
      </c>
      <c r="M26" s="97">
        <f t="shared" si="7"/>
        <v>790.27725</v>
      </c>
      <c r="N26" s="53">
        <f t="shared" si="8"/>
        <v>4235.2538382</v>
      </c>
      <c r="O26" s="98"/>
    </row>
    <row r="27" s="4" customFormat="1" ht="53" customHeight="1" spans="1:15">
      <c r="A27" s="48">
        <v>15</v>
      </c>
      <c r="B27" s="49" t="s">
        <v>103</v>
      </c>
      <c r="C27" s="49" t="s">
        <v>104</v>
      </c>
      <c r="D27" s="48" t="s">
        <v>80</v>
      </c>
      <c r="E27" s="53">
        <f>2.31+2.32+2.32</f>
        <v>6.95</v>
      </c>
      <c r="F27" s="54">
        <v>55</v>
      </c>
      <c r="G27" s="87">
        <f t="shared" si="5"/>
        <v>77.25</v>
      </c>
      <c r="H27" s="54">
        <v>75</v>
      </c>
      <c r="I27" s="59">
        <v>0.03</v>
      </c>
      <c r="J27" s="53">
        <v>15</v>
      </c>
      <c r="K27" s="53">
        <f t="shared" si="4"/>
        <v>7.3625</v>
      </c>
      <c r="L27" s="53">
        <f t="shared" si="6"/>
        <v>13.915125</v>
      </c>
      <c r="M27" s="97">
        <f t="shared" si="7"/>
        <v>168.527625</v>
      </c>
      <c r="N27" s="53">
        <f t="shared" ref="N27:N37" si="9">M27*E27</f>
        <v>1171.26699375</v>
      </c>
      <c r="O27" s="98"/>
    </row>
    <row r="28" s="4" customFormat="1" ht="53" customHeight="1" spans="1:15">
      <c r="A28" s="48">
        <v>16</v>
      </c>
      <c r="B28" s="49" t="s">
        <v>105</v>
      </c>
      <c r="C28" s="49" t="s">
        <v>106</v>
      </c>
      <c r="D28" s="48" t="s">
        <v>63</v>
      </c>
      <c r="E28" s="53">
        <f>1.52*2.32</f>
        <v>3.5264</v>
      </c>
      <c r="F28" s="54">
        <v>110</v>
      </c>
      <c r="G28" s="87">
        <f t="shared" ref="G27:G37" si="10">H28*(1+I28)</f>
        <v>505</v>
      </c>
      <c r="H28" s="54">
        <v>500</v>
      </c>
      <c r="I28" s="59">
        <v>0.01</v>
      </c>
      <c r="J28" s="53">
        <v>25</v>
      </c>
      <c r="K28" s="53">
        <f t="shared" si="4"/>
        <v>32</v>
      </c>
      <c r="L28" s="53">
        <f t="shared" ref="L27:L37" si="11">(K28+J28+G28+F28)*0.09</f>
        <v>60.48</v>
      </c>
      <c r="M28" s="97">
        <f t="shared" ref="M27:M37" si="12">L28+K28+J28+G28+F28</f>
        <v>732.48</v>
      </c>
      <c r="N28" s="53">
        <f t="shared" si="9"/>
        <v>2583.017472</v>
      </c>
      <c r="O28" s="98"/>
    </row>
    <row r="29" s="4" customFormat="1" ht="43" customHeight="1" spans="1:15">
      <c r="A29" s="48">
        <v>17</v>
      </c>
      <c r="B29" s="88" t="s">
        <v>107</v>
      </c>
      <c r="C29" s="89" t="s">
        <v>108</v>
      </c>
      <c r="D29" s="90" t="s">
        <v>80</v>
      </c>
      <c r="E29" s="91">
        <f>0.94+3.64+0.17+0.23+0.4+(4.47+2.77)</f>
        <v>12.62</v>
      </c>
      <c r="F29" s="54">
        <v>35</v>
      </c>
      <c r="G29" s="87">
        <f t="shared" si="10"/>
        <v>46.35</v>
      </c>
      <c r="H29" s="54">
        <v>45</v>
      </c>
      <c r="I29" s="59">
        <v>0.03</v>
      </c>
      <c r="J29" s="53">
        <v>10</v>
      </c>
      <c r="K29" s="53">
        <f t="shared" si="4"/>
        <v>4.5675</v>
      </c>
      <c r="L29" s="53">
        <f t="shared" si="11"/>
        <v>8.632575</v>
      </c>
      <c r="M29" s="97">
        <f t="shared" si="12"/>
        <v>104.550075</v>
      </c>
      <c r="N29" s="53">
        <f t="shared" si="9"/>
        <v>1319.4219465</v>
      </c>
      <c r="O29" s="98"/>
    </row>
    <row r="30" s="4" customFormat="1" ht="53" customHeight="1" spans="1:15">
      <c r="A30" s="48">
        <v>18</v>
      </c>
      <c r="B30" s="49" t="s">
        <v>109</v>
      </c>
      <c r="C30" s="49" t="s">
        <v>110</v>
      </c>
      <c r="D30" s="48" t="s">
        <v>63</v>
      </c>
      <c r="E30" s="53">
        <f>0.8*2.32</f>
        <v>1.856</v>
      </c>
      <c r="F30" s="54">
        <v>195</v>
      </c>
      <c r="G30" s="87">
        <f t="shared" si="10"/>
        <v>566.5</v>
      </c>
      <c r="H30" s="54">
        <v>550</v>
      </c>
      <c r="I30" s="59">
        <v>0.03</v>
      </c>
      <c r="J30" s="53">
        <v>45</v>
      </c>
      <c r="K30" s="53">
        <f t="shared" si="4"/>
        <v>40.325</v>
      </c>
      <c r="L30" s="53">
        <f t="shared" si="11"/>
        <v>76.21425</v>
      </c>
      <c r="M30" s="97">
        <f t="shared" si="12"/>
        <v>923.03925</v>
      </c>
      <c r="N30" s="53">
        <f t="shared" si="9"/>
        <v>1713.160848</v>
      </c>
      <c r="O30" s="98"/>
    </row>
    <row r="31" s="4" customFormat="1" ht="35" customHeight="1" spans="1:15">
      <c r="A31" s="48">
        <v>19</v>
      </c>
      <c r="B31" s="49" t="s">
        <v>111</v>
      </c>
      <c r="C31" s="49" t="s">
        <v>112</v>
      </c>
      <c r="D31" s="48" t="s">
        <v>63</v>
      </c>
      <c r="E31" s="53">
        <f>0.77*2.32</f>
        <v>1.7864</v>
      </c>
      <c r="F31" s="54">
        <v>150</v>
      </c>
      <c r="G31" s="87">
        <f t="shared" si="10"/>
        <v>714</v>
      </c>
      <c r="H31" s="54">
        <v>700</v>
      </c>
      <c r="I31" s="59">
        <v>0.02</v>
      </c>
      <c r="J31" s="53">
        <v>55</v>
      </c>
      <c r="K31" s="53">
        <f t="shared" si="4"/>
        <v>45.95</v>
      </c>
      <c r="L31" s="53">
        <f t="shared" si="11"/>
        <v>86.8455</v>
      </c>
      <c r="M31" s="97">
        <f t="shared" si="12"/>
        <v>1051.7955</v>
      </c>
      <c r="N31" s="53">
        <f t="shared" si="9"/>
        <v>1878.9274812</v>
      </c>
      <c r="O31" s="98"/>
    </row>
    <row r="32" s="4" customFormat="1" ht="32" customHeight="1" spans="1:15">
      <c r="A32" s="48">
        <v>20</v>
      </c>
      <c r="B32" s="49" t="s">
        <v>113</v>
      </c>
      <c r="C32" s="49" t="s">
        <v>114</v>
      </c>
      <c r="D32" s="48" t="s">
        <v>63</v>
      </c>
      <c r="E32" s="53">
        <f>0.54+2.7*0.1+0.15*1.8</f>
        <v>1.08</v>
      </c>
      <c r="F32" s="54">
        <v>150</v>
      </c>
      <c r="G32" s="87">
        <f t="shared" si="10"/>
        <v>577.5</v>
      </c>
      <c r="H32" s="54">
        <v>550</v>
      </c>
      <c r="I32" s="59">
        <v>0.05</v>
      </c>
      <c r="J32" s="53">
        <v>25</v>
      </c>
      <c r="K32" s="53">
        <f t="shared" si="4"/>
        <v>37.625</v>
      </c>
      <c r="L32" s="53">
        <f t="shared" si="11"/>
        <v>71.11125</v>
      </c>
      <c r="M32" s="97">
        <f t="shared" si="12"/>
        <v>861.23625</v>
      </c>
      <c r="N32" s="53">
        <f t="shared" si="9"/>
        <v>930.13515</v>
      </c>
      <c r="O32" s="98"/>
    </row>
    <row r="33" s="4" customFormat="1" ht="42" customHeight="1" spans="1:15">
      <c r="A33" s="48">
        <v>21</v>
      </c>
      <c r="B33" s="49" t="s">
        <v>115</v>
      </c>
      <c r="C33" s="49" t="s">
        <v>116</v>
      </c>
      <c r="D33" s="48" t="s">
        <v>63</v>
      </c>
      <c r="E33" s="53">
        <f>(1.16+2.485)*0.06</f>
        <v>0.2187</v>
      </c>
      <c r="F33" s="54">
        <v>160</v>
      </c>
      <c r="G33" s="87">
        <f t="shared" si="10"/>
        <v>816</v>
      </c>
      <c r="H33" s="54">
        <v>800</v>
      </c>
      <c r="I33" s="59">
        <v>0.02</v>
      </c>
      <c r="J33" s="53">
        <v>55</v>
      </c>
      <c r="K33" s="53">
        <f t="shared" si="4"/>
        <v>51.55</v>
      </c>
      <c r="L33" s="53">
        <f t="shared" si="11"/>
        <v>97.4295</v>
      </c>
      <c r="M33" s="97">
        <f t="shared" si="12"/>
        <v>1179.9795</v>
      </c>
      <c r="N33" s="53">
        <f t="shared" si="9"/>
        <v>258.06151665</v>
      </c>
      <c r="O33" s="98"/>
    </row>
    <row r="34" s="4" customFormat="1" ht="30" customHeight="1" spans="1:15">
      <c r="A34" s="48">
        <v>22</v>
      </c>
      <c r="B34" s="49" t="s">
        <v>117</v>
      </c>
      <c r="C34" s="49" t="s">
        <v>118</v>
      </c>
      <c r="D34" s="48" t="s">
        <v>63</v>
      </c>
      <c r="E34" s="53">
        <v>3.37</v>
      </c>
      <c r="F34" s="54">
        <v>155</v>
      </c>
      <c r="G34" s="87">
        <f t="shared" si="10"/>
        <v>663</v>
      </c>
      <c r="H34" s="54">
        <v>650</v>
      </c>
      <c r="I34" s="59">
        <v>0.02</v>
      </c>
      <c r="J34" s="53">
        <v>30</v>
      </c>
      <c r="K34" s="53">
        <f t="shared" si="4"/>
        <v>42.4</v>
      </c>
      <c r="L34" s="53">
        <f t="shared" si="11"/>
        <v>80.136</v>
      </c>
      <c r="M34" s="97">
        <f t="shared" si="12"/>
        <v>970.536</v>
      </c>
      <c r="N34" s="53">
        <f t="shared" si="9"/>
        <v>3270.70632</v>
      </c>
      <c r="O34" s="98"/>
    </row>
    <row r="35" s="4" customFormat="1" ht="30" customHeight="1" spans="1:15">
      <c r="A35" s="48">
        <v>23</v>
      </c>
      <c r="B35" s="49" t="s">
        <v>92</v>
      </c>
      <c r="C35" s="49" t="s">
        <v>119</v>
      </c>
      <c r="D35" s="48" t="s">
        <v>63</v>
      </c>
      <c r="E35" s="53">
        <f>3.44+1.322</f>
        <v>4.762</v>
      </c>
      <c r="F35" s="54">
        <v>195</v>
      </c>
      <c r="G35" s="87">
        <f t="shared" si="10"/>
        <v>566.5</v>
      </c>
      <c r="H35" s="54">
        <v>550</v>
      </c>
      <c r="I35" s="59">
        <v>0.03</v>
      </c>
      <c r="J35" s="53">
        <v>45</v>
      </c>
      <c r="K35" s="53">
        <f t="shared" si="4"/>
        <v>40.325</v>
      </c>
      <c r="L35" s="53">
        <f t="shared" si="11"/>
        <v>76.21425</v>
      </c>
      <c r="M35" s="97">
        <f t="shared" si="12"/>
        <v>923.03925</v>
      </c>
      <c r="N35" s="53">
        <f t="shared" si="9"/>
        <v>4395.5129085</v>
      </c>
      <c r="O35" s="98"/>
    </row>
    <row r="36" s="4" customFormat="1" ht="28" customHeight="1" spans="1:15">
      <c r="A36" s="48">
        <v>24</v>
      </c>
      <c r="B36" s="49" t="s">
        <v>120</v>
      </c>
      <c r="C36" s="49" t="s">
        <v>121</v>
      </c>
      <c r="D36" s="48" t="s">
        <v>100</v>
      </c>
      <c r="E36" s="53">
        <v>2</v>
      </c>
      <c r="F36" s="54">
        <v>100</v>
      </c>
      <c r="G36" s="87">
        <v>500</v>
      </c>
      <c r="H36" s="54">
        <v>600</v>
      </c>
      <c r="I36" s="59">
        <v>0</v>
      </c>
      <c r="J36" s="53">
        <v>5</v>
      </c>
      <c r="K36" s="53">
        <f t="shared" si="4"/>
        <v>30.25</v>
      </c>
      <c r="L36" s="53">
        <f t="shared" si="11"/>
        <v>57.1725</v>
      </c>
      <c r="M36" s="97">
        <f t="shared" si="12"/>
        <v>692.4225</v>
      </c>
      <c r="N36" s="53">
        <f t="shared" si="9"/>
        <v>1384.845</v>
      </c>
      <c r="O36" s="98"/>
    </row>
    <row r="37" s="4" customFormat="1" ht="37" customHeight="1" spans="1:15">
      <c r="A37" s="48">
        <v>25</v>
      </c>
      <c r="B37" s="49" t="s">
        <v>122</v>
      </c>
      <c r="C37" s="49" t="s">
        <v>123</v>
      </c>
      <c r="D37" s="48" t="s">
        <v>124</v>
      </c>
      <c r="E37" s="53">
        <v>1</v>
      </c>
      <c r="F37" s="54">
        <v>200</v>
      </c>
      <c r="G37" s="87">
        <f t="shared" si="10"/>
        <v>1500</v>
      </c>
      <c r="H37" s="54">
        <v>1500</v>
      </c>
      <c r="I37" s="59">
        <v>0</v>
      </c>
      <c r="J37" s="53">
        <v>10</v>
      </c>
      <c r="K37" s="53">
        <f t="shared" si="4"/>
        <v>85.5</v>
      </c>
      <c r="L37" s="53">
        <f t="shared" si="11"/>
        <v>161.595</v>
      </c>
      <c r="M37" s="97">
        <f t="shared" si="12"/>
        <v>1957.095</v>
      </c>
      <c r="N37" s="53">
        <f t="shared" si="9"/>
        <v>1957.095</v>
      </c>
      <c r="O37" s="98"/>
    </row>
    <row r="38" s="4" customFormat="1" ht="36" customHeight="1" spans="1:15">
      <c r="A38" s="48">
        <v>26</v>
      </c>
      <c r="B38" s="49" t="s">
        <v>125</v>
      </c>
      <c r="C38" s="49" t="s">
        <v>126</v>
      </c>
      <c r="D38" s="48" t="s">
        <v>63</v>
      </c>
      <c r="E38" s="53">
        <v>3.75</v>
      </c>
      <c r="F38" s="54">
        <v>155</v>
      </c>
      <c r="G38" s="87">
        <f t="shared" ref="G38:G50" si="13">H38*(1+I38)</f>
        <v>489.6</v>
      </c>
      <c r="H38" s="54">
        <v>480</v>
      </c>
      <c r="I38" s="59">
        <v>0.02</v>
      </c>
      <c r="J38" s="53">
        <v>30</v>
      </c>
      <c r="K38" s="53">
        <f t="shared" si="4"/>
        <v>33.73</v>
      </c>
      <c r="L38" s="53">
        <f t="shared" ref="L38:L50" si="14">(K38+J38+G38+F38)*0.09</f>
        <v>63.7497</v>
      </c>
      <c r="M38" s="97">
        <f t="shared" ref="M38:M50" si="15">L38+K38+J38+G38+F38</f>
        <v>772.0797</v>
      </c>
      <c r="N38" s="53">
        <f t="shared" ref="N38:N50" si="16">M38*E38</f>
        <v>2895.298875</v>
      </c>
      <c r="O38" s="98"/>
    </row>
    <row r="39" s="4" customFormat="1" ht="40" customHeight="1" spans="1:15">
      <c r="A39" s="48">
        <v>27</v>
      </c>
      <c r="B39" s="49" t="s">
        <v>125</v>
      </c>
      <c r="C39" s="49" t="s">
        <v>127</v>
      </c>
      <c r="D39" s="48" t="s">
        <v>63</v>
      </c>
      <c r="E39" s="53">
        <v>3.36</v>
      </c>
      <c r="F39" s="54">
        <v>155</v>
      </c>
      <c r="G39" s="87">
        <f t="shared" si="13"/>
        <v>489.6</v>
      </c>
      <c r="H39" s="54">
        <v>480</v>
      </c>
      <c r="I39" s="59">
        <v>0.02</v>
      </c>
      <c r="J39" s="53">
        <v>30</v>
      </c>
      <c r="K39" s="53">
        <f t="shared" si="4"/>
        <v>33.73</v>
      </c>
      <c r="L39" s="53">
        <f t="shared" si="14"/>
        <v>63.7497</v>
      </c>
      <c r="M39" s="97">
        <f t="shared" si="15"/>
        <v>772.0797</v>
      </c>
      <c r="N39" s="53">
        <f t="shared" si="16"/>
        <v>2594.187792</v>
      </c>
      <c r="O39" s="98"/>
    </row>
    <row r="40" s="4" customFormat="1" ht="40" customHeight="1" spans="1:15">
      <c r="A40" s="48">
        <v>28</v>
      </c>
      <c r="B40" s="49" t="s">
        <v>128</v>
      </c>
      <c r="C40" s="49" t="s">
        <v>129</v>
      </c>
      <c r="D40" s="48" t="s">
        <v>80</v>
      </c>
      <c r="E40" s="53">
        <f>2.32+4+3.07*2</f>
        <v>12.46</v>
      </c>
      <c r="F40" s="54">
        <v>115</v>
      </c>
      <c r="G40" s="87">
        <f t="shared" si="13"/>
        <v>102</v>
      </c>
      <c r="H40" s="54">
        <v>100</v>
      </c>
      <c r="I40" s="59">
        <v>0.02</v>
      </c>
      <c r="J40" s="53">
        <v>10</v>
      </c>
      <c r="K40" s="53">
        <f t="shared" si="4"/>
        <v>11.35</v>
      </c>
      <c r="L40" s="53">
        <f t="shared" si="14"/>
        <v>21.4515</v>
      </c>
      <c r="M40" s="97">
        <f t="shared" si="15"/>
        <v>259.8015</v>
      </c>
      <c r="N40" s="53">
        <f t="shared" si="16"/>
        <v>3237.12669</v>
      </c>
      <c r="O40" s="98"/>
    </row>
    <row r="41" s="4" customFormat="1" ht="40" customHeight="1" spans="1:15">
      <c r="A41" s="48">
        <v>29</v>
      </c>
      <c r="B41" s="49" t="s">
        <v>130</v>
      </c>
      <c r="C41" s="49" t="s">
        <v>131</v>
      </c>
      <c r="D41" s="48" t="s">
        <v>100</v>
      </c>
      <c r="E41" s="53">
        <v>2</v>
      </c>
      <c r="F41" s="54">
        <v>100</v>
      </c>
      <c r="G41" s="87">
        <v>500</v>
      </c>
      <c r="H41" s="54">
        <v>600</v>
      </c>
      <c r="I41" s="59">
        <v>0</v>
      </c>
      <c r="J41" s="53">
        <v>5</v>
      </c>
      <c r="K41" s="53">
        <f t="shared" si="4"/>
        <v>30.25</v>
      </c>
      <c r="L41" s="53">
        <f t="shared" si="14"/>
        <v>57.1725</v>
      </c>
      <c r="M41" s="97">
        <f t="shared" si="15"/>
        <v>692.4225</v>
      </c>
      <c r="N41" s="53">
        <f t="shared" si="16"/>
        <v>1384.845</v>
      </c>
      <c r="O41" s="98"/>
    </row>
    <row r="42" s="4" customFormat="1" ht="63" customHeight="1" spans="1:15">
      <c r="A42" s="48" t="s">
        <v>35</v>
      </c>
      <c r="B42" s="49" t="s">
        <v>132</v>
      </c>
      <c r="C42" s="49" t="s">
        <v>133</v>
      </c>
      <c r="D42" s="48" t="s">
        <v>63</v>
      </c>
      <c r="E42" s="53">
        <f>20.23+12.9+5.06+6.94+25.56</f>
        <v>70.69</v>
      </c>
      <c r="F42" s="54">
        <v>110</v>
      </c>
      <c r="G42" s="87">
        <f t="shared" si="13"/>
        <v>102</v>
      </c>
      <c r="H42" s="54">
        <v>100</v>
      </c>
      <c r="I42" s="59">
        <v>0.02</v>
      </c>
      <c r="J42" s="53">
        <v>15</v>
      </c>
      <c r="K42" s="53">
        <f t="shared" si="4"/>
        <v>11.35</v>
      </c>
      <c r="L42" s="53">
        <f t="shared" si="14"/>
        <v>21.4515</v>
      </c>
      <c r="M42" s="97">
        <f t="shared" si="15"/>
        <v>259.8015</v>
      </c>
      <c r="N42" s="53">
        <f t="shared" si="16"/>
        <v>18365.368035</v>
      </c>
      <c r="O42" s="98"/>
    </row>
    <row r="43" s="4" customFormat="1" ht="54" customHeight="1" spans="1:15">
      <c r="A43" s="48"/>
      <c r="B43" s="49" t="s">
        <v>134</v>
      </c>
      <c r="C43" s="92" t="s">
        <v>135</v>
      </c>
      <c r="D43" s="48" t="s">
        <v>63</v>
      </c>
      <c r="E43" s="53">
        <f>35.82-12.83</f>
        <v>22.99</v>
      </c>
      <c r="F43" s="54">
        <v>110</v>
      </c>
      <c r="G43" s="87">
        <f t="shared" si="13"/>
        <v>102</v>
      </c>
      <c r="H43" s="54">
        <v>100</v>
      </c>
      <c r="I43" s="59">
        <v>0.02</v>
      </c>
      <c r="J43" s="53">
        <v>15</v>
      </c>
      <c r="K43" s="53">
        <f t="shared" si="4"/>
        <v>11.35</v>
      </c>
      <c r="L43" s="53">
        <f t="shared" si="14"/>
        <v>21.4515</v>
      </c>
      <c r="M43" s="97">
        <f t="shared" si="15"/>
        <v>259.8015</v>
      </c>
      <c r="N43" s="53">
        <f t="shared" si="16"/>
        <v>5972.836485</v>
      </c>
      <c r="O43" s="98"/>
    </row>
    <row r="44" s="4" customFormat="1" ht="39" customHeight="1" spans="1:15">
      <c r="A44" s="48"/>
      <c r="B44" s="49" t="s">
        <v>136</v>
      </c>
      <c r="C44" s="49" t="s">
        <v>137</v>
      </c>
      <c r="D44" s="48" t="s">
        <v>80</v>
      </c>
      <c r="E44" s="53">
        <f>2.85*3</f>
        <v>8.55</v>
      </c>
      <c r="F44" s="54">
        <v>120</v>
      </c>
      <c r="G44" s="87">
        <f t="shared" si="13"/>
        <v>408</v>
      </c>
      <c r="H44" s="54">
        <v>400</v>
      </c>
      <c r="I44" s="59">
        <v>0.02</v>
      </c>
      <c r="J44" s="53">
        <v>30</v>
      </c>
      <c r="K44" s="53">
        <f t="shared" si="4"/>
        <v>27.9</v>
      </c>
      <c r="L44" s="53">
        <f t="shared" si="14"/>
        <v>52.731</v>
      </c>
      <c r="M44" s="97">
        <f t="shared" si="15"/>
        <v>638.631</v>
      </c>
      <c r="N44" s="53">
        <f t="shared" si="16"/>
        <v>5460.29505</v>
      </c>
      <c r="O44" s="98"/>
    </row>
    <row r="45" s="4" customFormat="1" ht="60" customHeight="1" spans="1:15">
      <c r="A45" s="48"/>
      <c r="B45" s="49" t="s">
        <v>138</v>
      </c>
      <c r="C45" s="92" t="s">
        <v>135</v>
      </c>
      <c r="D45" s="48" t="s">
        <v>63</v>
      </c>
      <c r="E45" s="53">
        <v>2.39</v>
      </c>
      <c r="F45" s="54">
        <v>125</v>
      </c>
      <c r="G45" s="87">
        <f t="shared" si="13"/>
        <v>102</v>
      </c>
      <c r="H45" s="54">
        <v>100</v>
      </c>
      <c r="I45" s="59">
        <v>0.02</v>
      </c>
      <c r="J45" s="53">
        <v>15</v>
      </c>
      <c r="K45" s="53">
        <f t="shared" si="4"/>
        <v>12.1</v>
      </c>
      <c r="L45" s="53">
        <f t="shared" si="14"/>
        <v>22.869</v>
      </c>
      <c r="M45" s="97">
        <f t="shared" si="15"/>
        <v>276.969</v>
      </c>
      <c r="N45" s="53">
        <f t="shared" si="16"/>
        <v>661.95591</v>
      </c>
      <c r="O45" s="98"/>
    </row>
    <row r="46" s="4" customFormat="1" ht="51" customHeight="1" spans="1:15">
      <c r="A46" s="48" t="s">
        <v>139</v>
      </c>
      <c r="B46" s="49" t="s">
        <v>140</v>
      </c>
      <c r="C46" s="49" t="s">
        <v>141</v>
      </c>
      <c r="D46" s="48" t="s">
        <v>63</v>
      </c>
      <c r="E46" s="53">
        <v>42.52</v>
      </c>
      <c r="F46" s="54">
        <v>550</v>
      </c>
      <c r="G46" s="87">
        <f>H46*(1+I46)</f>
        <v>814.6167</v>
      </c>
      <c r="H46" s="55">
        <v>790.89</v>
      </c>
      <c r="I46" s="59">
        <v>0.03</v>
      </c>
      <c r="J46" s="53">
        <v>15</v>
      </c>
      <c r="K46" s="53">
        <f t="shared" si="4"/>
        <v>68.980835</v>
      </c>
      <c r="L46" s="53">
        <f t="shared" si="14"/>
        <v>130.37377815</v>
      </c>
      <c r="M46" s="97">
        <f t="shared" si="15"/>
        <v>1578.97131315</v>
      </c>
      <c r="N46" s="53">
        <f t="shared" si="16"/>
        <v>67137.860235138</v>
      </c>
      <c r="O46" s="98"/>
    </row>
    <row r="47" s="4" customFormat="1" ht="30" customHeight="1" spans="1:15">
      <c r="A47" s="48"/>
      <c r="B47" s="49" t="s">
        <v>142</v>
      </c>
      <c r="C47" s="49" t="s">
        <v>143</v>
      </c>
      <c r="D47" s="48" t="s">
        <v>63</v>
      </c>
      <c r="E47" s="53">
        <f>1.7*3.05+1.65*3.05</f>
        <v>10.2175</v>
      </c>
      <c r="F47" s="54">
        <v>195</v>
      </c>
      <c r="G47" s="87">
        <f t="shared" si="13"/>
        <v>412</v>
      </c>
      <c r="H47" s="54">
        <v>400</v>
      </c>
      <c r="I47" s="59">
        <v>0.03</v>
      </c>
      <c r="J47" s="53">
        <v>55</v>
      </c>
      <c r="K47" s="53">
        <f t="shared" si="4"/>
        <v>33.1</v>
      </c>
      <c r="L47" s="53">
        <f t="shared" si="14"/>
        <v>62.559</v>
      </c>
      <c r="M47" s="97">
        <f t="shared" si="15"/>
        <v>757.659</v>
      </c>
      <c r="N47" s="53">
        <f t="shared" si="16"/>
        <v>7741.3808325</v>
      </c>
      <c r="O47" s="98"/>
    </row>
    <row r="48" s="4" customFormat="1" ht="30" customHeight="1" spans="1:15">
      <c r="A48" s="48"/>
      <c r="B48" s="49" t="s">
        <v>144</v>
      </c>
      <c r="C48" s="49" t="s">
        <v>145</v>
      </c>
      <c r="D48" s="48" t="s">
        <v>63</v>
      </c>
      <c r="E48" s="53">
        <f>2.85*0.25</f>
        <v>0.7125</v>
      </c>
      <c r="F48" s="54">
        <v>180</v>
      </c>
      <c r="G48" s="87">
        <f t="shared" si="13"/>
        <v>561</v>
      </c>
      <c r="H48" s="54">
        <v>550</v>
      </c>
      <c r="I48" s="59">
        <v>0.02</v>
      </c>
      <c r="J48" s="53">
        <v>30</v>
      </c>
      <c r="K48" s="53">
        <f t="shared" si="4"/>
        <v>38.55</v>
      </c>
      <c r="L48" s="53">
        <f t="shared" si="14"/>
        <v>72.8595</v>
      </c>
      <c r="M48" s="97">
        <f t="shared" si="15"/>
        <v>882.4095</v>
      </c>
      <c r="N48" s="53">
        <f t="shared" si="16"/>
        <v>628.71676875</v>
      </c>
      <c r="O48" s="98"/>
    </row>
    <row r="49" s="4" customFormat="1" ht="49" customHeight="1" spans="1:15">
      <c r="A49" s="48"/>
      <c r="B49" s="49" t="s">
        <v>146</v>
      </c>
      <c r="C49" s="49" t="s">
        <v>147</v>
      </c>
      <c r="D49" s="48" t="s">
        <v>63</v>
      </c>
      <c r="E49" s="53">
        <f>2.8*3.049</f>
        <v>8.5372</v>
      </c>
      <c r="F49" s="54">
        <v>160</v>
      </c>
      <c r="G49" s="87">
        <f t="shared" si="13"/>
        <v>515</v>
      </c>
      <c r="H49" s="54">
        <v>500</v>
      </c>
      <c r="I49" s="59">
        <v>0.03</v>
      </c>
      <c r="J49" s="53">
        <v>25</v>
      </c>
      <c r="K49" s="53">
        <f t="shared" si="4"/>
        <v>35</v>
      </c>
      <c r="L49" s="53">
        <f t="shared" si="14"/>
        <v>66.15</v>
      </c>
      <c r="M49" s="97">
        <f t="shared" si="15"/>
        <v>801.15</v>
      </c>
      <c r="N49" s="53">
        <f t="shared" si="16"/>
        <v>6839.57778</v>
      </c>
      <c r="O49" s="98"/>
    </row>
    <row r="50" s="4" customFormat="1" ht="30" customHeight="1" spans="1:15">
      <c r="A50" s="48"/>
      <c r="B50" s="49" t="s">
        <v>148</v>
      </c>
      <c r="C50" s="49" t="s">
        <v>97</v>
      </c>
      <c r="D50" s="48" t="s">
        <v>124</v>
      </c>
      <c r="E50" s="53">
        <v>1</v>
      </c>
      <c r="F50" s="54">
        <v>200</v>
      </c>
      <c r="G50" s="87">
        <f t="shared" si="13"/>
        <v>1200</v>
      </c>
      <c r="H50" s="54">
        <v>1200</v>
      </c>
      <c r="I50" s="59">
        <v>0</v>
      </c>
      <c r="J50" s="53">
        <v>15</v>
      </c>
      <c r="K50" s="53">
        <f t="shared" si="4"/>
        <v>70.75</v>
      </c>
      <c r="L50" s="53">
        <f t="shared" si="14"/>
        <v>133.7175</v>
      </c>
      <c r="M50" s="97">
        <f t="shared" si="15"/>
        <v>1619.4675</v>
      </c>
      <c r="N50" s="53">
        <f t="shared" si="16"/>
        <v>1619.4675</v>
      </c>
      <c r="O50" s="98"/>
    </row>
    <row r="51" s="4" customFormat="1" ht="75" customHeight="1" spans="1:15">
      <c r="A51" s="48"/>
      <c r="B51" s="49" t="s">
        <v>149</v>
      </c>
      <c r="C51" s="49" t="s">
        <v>150</v>
      </c>
      <c r="D51" s="48" t="s">
        <v>63</v>
      </c>
      <c r="E51" s="53">
        <f>6.2*2.6-0.7*2.1-0.8*1.1+(0.8+1.1)*2*0.01</f>
        <v>13.808</v>
      </c>
      <c r="F51" s="54">
        <v>65</v>
      </c>
      <c r="G51" s="87">
        <f t="shared" ref="G51:G54" si="17">H51*(1+I51)</f>
        <v>113.3</v>
      </c>
      <c r="H51" s="54">
        <v>110</v>
      </c>
      <c r="I51" s="59">
        <v>0.03</v>
      </c>
      <c r="J51" s="53">
        <v>25</v>
      </c>
      <c r="K51" s="53">
        <f t="shared" si="4"/>
        <v>10.165</v>
      </c>
      <c r="L51" s="53">
        <f t="shared" ref="L51:L54" si="18">(K51+J51+G51+F51)*0.09</f>
        <v>19.21185</v>
      </c>
      <c r="M51" s="97">
        <f t="shared" ref="M51:M54" si="19">L51+K51+J51+G51+F51</f>
        <v>232.67685</v>
      </c>
      <c r="N51" s="53">
        <f t="shared" ref="N51:N54" si="20">M51*E51</f>
        <v>3212.8019448</v>
      </c>
      <c r="O51" s="98" t="s">
        <v>151</v>
      </c>
    </row>
    <row r="52" s="4" customFormat="1" ht="44" customHeight="1" spans="1:15">
      <c r="A52" s="48"/>
      <c r="B52" s="49" t="s">
        <v>152</v>
      </c>
      <c r="C52" s="49" t="s">
        <v>153</v>
      </c>
      <c r="D52" s="48" t="s">
        <v>80</v>
      </c>
      <c r="E52" s="53">
        <v>1.66</v>
      </c>
      <c r="F52" s="54">
        <v>180</v>
      </c>
      <c r="G52" s="87">
        <f t="shared" si="17"/>
        <v>295.8</v>
      </c>
      <c r="H52" s="54">
        <v>290</v>
      </c>
      <c r="I52" s="59">
        <v>0.02</v>
      </c>
      <c r="J52" s="53">
        <v>30</v>
      </c>
      <c r="K52" s="53">
        <f t="shared" si="4"/>
        <v>25.29</v>
      </c>
      <c r="L52" s="53">
        <f t="shared" si="18"/>
        <v>47.7981</v>
      </c>
      <c r="M52" s="97">
        <f t="shared" si="19"/>
        <v>578.8881</v>
      </c>
      <c r="N52" s="53">
        <f t="shared" si="20"/>
        <v>960.954246</v>
      </c>
      <c r="O52" s="98"/>
    </row>
    <row r="53" s="4" customFormat="1" ht="43" customHeight="1" spans="1:15">
      <c r="A53" s="48"/>
      <c r="B53" s="49" t="s">
        <v>154</v>
      </c>
      <c r="C53" s="49" t="s">
        <v>155</v>
      </c>
      <c r="D53" s="48" t="s">
        <v>80</v>
      </c>
      <c r="E53" s="53">
        <v>0.624</v>
      </c>
      <c r="F53" s="54">
        <v>180</v>
      </c>
      <c r="G53" s="87">
        <f t="shared" si="17"/>
        <v>295.8</v>
      </c>
      <c r="H53" s="54">
        <v>290</v>
      </c>
      <c r="I53" s="59">
        <v>0.02</v>
      </c>
      <c r="J53" s="53">
        <v>30</v>
      </c>
      <c r="K53" s="53">
        <f t="shared" si="4"/>
        <v>25.29</v>
      </c>
      <c r="L53" s="53">
        <f t="shared" si="18"/>
        <v>47.7981</v>
      </c>
      <c r="M53" s="97">
        <f t="shared" si="19"/>
        <v>578.8881</v>
      </c>
      <c r="N53" s="53">
        <f t="shared" si="20"/>
        <v>361.2261744</v>
      </c>
      <c r="O53" s="98"/>
    </row>
    <row r="54" s="4" customFormat="1" ht="53" customHeight="1" spans="1:15">
      <c r="A54" s="48" t="s">
        <v>156</v>
      </c>
      <c r="B54" s="49" t="s">
        <v>157</v>
      </c>
      <c r="C54" s="49" t="s">
        <v>158</v>
      </c>
      <c r="D54" s="48" t="s">
        <v>80</v>
      </c>
      <c r="E54" s="53">
        <v>32.3</v>
      </c>
      <c r="F54" s="54">
        <v>210</v>
      </c>
      <c r="G54" s="87">
        <f t="shared" si="17"/>
        <v>316.2</v>
      </c>
      <c r="H54" s="54">
        <v>310</v>
      </c>
      <c r="I54" s="59">
        <v>0.02</v>
      </c>
      <c r="J54" s="53">
        <v>25</v>
      </c>
      <c r="K54" s="53">
        <f t="shared" si="4"/>
        <v>27.56</v>
      </c>
      <c r="L54" s="53">
        <f t="shared" si="18"/>
        <v>52.0884</v>
      </c>
      <c r="M54" s="97">
        <f t="shared" si="19"/>
        <v>630.8484</v>
      </c>
      <c r="N54" s="53">
        <f t="shared" si="20"/>
        <v>20376.40332</v>
      </c>
      <c r="O54" s="98"/>
    </row>
    <row r="55" s="4" customFormat="1" ht="30" customHeight="1" spans="1:15">
      <c r="A55" s="48"/>
      <c r="B55" s="49"/>
      <c r="C55" s="49"/>
      <c r="D55" s="48"/>
      <c r="E55" s="53"/>
      <c r="F55" s="54"/>
      <c r="G55" s="87"/>
      <c r="H55" s="54"/>
      <c r="I55" s="59"/>
      <c r="J55" s="53"/>
      <c r="K55" s="53"/>
      <c r="L55" s="53"/>
      <c r="M55" s="97"/>
      <c r="N55" s="53"/>
      <c r="O55" s="99"/>
    </row>
    <row r="56" s="4" customFormat="1" ht="30" customHeight="1" spans="1:15">
      <c r="A56" s="48"/>
      <c r="B56" s="49"/>
      <c r="C56" s="49"/>
      <c r="D56" s="48"/>
      <c r="E56" s="53"/>
      <c r="F56" s="54"/>
      <c r="G56" s="87"/>
      <c r="H56" s="54"/>
      <c r="I56" s="59"/>
      <c r="J56" s="53"/>
      <c r="K56" s="53"/>
      <c r="L56" s="53"/>
      <c r="M56" s="97"/>
      <c r="N56" s="53"/>
      <c r="O56" s="99"/>
    </row>
    <row r="57" s="4" customFormat="1" ht="30" customHeight="1" spans="1:15">
      <c r="A57" s="48"/>
      <c r="B57" s="49"/>
      <c r="C57" s="49"/>
      <c r="D57" s="48"/>
      <c r="E57" s="53"/>
      <c r="F57" s="54"/>
      <c r="G57" s="87"/>
      <c r="H57" s="54"/>
      <c r="I57" s="59"/>
      <c r="J57" s="53"/>
      <c r="K57" s="53"/>
      <c r="L57" s="53"/>
      <c r="M57" s="97"/>
      <c r="N57" s="53"/>
      <c r="O57" s="99"/>
    </row>
    <row r="58" s="4" customFormat="1" ht="30" customHeight="1" spans="1:15">
      <c r="A58" s="48"/>
      <c r="B58" s="49"/>
      <c r="C58" s="49"/>
      <c r="D58" s="48"/>
      <c r="E58" s="53"/>
      <c r="F58" s="54"/>
      <c r="G58" s="87"/>
      <c r="H58" s="54"/>
      <c r="I58" s="59"/>
      <c r="J58" s="53"/>
      <c r="K58" s="53"/>
      <c r="L58" s="53"/>
      <c r="M58" s="97"/>
      <c r="N58" s="53"/>
      <c r="O58" s="99"/>
    </row>
    <row r="59" s="4" customFormat="1" ht="30" customHeight="1" spans="1:15">
      <c r="A59" s="48"/>
      <c r="B59" s="49"/>
      <c r="C59" s="49"/>
      <c r="D59" s="48"/>
      <c r="E59" s="53"/>
      <c r="F59" s="54"/>
      <c r="G59" s="87"/>
      <c r="H59" s="54"/>
      <c r="I59" s="59"/>
      <c r="J59" s="53"/>
      <c r="K59" s="53"/>
      <c r="L59" s="53"/>
      <c r="M59" s="97"/>
      <c r="N59" s="53"/>
      <c r="O59" s="99"/>
    </row>
    <row r="60" s="4" customFormat="1" ht="30" customHeight="1" spans="1:15">
      <c r="A60" s="48"/>
      <c r="B60" s="49"/>
      <c r="C60" s="49"/>
      <c r="D60" s="48"/>
      <c r="E60" s="53"/>
      <c r="F60" s="54"/>
      <c r="G60" s="87"/>
      <c r="H60" s="54"/>
      <c r="I60" s="59"/>
      <c r="J60" s="53"/>
      <c r="K60" s="53"/>
      <c r="L60" s="53"/>
      <c r="M60" s="97"/>
      <c r="N60" s="53">
        <f>SUM(N7:N59)</f>
        <v>291697.20066627</v>
      </c>
      <c r="O60" s="99"/>
    </row>
  </sheetData>
  <autoFilter xmlns:etc="http://www.wps.cn/officeDocument/2017/etCustomData" ref="A1:O60" etc:filterBottomFollowUsedRange="0">
    <extLst/>
  </autoFilter>
  <mergeCells count="14">
    <mergeCell ref="A1:O1"/>
    <mergeCell ref="A2:F2"/>
    <mergeCell ref="G2:M2"/>
    <mergeCell ref="N2:O2"/>
    <mergeCell ref="F3:L3"/>
    <mergeCell ref="A3:A5"/>
    <mergeCell ref="B3:B5"/>
    <mergeCell ref="C3:C5"/>
    <mergeCell ref="D3:D5"/>
    <mergeCell ref="E3:E5"/>
    <mergeCell ref="F4:F5"/>
    <mergeCell ref="J4:J5"/>
    <mergeCell ref="M3:M5"/>
    <mergeCell ref="O3:O5"/>
  </mergeCells>
  <pageMargins left="0.75" right="0.75" top="1" bottom="1" header="0.5" footer="0.5"/>
  <pageSetup paperSize="9" scale="6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7"/>
  <sheetViews>
    <sheetView tabSelected="1" workbookViewId="0">
      <pane ySplit="5" topLeftCell="A52" activePane="bottomLeft" state="frozen"/>
      <selection/>
      <selection pane="bottomLeft" activeCell="A6" sqref="A6:M76"/>
    </sheetView>
  </sheetViews>
  <sheetFormatPr defaultColWidth="9" defaultRowHeight="11.25"/>
  <cols>
    <col min="1" max="1" width="6.14285714285714" style="41" customWidth="1"/>
    <col min="2" max="2" width="15.1428571428571" style="42" customWidth="1"/>
    <col min="3" max="3" width="36.1428571428571" style="42" customWidth="1"/>
    <col min="4" max="4" width="9.71428571428571" style="42" customWidth="1"/>
    <col min="5" max="5" width="6.72380952380952" style="41" customWidth="1"/>
    <col min="6" max="6" width="8.42857142857143" style="41" customWidth="1"/>
    <col min="7" max="7" width="10.1142857142857" style="41" customWidth="1"/>
    <col min="8" max="8" width="10.2857142857143" style="41" customWidth="1"/>
    <col min="9" max="9" width="7.57142857142857" style="41" customWidth="1"/>
    <col min="10" max="10" width="9" style="41" customWidth="1"/>
    <col min="11" max="11" width="10.4285714285714" style="41" customWidth="1"/>
    <col min="12" max="12" width="9.85714285714286" style="41" customWidth="1"/>
    <col min="13" max="13" width="9.28571428571429" style="41" customWidth="1"/>
    <col min="14" max="14" width="11.7238095238095" style="43" customWidth="1"/>
    <col min="15" max="15" width="14" style="44" customWidth="1"/>
    <col min="16" max="16" width="9" style="42"/>
    <col min="17" max="18" width="11" style="42"/>
    <col min="19" max="16384" width="9" style="42"/>
  </cols>
  <sheetData>
    <row r="1" ht="35.1" customHeight="1" spans="1:15">
      <c r="A1" s="45" t="s">
        <v>159</v>
      </c>
      <c r="B1" s="45"/>
      <c r="C1" s="45"/>
      <c r="D1" s="45"/>
      <c r="E1" s="45"/>
      <c r="F1" s="45"/>
      <c r="G1" s="45"/>
      <c r="H1" s="45"/>
      <c r="I1" s="45"/>
      <c r="J1" s="45"/>
      <c r="K1" s="45"/>
      <c r="L1" s="45"/>
      <c r="M1" s="45"/>
      <c r="N1" s="57"/>
      <c r="O1" s="45"/>
    </row>
    <row r="2" ht="18.95" customHeight="1" spans="1:15">
      <c r="A2" s="46" t="s">
        <v>160</v>
      </c>
      <c r="B2" s="46"/>
      <c r="C2" s="46"/>
      <c r="D2" s="46"/>
      <c r="E2" s="47"/>
      <c r="F2" s="46"/>
      <c r="G2" s="47"/>
      <c r="H2" s="47"/>
      <c r="I2" s="47"/>
      <c r="J2" s="47"/>
      <c r="K2" s="47"/>
      <c r="L2" s="47"/>
      <c r="M2" s="47"/>
      <c r="N2" s="58"/>
      <c r="O2" s="47"/>
    </row>
    <row r="3" spans="1:15">
      <c r="A3" s="48" t="s">
        <v>42</v>
      </c>
      <c r="B3" s="49" t="s">
        <v>43</v>
      </c>
      <c r="C3" s="49" t="s">
        <v>44</v>
      </c>
      <c r="D3" s="48" t="s">
        <v>27</v>
      </c>
      <c r="E3" s="48" t="s">
        <v>45</v>
      </c>
      <c r="F3" s="48" t="s">
        <v>46</v>
      </c>
      <c r="G3" s="48"/>
      <c r="H3" s="48"/>
      <c r="I3" s="48"/>
      <c r="J3" s="48"/>
      <c r="K3" s="48"/>
      <c r="L3" s="48"/>
      <c r="M3" s="48" t="s">
        <v>47</v>
      </c>
      <c r="N3" s="53" t="s">
        <v>48</v>
      </c>
      <c r="O3" s="48" t="s">
        <v>49</v>
      </c>
    </row>
    <row r="4" ht="51" customHeight="1" spans="1:15">
      <c r="A4" s="48"/>
      <c r="B4" s="49"/>
      <c r="C4" s="49"/>
      <c r="D4" s="48"/>
      <c r="E4" s="48"/>
      <c r="F4" s="48" t="s">
        <v>50</v>
      </c>
      <c r="G4" s="48" t="s">
        <v>51</v>
      </c>
      <c r="H4" s="48" t="s">
        <v>52</v>
      </c>
      <c r="I4" s="48" t="s">
        <v>53</v>
      </c>
      <c r="J4" s="48" t="s">
        <v>54</v>
      </c>
      <c r="K4" s="48" t="s">
        <v>55</v>
      </c>
      <c r="L4" s="48" t="s">
        <v>56</v>
      </c>
      <c r="M4" s="48"/>
      <c r="N4" s="53"/>
      <c r="O4" s="48"/>
    </row>
    <row r="5" ht="22.5" spans="1:15">
      <c r="A5" s="48"/>
      <c r="B5" s="49"/>
      <c r="C5" s="49"/>
      <c r="D5" s="48"/>
      <c r="E5" s="48"/>
      <c r="F5" s="48"/>
      <c r="G5" s="48" t="s">
        <v>57</v>
      </c>
      <c r="H5" s="48" t="s">
        <v>58</v>
      </c>
      <c r="I5" s="48" t="s">
        <v>59</v>
      </c>
      <c r="J5" s="48"/>
      <c r="K5" s="59">
        <v>0.05</v>
      </c>
      <c r="L5" s="59">
        <v>0.09</v>
      </c>
      <c r="M5" s="48"/>
      <c r="N5" s="53"/>
      <c r="O5" s="48"/>
    </row>
    <row r="6" s="37" customFormat="1" ht="27" customHeight="1" spans="1:17">
      <c r="A6" s="50" t="s">
        <v>30</v>
      </c>
      <c r="B6" s="51" t="s">
        <v>161</v>
      </c>
      <c r="C6" s="51"/>
      <c r="D6" s="51"/>
      <c r="E6" s="52"/>
      <c r="F6" s="52"/>
      <c r="G6" s="53"/>
      <c r="H6" s="54"/>
      <c r="I6" s="59"/>
      <c r="J6" s="53"/>
      <c r="K6" s="53"/>
      <c r="L6" s="53"/>
      <c r="M6" s="53"/>
      <c r="N6" s="53"/>
      <c r="O6" s="60"/>
      <c r="P6" s="61"/>
      <c r="Q6" s="61"/>
    </row>
    <row r="7" s="37" customFormat="1" ht="69" customHeight="1" spans="1:15">
      <c r="A7" s="50">
        <v>1</v>
      </c>
      <c r="B7" s="51" t="s">
        <v>162</v>
      </c>
      <c r="C7" s="51" t="s">
        <v>163</v>
      </c>
      <c r="D7" s="52" t="s">
        <v>80</v>
      </c>
      <c r="E7" s="52">
        <f>0.5*8*2</f>
        <v>8</v>
      </c>
      <c r="F7" s="52">
        <v>15</v>
      </c>
      <c r="G7" s="53">
        <f t="shared" ref="G7:G25" si="0">H7*(1+I7)</f>
        <v>10.2</v>
      </c>
      <c r="H7" s="54">
        <v>10</v>
      </c>
      <c r="I7" s="59">
        <v>0.02</v>
      </c>
      <c r="J7" s="53">
        <v>2</v>
      </c>
      <c r="K7" s="53">
        <f>(F7+G7+J7)*0.05</f>
        <v>1.36</v>
      </c>
      <c r="L7" s="53">
        <f t="shared" ref="L7:L25" si="1">(F7+G7+J7+K7)*0.09</f>
        <v>2.5704</v>
      </c>
      <c r="M7" s="53">
        <f t="shared" ref="M7:M25" si="2">F7+G7+J7+K7+L7</f>
        <v>31.1304</v>
      </c>
      <c r="N7" s="53">
        <f t="shared" ref="N7:N25" si="3">M7*E7</f>
        <v>249.0432</v>
      </c>
      <c r="O7" s="62"/>
    </row>
    <row r="8" s="37" customFormat="1" ht="84" customHeight="1" spans="1:15">
      <c r="A8" s="50">
        <v>2</v>
      </c>
      <c r="B8" s="51" t="s">
        <v>162</v>
      </c>
      <c r="C8" s="51" t="s">
        <v>164</v>
      </c>
      <c r="D8" s="52" t="s">
        <v>80</v>
      </c>
      <c r="E8" s="52">
        <f>(0.64+10.93+0.68*2+2.82+14.5+2+0.3*8)*2</f>
        <v>69.3</v>
      </c>
      <c r="F8" s="52">
        <v>15</v>
      </c>
      <c r="G8" s="53">
        <f t="shared" si="0"/>
        <v>15.3</v>
      </c>
      <c r="H8" s="54">
        <v>15</v>
      </c>
      <c r="I8" s="59">
        <v>0.02</v>
      </c>
      <c r="J8" s="53">
        <v>2</v>
      </c>
      <c r="K8" s="53">
        <f t="shared" ref="K8:K39" si="4">(F8+G8+J8)*0.05</f>
        <v>1.615</v>
      </c>
      <c r="L8" s="53">
        <f t="shared" si="1"/>
        <v>3.05235</v>
      </c>
      <c r="M8" s="53">
        <f t="shared" si="2"/>
        <v>36.96735</v>
      </c>
      <c r="N8" s="53">
        <f t="shared" si="3"/>
        <v>2561.837355</v>
      </c>
      <c r="O8" s="63"/>
    </row>
    <row r="9" s="37" customFormat="1" ht="42" customHeight="1" spans="1:15">
      <c r="A9" s="50">
        <v>3</v>
      </c>
      <c r="B9" s="51" t="s">
        <v>162</v>
      </c>
      <c r="C9" s="51" t="s">
        <v>165</v>
      </c>
      <c r="D9" s="52" t="s">
        <v>80</v>
      </c>
      <c r="E9" s="52">
        <v>5</v>
      </c>
      <c r="F9" s="52">
        <v>15</v>
      </c>
      <c r="G9" s="53">
        <f t="shared" si="0"/>
        <v>20.4</v>
      </c>
      <c r="H9" s="54">
        <v>20</v>
      </c>
      <c r="I9" s="59">
        <v>0.02</v>
      </c>
      <c r="J9" s="53">
        <v>2</v>
      </c>
      <c r="K9" s="53">
        <f t="shared" si="4"/>
        <v>1.87</v>
      </c>
      <c r="L9" s="53">
        <f t="shared" si="1"/>
        <v>3.5343</v>
      </c>
      <c r="M9" s="53">
        <f t="shared" si="2"/>
        <v>42.8043</v>
      </c>
      <c r="N9" s="53">
        <f t="shared" si="3"/>
        <v>214.0215</v>
      </c>
      <c r="O9" s="63"/>
    </row>
    <row r="10" s="37" customFormat="1" ht="42" customHeight="1" spans="1:15">
      <c r="A10" s="50">
        <v>4</v>
      </c>
      <c r="B10" s="51" t="s">
        <v>162</v>
      </c>
      <c r="C10" s="51" t="s">
        <v>166</v>
      </c>
      <c r="D10" s="52" t="s">
        <v>80</v>
      </c>
      <c r="E10" s="52">
        <f>(0.96+11.55+1+2+0.3)*3</f>
        <v>47.43</v>
      </c>
      <c r="F10" s="52">
        <v>15</v>
      </c>
      <c r="G10" s="53">
        <f t="shared" si="0"/>
        <v>20.4</v>
      </c>
      <c r="H10" s="54">
        <v>20</v>
      </c>
      <c r="I10" s="59">
        <v>0.02</v>
      </c>
      <c r="J10" s="53">
        <v>2</v>
      </c>
      <c r="K10" s="53">
        <f t="shared" si="4"/>
        <v>1.87</v>
      </c>
      <c r="L10" s="53">
        <f t="shared" si="1"/>
        <v>3.5343</v>
      </c>
      <c r="M10" s="53">
        <f t="shared" si="2"/>
        <v>42.8043</v>
      </c>
      <c r="N10" s="53">
        <f t="shared" si="3"/>
        <v>2030.207949</v>
      </c>
      <c r="O10" s="64"/>
    </row>
    <row r="11" s="37" customFormat="1" ht="44.1" customHeight="1" spans="1:15">
      <c r="A11" s="50">
        <v>5</v>
      </c>
      <c r="B11" s="51" t="s">
        <v>162</v>
      </c>
      <c r="C11" s="51" t="s">
        <v>167</v>
      </c>
      <c r="D11" s="52" t="s">
        <v>80</v>
      </c>
      <c r="E11" s="52">
        <v>20</v>
      </c>
      <c r="F11" s="52">
        <v>15</v>
      </c>
      <c r="G11" s="53">
        <f t="shared" si="0"/>
        <v>10.2</v>
      </c>
      <c r="H11" s="54">
        <v>10</v>
      </c>
      <c r="I11" s="59">
        <v>0.02</v>
      </c>
      <c r="J11" s="53">
        <v>2</v>
      </c>
      <c r="K11" s="53">
        <f t="shared" si="4"/>
        <v>1.36</v>
      </c>
      <c r="L11" s="53">
        <f t="shared" si="1"/>
        <v>2.5704</v>
      </c>
      <c r="M11" s="53">
        <f t="shared" si="2"/>
        <v>31.1304</v>
      </c>
      <c r="N11" s="53">
        <f t="shared" si="3"/>
        <v>622.608</v>
      </c>
      <c r="O11" s="64"/>
    </row>
    <row r="12" s="37" customFormat="1" ht="45.95" customHeight="1" spans="1:15">
      <c r="A12" s="50">
        <v>6</v>
      </c>
      <c r="B12" s="51" t="s">
        <v>162</v>
      </c>
      <c r="C12" s="51" t="s">
        <v>168</v>
      </c>
      <c r="D12" s="52" t="s">
        <v>80</v>
      </c>
      <c r="E12" s="52">
        <v>20</v>
      </c>
      <c r="F12" s="52">
        <v>15</v>
      </c>
      <c r="G12" s="53">
        <f t="shared" si="0"/>
        <v>10.2</v>
      </c>
      <c r="H12" s="54">
        <v>10</v>
      </c>
      <c r="I12" s="59">
        <v>0.02</v>
      </c>
      <c r="J12" s="53">
        <v>2</v>
      </c>
      <c r="K12" s="53">
        <f t="shared" si="4"/>
        <v>1.36</v>
      </c>
      <c r="L12" s="53">
        <f t="shared" si="1"/>
        <v>2.5704</v>
      </c>
      <c r="M12" s="53">
        <f t="shared" si="2"/>
        <v>31.1304</v>
      </c>
      <c r="N12" s="53">
        <f t="shared" si="3"/>
        <v>622.608</v>
      </c>
      <c r="O12" s="65"/>
    </row>
    <row r="13" s="37" customFormat="1" ht="42" customHeight="1" spans="1:15">
      <c r="A13" s="50">
        <v>7</v>
      </c>
      <c r="B13" s="51" t="s">
        <v>162</v>
      </c>
      <c r="C13" s="51" t="s">
        <v>169</v>
      </c>
      <c r="D13" s="52" t="s">
        <v>80</v>
      </c>
      <c r="E13" s="52">
        <v>10</v>
      </c>
      <c r="F13" s="52">
        <v>20</v>
      </c>
      <c r="G13" s="53">
        <f t="shared" si="0"/>
        <v>20.4</v>
      </c>
      <c r="H13" s="54">
        <v>20</v>
      </c>
      <c r="I13" s="59">
        <v>0.02</v>
      </c>
      <c r="J13" s="53">
        <v>2</v>
      </c>
      <c r="K13" s="53">
        <f t="shared" si="4"/>
        <v>2.12</v>
      </c>
      <c r="L13" s="53">
        <f t="shared" si="1"/>
        <v>4.0068</v>
      </c>
      <c r="M13" s="53">
        <f t="shared" si="2"/>
        <v>48.5268</v>
      </c>
      <c r="N13" s="53">
        <f t="shared" si="3"/>
        <v>485.268</v>
      </c>
      <c r="O13" s="64"/>
    </row>
    <row r="14" s="37" customFormat="1" ht="44.1" customHeight="1" spans="1:15">
      <c r="A14" s="50">
        <v>8</v>
      </c>
      <c r="B14" s="51" t="s">
        <v>162</v>
      </c>
      <c r="C14" s="51" t="s">
        <v>170</v>
      </c>
      <c r="D14" s="52" t="s">
        <v>80</v>
      </c>
      <c r="E14" s="52">
        <v>60</v>
      </c>
      <c r="F14" s="52">
        <v>20</v>
      </c>
      <c r="G14" s="53">
        <f t="shared" si="0"/>
        <v>30.6</v>
      </c>
      <c r="H14" s="54">
        <v>30</v>
      </c>
      <c r="I14" s="59">
        <v>0.02</v>
      </c>
      <c r="J14" s="53">
        <v>2</v>
      </c>
      <c r="K14" s="53">
        <f t="shared" si="4"/>
        <v>2.63</v>
      </c>
      <c r="L14" s="53">
        <f t="shared" si="1"/>
        <v>4.9707</v>
      </c>
      <c r="M14" s="53">
        <f t="shared" si="2"/>
        <v>60.2007</v>
      </c>
      <c r="N14" s="53">
        <f t="shared" si="3"/>
        <v>3612.042</v>
      </c>
      <c r="O14" s="64"/>
    </row>
    <row r="15" s="37" customFormat="1" ht="45" customHeight="1" spans="1:15">
      <c r="A15" s="50">
        <v>9</v>
      </c>
      <c r="B15" s="51" t="s">
        <v>162</v>
      </c>
      <c r="C15" s="51" t="s">
        <v>171</v>
      </c>
      <c r="D15" s="52" t="s">
        <v>80</v>
      </c>
      <c r="E15" s="52">
        <v>15</v>
      </c>
      <c r="F15" s="52">
        <v>20</v>
      </c>
      <c r="G15" s="53">
        <f t="shared" si="0"/>
        <v>51</v>
      </c>
      <c r="H15" s="54">
        <v>50</v>
      </c>
      <c r="I15" s="59">
        <v>0.02</v>
      </c>
      <c r="J15" s="53">
        <v>2</v>
      </c>
      <c r="K15" s="53">
        <f t="shared" si="4"/>
        <v>3.65</v>
      </c>
      <c r="L15" s="53">
        <f t="shared" si="1"/>
        <v>6.8985</v>
      </c>
      <c r="M15" s="53">
        <f t="shared" si="2"/>
        <v>83.5485</v>
      </c>
      <c r="N15" s="53">
        <f t="shared" si="3"/>
        <v>1253.2275</v>
      </c>
      <c r="O15" s="64"/>
    </row>
    <row r="16" s="37" customFormat="1" ht="42" customHeight="1" spans="1:15">
      <c r="A16" s="50">
        <v>10</v>
      </c>
      <c r="B16" s="51" t="s">
        <v>172</v>
      </c>
      <c r="C16" s="51" t="s">
        <v>173</v>
      </c>
      <c r="D16" s="52" t="s">
        <v>174</v>
      </c>
      <c r="E16" s="52">
        <v>1</v>
      </c>
      <c r="F16" s="52">
        <v>150</v>
      </c>
      <c r="G16" s="53">
        <f t="shared" si="0"/>
        <v>1500</v>
      </c>
      <c r="H16" s="54">
        <v>1500</v>
      </c>
      <c r="I16" s="59">
        <v>0</v>
      </c>
      <c r="J16" s="53">
        <v>20</v>
      </c>
      <c r="K16" s="53">
        <f t="shared" si="4"/>
        <v>83.5</v>
      </c>
      <c r="L16" s="53">
        <f t="shared" si="1"/>
        <v>157.815</v>
      </c>
      <c r="M16" s="53">
        <f t="shared" si="2"/>
        <v>1911.315</v>
      </c>
      <c r="N16" s="53">
        <f t="shared" si="3"/>
        <v>1911.315</v>
      </c>
      <c r="O16" s="64"/>
    </row>
    <row r="17" s="37" customFormat="1" ht="69" customHeight="1" spans="1:15">
      <c r="A17" s="50">
        <v>11</v>
      </c>
      <c r="B17" s="51" t="s">
        <v>175</v>
      </c>
      <c r="C17" s="51" t="s">
        <v>176</v>
      </c>
      <c r="D17" s="52" t="s">
        <v>174</v>
      </c>
      <c r="E17" s="52">
        <v>1</v>
      </c>
      <c r="F17" s="52">
        <v>150</v>
      </c>
      <c r="G17" s="53">
        <f t="shared" si="0"/>
        <v>1000</v>
      </c>
      <c r="H17" s="54">
        <v>1000</v>
      </c>
      <c r="I17" s="59">
        <v>0</v>
      </c>
      <c r="J17" s="53">
        <v>20</v>
      </c>
      <c r="K17" s="53">
        <f t="shared" si="4"/>
        <v>58.5</v>
      </c>
      <c r="L17" s="53">
        <f t="shared" si="1"/>
        <v>110.565</v>
      </c>
      <c r="M17" s="53">
        <f t="shared" si="2"/>
        <v>1339.065</v>
      </c>
      <c r="N17" s="53">
        <f t="shared" si="3"/>
        <v>1339.065</v>
      </c>
      <c r="O17" s="65" t="s">
        <v>177</v>
      </c>
    </row>
    <row r="18" s="37" customFormat="1" ht="60" customHeight="1" spans="1:15">
      <c r="A18" s="50">
        <v>12</v>
      </c>
      <c r="B18" s="51" t="s">
        <v>175</v>
      </c>
      <c r="C18" s="51" t="s">
        <v>178</v>
      </c>
      <c r="D18" s="52" t="s">
        <v>174</v>
      </c>
      <c r="E18" s="52">
        <v>1</v>
      </c>
      <c r="F18" s="52">
        <v>150</v>
      </c>
      <c r="G18" s="53">
        <f t="shared" si="0"/>
        <v>1000</v>
      </c>
      <c r="H18" s="54">
        <v>1000</v>
      </c>
      <c r="I18" s="59">
        <v>0</v>
      </c>
      <c r="J18" s="53">
        <v>20</v>
      </c>
      <c r="K18" s="53">
        <f t="shared" si="4"/>
        <v>58.5</v>
      </c>
      <c r="L18" s="53">
        <f t="shared" si="1"/>
        <v>110.565</v>
      </c>
      <c r="M18" s="53">
        <f t="shared" si="2"/>
        <v>1339.065</v>
      </c>
      <c r="N18" s="53">
        <f t="shared" si="3"/>
        <v>1339.065</v>
      </c>
      <c r="O18" s="65" t="s">
        <v>177</v>
      </c>
    </row>
    <row r="19" s="37" customFormat="1" ht="57" customHeight="1" spans="1:15">
      <c r="A19" s="50">
        <v>13</v>
      </c>
      <c r="B19" s="51" t="s">
        <v>179</v>
      </c>
      <c r="C19" s="51" t="s">
        <v>180</v>
      </c>
      <c r="D19" s="52" t="s">
        <v>100</v>
      </c>
      <c r="E19" s="52">
        <v>1</v>
      </c>
      <c r="F19" s="52">
        <v>200</v>
      </c>
      <c r="G19" s="53">
        <f t="shared" si="0"/>
        <v>1000</v>
      </c>
      <c r="H19" s="54">
        <v>1000</v>
      </c>
      <c r="I19" s="59">
        <v>0</v>
      </c>
      <c r="J19" s="53">
        <v>20</v>
      </c>
      <c r="K19" s="53">
        <f t="shared" si="4"/>
        <v>61</v>
      </c>
      <c r="L19" s="53">
        <f t="shared" si="1"/>
        <v>115.29</v>
      </c>
      <c r="M19" s="53">
        <f t="shared" si="2"/>
        <v>1396.29</v>
      </c>
      <c r="N19" s="53">
        <f t="shared" si="3"/>
        <v>1396.29</v>
      </c>
      <c r="O19" s="65" t="s">
        <v>177</v>
      </c>
    </row>
    <row r="20" s="37" customFormat="1" ht="42" customHeight="1" spans="1:15">
      <c r="A20" s="50">
        <v>14</v>
      </c>
      <c r="B20" s="51" t="s">
        <v>179</v>
      </c>
      <c r="C20" s="51" t="s">
        <v>181</v>
      </c>
      <c r="D20" s="52" t="s">
        <v>100</v>
      </c>
      <c r="E20" s="52">
        <v>1</v>
      </c>
      <c r="F20" s="52">
        <v>200</v>
      </c>
      <c r="G20" s="53">
        <f t="shared" si="0"/>
        <v>1000</v>
      </c>
      <c r="H20" s="54">
        <v>1000</v>
      </c>
      <c r="I20" s="59">
        <v>0</v>
      </c>
      <c r="J20" s="53">
        <v>20</v>
      </c>
      <c r="K20" s="53">
        <f t="shared" si="4"/>
        <v>61</v>
      </c>
      <c r="L20" s="53">
        <f t="shared" si="1"/>
        <v>115.29</v>
      </c>
      <c r="M20" s="53">
        <f t="shared" si="2"/>
        <v>1396.29</v>
      </c>
      <c r="N20" s="53">
        <f t="shared" si="3"/>
        <v>1396.29</v>
      </c>
      <c r="O20" s="65" t="s">
        <v>177</v>
      </c>
    </row>
    <row r="21" s="37" customFormat="1" ht="56.1" customHeight="1" spans="1:15">
      <c r="A21" s="50">
        <v>15</v>
      </c>
      <c r="B21" s="51" t="s">
        <v>182</v>
      </c>
      <c r="C21" s="51" t="s">
        <v>183</v>
      </c>
      <c r="D21" s="52" t="s">
        <v>100</v>
      </c>
      <c r="E21" s="52">
        <v>1</v>
      </c>
      <c r="F21" s="52">
        <v>200</v>
      </c>
      <c r="G21" s="53">
        <f t="shared" si="0"/>
        <v>5000</v>
      </c>
      <c r="H21" s="55">
        <v>5000</v>
      </c>
      <c r="I21" s="59">
        <v>0</v>
      </c>
      <c r="J21" s="53">
        <v>20</v>
      </c>
      <c r="K21" s="53">
        <f t="shared" si="4"/>
        <v>261</v>
      </c>
      <c r="L21" s="53">
        <f t="shared" si="1"/>
        <v>493.29</v>
      </c>
      <c r="M21" s="53">
        <f t="shared" si="2"/>
        <v>5974.29</v>
      </c>
      <c r="N21" s="53">
        <f t="shared" si="3"/>
        <v>5974.29</v>
      </c>
      <c r="O21" s="65" t="s">
        <v>177</v>
      </c>
    </row>
    <row r="22" s="37" customFormat="1" ht="56.1" customHeight="1" spans="1:15">
      <c r="A22" s="50">
        <v>16</v>
      </c>
      <c r="B22" s="51" t="s">
        <v>184</v>
      </c>
      <c r="C22" s="51" t="s">
        <v>185</v>
      </c>
      <c r="D22" s="52" t="s">
        <v>186</v>
      </c>
      <c r="E22" s="52">
        <v>1</v>
      </c>
      <c r="F22" s="52">
        <v>300</v>
      </c>
      <c r="G22" s="53">
        <f t="shared" si="0"/>
        <v>7000</v>
      </c>
      <c r="H22" s="55">
        <v>7000</v>
      </c>
      <c r="I22" s="59">
        <v>0</v>
      </c>
      <c r="J22" s="53">
        <v>20</v>
      </c>
      <c r="K22" s="53">
        <f t="shared" si="4"/>
        <v>366</v>
      </c>
      <c r="L22" s="53">
        <f t="shared" si="1"/>
        <v>691.74</v>
      </c>
      <c r="M22" s="53">
        <f t="shared" si="2"/>
        <v>8377.74</v>
      </c>
      <c r="N22" s="53">
        <f t="shared" si="3"/>
        <v>8377.74</v>
      </c>
      <c r="O22" s="66"/>
    </row>
    <row r="23" s="37" customFormat="1" ht="58" customHeight="1" spans="1:15">
      <c r="A23" s="50">
        <v>17</v>
      </c>
      <c r="B23" s="51" t="s">
        <v>187</v>
      </c>
      <c r="C23" s="51" t="s">
        <v>188</v>
      </c>
      <c r="D23" s="52" t="s">
        <v>100</v>
      </c>
      <c r="E23" s="52">
        <v>2</v>
      </c>
      <c r="F23" s="52">
        <v>50</v>
      </c>
      <c r="G23" s="53">
        <f t="shared" si="0"/>
        <v>150</v>
      </c>
      <c r="H23" s="54">
        <v>150</v>
      </c>
      <c r="I23" s="59">
        <v>0</v>
      </c>
      <c r="J23" s="53">
        <v>1</v>
      </c>
      <c r="K23" s="53">
        <f t="shared" si="4"/>
        <v>10.05</v>
      </c>
      <c r="L23" s="53">
        <f t="shared" si="1"/>
        <v>18.9945</v>
      </c>
      <c r="M23" s="53">
        <f t="shared" si="2"/>
        <v>230.0445</v>
      </c>
      <c r="N23" s="53">
        <f t="shared" si="3"/>
        <v>460.089</v>
      </c>
      <c r="O23" s="65"/>
    </row>
    <row r="24" s="37" customFormat="1" ht="48" customHeight="1" spans="1:15">
      <c r="A24" s="50">
        <v>18</v>
      </c>
      <c r="B24" s="51" t="s">
        <v>189</v>
      </c>
      <c r="C24" s="51" t="s">
        <v>190</v>
      </c>
      <c r="D24" s="52" t="s">
        <v>100</v>
      </c>
      <c r="E24" s="52">
        <v>1</v>
      </c>
      <c r="F24" s="52">
        <v>70</v>
      </c>
      <c r="G24" s="53">
        <f t="shared" si="0"/>
        <v>115</v>
      </c>
      <c r="H24" s="54">
        <v>115</v>
      </c>
      <c r="I24" s="59">
        <v>0</v>
      </c>
      <c r="J24" s="53">
        <v>2</v>
      </c>
      <c r="K24" s="53">
        <f t="shared" si="4"/>
        <v>9.35</v>
      </c>
      <c r="L24" s="53">
        <f t="shared" si="1"/>
        <v>17.6715</v>
      </c>
      <c r="M24" s="53">
        <f t="shared" si="2"/>
        <v>214.0215</v>
      </c>
      <c r="N24" s="53">
        <f t="shared" si="3"/>
        <v>214.0215</v>
      </c>
      <c r="O24" s="65"/>
    </row>
    <row r="25" s="37" customFormat="1" ht="42" customHeight="1" spans="1:15">
      <c r="A25" s="50">
        <v>19</v>
      </c>
      <c r="B25" s="51" t="s">
        <v>189</v>
      </c>
      <c r="C25" s="51" t="s">
        <v>191</v>
      </c>
      <c r="D25" s="52" t="s">
        <v>100</v>
      </c>
      <c r="E25" s="52">
        <v>1</v>
      </c>
      <c r="F25" s="52">
        <v>100</v>
      </c>
      <c r="G25" s="53">
        <f t="shared" si="0"/>
        <v>200</v>
      </c>
      <c r="H25" s="54">
        <v>200</v>
      </c>
      <c r="I25" s="59">
        <v>0</v>
      </c>
      <c r="J25" s="53">
        <v>2</v>
      </c>
      <c r="K25" s="53">
        <f t="shared" si="4"/>
        <v>15.1</v>
      </c>
      <c r="L25" s="53">
        <f t="shared" si="1"/>
        <v>28.539</v>
      </c>
      <c r="M25" s="53">
        <f t="shared" si="2"/>
        <v>345.639</v>
      </c>
      <c r="N25" s="53">
        <f t="shared" si="3"/>
        <v>345.639</v>
      </c>
      <c r="O25" s="65"/>
    </row>
    <row r="26" s="37" customFormat="1" ht="42" customHeight="1" spans="1:15">
      <c r="A26" s="50" t="s">
        <v>33</v>
      </c>
      <c r="B26" s="51" t="s">
        <v>192</v>
      </c>
      <c r="C26" s="51"/>
      <c r="D26" s="51"/>
      <c r="E26" s="52"/>
      <c r="F26" s="52"/>
      <c r="G26" s="53"/>
      <c r="H26" s="54"/>
      <c r="I26" s="59"/>
      <c r="J26" s="53"/>
      <c r="K26" s="53"/>
      <c r="L26" s="53"/>
      <c r="M26" s="53"/>
      <c r="N26" s="53"/>
      <c r="O26" s="65"/>
    </row>
    <row r="27" s="37" customFormat="1" ht="65" customHeight="1" spans="1:15">
      <c r="A27" s="50">
        <v>1</v>
      </c>
      <c r="B27" s="51" t="s">
        <v>193</v>
      </c>
      <c r="C27" s="51" t="s">
        <v>194</v>
      </c>
      <c r="D27" s="52" t="s">
        <v>80</v>
      </c>
      <c r="E27" s="52">
        <v>2</v>
      </c>
      <c r="F27" s="52">
        <v>8</v>
      </c>
      <c r="G27" s="53">
        <f t="shared" ref="G27:G66" si="5">H27*(1+I27)</f>
        <v>12.24</v>
      </c>
      <c r="H27" s="54">
        <v>12</v>
      </c>
      <c r="I27" s="59">
        <v>0.02</v>
      </c>
      <c r="J27" s="53">
        <v>1</v>
      </c>
      <c r="K27" s="53">
        <f t="shared" si="4"/>
        <v>1.062</v>
      </c>
      <c r="L27" s="53">
        <f t="shared" ref="L27:L66" si="6">(F27+G27+J27+K27)*0.09</f>
        <v>2.00718</v>
      </c>
      <c r="M27" s="53">
        <f t="shared" ref="M27:M66" si="7">F27+G27+J27+K27+L27</f>
        <v>24.30918</v>
      </c>
      <c r="N27" s="53">
        <f t="shared" ref="N27:N66" si="8">M27*E27</f>
        <v>48.61836</v>
      </c>
      <c r="O27" s="67"/>
    </row>
    <row r="28" s="38" customFormat="1" ht="60" customHeight="1" spans="1:15">
      <c r="A28" s="50">
        <v>2</v>
      </c>
      <c r="B28" s="51" t="s">
        <v>193</v>
      </c>
      <c r="C28" s="51" t="s">
        <v>195</v>
      </c>
      <c r="D28" s="52" t="s">
        <v>80</v>
      </c>
      <c r="E28" s="52">
        <f>(92.4+1.5*22+1.3*4)*1.8</f>
        <v>235.08</v>
      </c>
      <c r="F28" s="52">
        <v>8</v>
      </c>
      <c r="G28" s="53">
        <f t="shared" si="5"/>
        <v>15.3</v>
      </c>
      <c r="H28" s="54">
        <v>15</v>
      </c>
      <c r="I28" s="59">
        <v>0.02</v>
      </c>
      <c r="J28" s="53">
        <v>1</v>
      </c>
      <c r="K28" s="53">
        <f t="shared" si="4"/>
        <v>1.215</v>
      </c>
      <c r="L28" s="53">
        <f t="shared" si="6"/>
        <v>2.29635</v>
      </c>
      <c r="M28" s="53">
        <f t="shared" si="7"/>
        <v>27.81135</v>
      </c>
      <c r="N28" s="53">
        <f t="shared" si="8"/>
        <v>6537.892158</v>
      </c>
      <c r="O28" s="68"/>
    </row>
    <row r="29" s="38" customFormat="1" ht="52" customHeight="1" spans="1:15">
      <c r="A29" s="50">
        <v>3</v>
      </c>
      <c r="B29" s="51" t="s">
        <v>193</v>
      </c>
      <c r="C29" s="51" t="s">
        <v>196</v>
      </c>
      <c r="D29" s="52" t="s">
        <v>80</v>
      </c>
      <c r="E29" s="52">
        <v>183.6</v>
      </c>
      <c r="F29" s="52">
        <v>8</v>
      </c>
      <c r="G29" s="53">
        <f t="shared" si="5"/>
        <v>17.34</v>
      </c>
      <c r="H29" s="54">
        <v>17</v>
      </c>
      <c r="I29" s="59">
        <v>0.02</v>
      </c>
      <c r="J29" s="53">
        <v>1</v>
      </c>
      <c r="K29" s="53">
        <f t="shared" si="4"/>
        <v>1.317</v>
      </c>
      <c r="L29" s="53">
        <f t="shared" si="6"/>
        <v>2.48913</v>
      </c>
      <c r="M29" s="53">
        <f t="shared" si="7"/>
        <v>30.14613</v>
      </c>
      <c r="N29" s="53">
        <f t="shared" si="8"/>
        <v>5534.829468</v>
      </c>
      <c r="O29" s="69"/>
    </row>
    <row r="30" s="38" customFormat="1" ht="48.95" customHeight="1" spans="1:15">
      <c r="A30" s="50">
        <v>4</v>
      </c>
      <c r="B30" s="51" t="s">
        <v>193</v>
      </c>
      <c r="C30" s="51" t="s">
        <v>197</v>
      </c>
      <c r="D30" s="52" t="s">
        <v>80</v>
      </c>
      <c r="E30" s="52">
        <v>2</v>
      </c>
      <c r="F30" s="52">
        <v>2</v>
      </c>
      <c r="G30" s="53">
        <f t="shared" si="5"/>
        <v>18.36</v>
      </c>
      <c r="H30" s="54">
        <v>18</v>
      </c>
      <c r="I30" s="59">
        <v>0.02</v>
      </c>
      <c r="J30" s="53">
        <v>1</v>
      </c>
      <c r="K30" s="53">
        <f t="shared" si="4"/>
        <v>1.068</v>
      </c>
      <c r="L30" s="53">
        <f t="shared" si="6"/>
        <v>2.01852</v>
      </c>
      <c r="M30" s="53">
        <f t="shared" si="7"/>
        <v>24.44652</v>
      </c>
      <c r="N30" s="53">
        <f t="shared" si="8"/>
        <v>48.89304</v>
      </c>
      <c r="O30" s="68"/>
    </row>
    <row r="31" s="38" customFormat="1" ht="48.95" customHeight="1" spans="1:15">
      <c r="A31" s="50">
        <v>5</v>
      </c>
      <c r="B31" s="51" t="s">
        <v>198</v>
      </c>
      <c r="C31" s="51" t="s">
        <v>199</v>
      </c>
      <c r="D31" s="52" t="s">
        <v>80</v>
      </c>
      <c r="E31" s="52">
        <f>(92.4+1.5*22+1.3*4)*3+26*1.5*3</f>
        <v>508.8</v>
      </c>
      <c r="F31" s="52">
        <v>2</v>
      </c>
      <c r="G31" s="53">
        <f t="shared" si="5"/>
        <v>1.632</v>
      </c>
      <c r="H31" s="53">
        <v>1.6</v>
      </c>
      <c r="I31" s="59">
        <v>0.02</v>
      </c>
      <c r="J31" s="53">
        <v>0.1</v>
      </c>
      <c r="K31" s="53">
        <f t="shared" si="4"/>
        <v>0.1866</v>
      </c>
      <c r="L31" s="53">
        <f t="shared" si="6"/>
        <v>0.352674</v>
      </c>
      <c r="M31" s="53">
        <f t="shared" si="7"/>
        <v>4.271274</v>
      </c>
      <c r="N31" s="53">
        <f t="shared" si="8"/>
        <v>2173.2242112</v>
      </c>
      <c r="O31" s="68" t="s">
        <v>200</v>
      </c>
    </row>
    <row r="32" s="38" customFormat="1" ht="48.95" customHeight="1" spans="1:15">
      <c r="A32" s="50">
        <v>6</v>
      </c>
      <c r="B32" s="51" t="s">
        <v>198</v>
      </c>
      <c r="C32" s="51" t="s">
        <v>201</v>
      </c>
      <c r="D32" s="52" t="s">
        <v>80</v>
      </c>
      <c r="E32" s="52">
        <f>E29*4</f>
        <v>734.4</v>
      </c>
      <c r="F32" s="52">
        <v>2</v>
      </c>
      <c r="G32" s="53">
        <f t="shared" si="5"/>
        <v>2.958</v>
      </c>
      <c r="H32" s="53">
        <v>2.9</v>
      </c>
      <c r="I32" s="59">
        <v>0.02</v>
      </c>
      <c r="J32" s="53">
        <v>0.1</v>
      </c>
      <c r="K32" s="53">
        <f t="shared" si="4"/>
        <v>0.2529</v>
      </c>
      <c r="L32" s="53">
        <f t="shared" si="6"/>
        <v>0.477981</v>
      </c>
      <c r="M32" s="53">
        <f t="shared" si="7"/>
        <v>5.788881</v>
      </c>
      <c r="N32" s="53">
        <f t="shared" si="8"/>
        <v>4251.3542064</v>
      </c>
      <c r="O32" s="68" t="s">
        <v>200</v>
      </c>
    </row>
    <row r="33" s="38" customFormat="1" ht="48.95" customHeight="1" spans="1:15">
      <c r="A33" s="50">
        <v>7</v>
      </c>
      <c r="B33" s="51" t="s">
        <v>198</v>
      </c>
      <c r="C33" s="51" t="s">
        <v>202</v>
      </c>
      <c r="D33" s="52" t="s">
        <v>80</v>
      </c>
      <c r="E33" s="52">
        <v>50</v>
      </c>
      <c r="F33" s="52">
        <v>2</v>
      </c>
      <c r="G33" s="53">
        <f t="shared" si="5"/>
        <v>4.182</v>
      </c>
      <c r="H33" s="53">
        <v>4.1</v>
      </c>
      <c r="I33" s="59">
        <v>0.02</v>
      </c>
      <c r="J33" s="53">
        <v>0.1</v>
      </c>
      <c r="K33" s="53">
        <f t="shared" si="4"/>
        <v>0.3141</v>
      </c>
      <c r="L33" s="53">
        <f t="shared" si="6"/>
        <v>0.593649</v>
      </c>
      <c r="M33" s="53">
        <f t="shared" si="7"/>
        <v>7.189749</v>
      </c>
      <c r="N33" s="53">
        <f t="shared" si="8"/>
        <v>359.48745</v>
      </c>
      <c r="O33" s="68" t="s">
        <v>200</v>
      </c>
    </row>
    <row r="34" s="38" customFormat="1" ht="48.95" customHeight="1" spans="1:15">
      <c r="A34" s="50">
        <v>8</v>
      </c>
      <c r="B34" s="51" t="s">
        <v>203</v>
      </c>
      <c r="C34" s="51" t="s">
        <v>204</v>
      </c>
      <c r="D34" s="52" t="s">
        <v>100</v>
      </c>
      <c r="E34" s="52">
        <v>3</v>
      </c>
      <c r="F34" s="52">
        <v>15</v>
      </c>
      <c r="G34" s="53">
        <f t="shared" si="5"/>
        <v>65</v>
      </c>
      <c r="H34" s="53">
        <v>65</v>
      </c>
      <c r="I34" s="59">
        <v>0</v>
      </c>
      <c r="J34" s="53">
        <v>0.1</v>
      </c>
      <c r="K34" s="53">
        <f t="shared" si="4"/>
        <v>4.005</v>
      </c>
      <c r="L34" s="53">
        <f t="shared" si="6"/>
        <v>7.56945</v>
      </c>
      <c r="M34" s="53">
        <f t="shared" si="7"/>
        <v>91.67445</v>
      </c>
      <c r="N34" s="53">
        <f t="shared" si="8"/>
        <v>275.02335</v>
      </c>
      <c r="O34" s="68" t="s">
        <v>205</v>
      </c>
    </row>
    <row r="35" s="38" customFormat="1" ht="48.95" customHeight="1" spans="1:15">
      <c r="A35" s="50">
        <v>9</v>
      </c>
      <c r="B35" s="51" t="s">
        <v>203</v>
      </c>
      <c r="C35" s="51" t="s">
        <v>206</v>
      </c>
      <c r="D35" s="52" t="s">
        <v>100</v>
      </c>
      <c r="E35" s="52">
        <v>4</v>
      </c>
      <c r="F35" s="52">
        <v>15</v>
      </c>
      <c r="G35" s="53">
        <f t="shared" si="5"/>
        <v>35</v>
      </c>
      <c r="H35" s="53">
        <v>35</v>
      </c>
      <c r="I35" s="59">
        <v>0</v>
      </c>
      <c r="J35" s="53">
        <v>0.1</v>
      </c>
      <c r="K35" s="53">
        <f t="shared" si="4"/>
        <v>2.505</v>
      </c>
      <c r="L35" s="53">
        <f t="shared" si="6"/>
        <v>4.73445</v>
      </c>
      <c r="M35" s="53">
        <f t="shared" si="7"/>
        <v>57.33945</v>
      </c>
      <c r="N35" s="53">
        <f t="shared" si="8"/>
        <v>229.3578</v>
      </c>
      <c r="O35" s="68" t="s">
        <v>205</v>
      </c>
    </row>
    <row r="36" s="38" customFormat="1" ht="48.95" customHeight="1" spans="1:15">
      <c r="A36" s="50">
        <v>10</v>
      </c>
      <c r="B36" s="51" t="s">
        <v>203</v>
      </c>
      <c r="C36" s="51" t="s">
        <v>207</v>
      </c>
      <c r="D36" s="52" t="s">
        <v>100</v>
      </c>
      <c r="E36" s="52">
        <v>9</v>
      </c>
      <c r="F36" s="52">
        <v>15</v>
      </c>
      <c r="G36" s="53">
        <f t="shared" si="5"/>
        <v>40</v>
      </c>
      <c r="H36" s="53">
        <v>40</v>
      </c>
      <c r="I36" s="59">
        <v>0</v>
      </c>
      <c r="J36" s="53">
        <v>0.1</v>
      </c>
      <c r="K36" s="53">
        <f t="shared" si="4"/>
        <v>2.755</v>
      </c>
      <c r="L36" s="53">
        <f t="shared" si="6"/>
        <v>5.20695</v>
      </c>
      <c r="M36" s="53">
        <f t="shared" si="7"/>
        <v>63.06195</v>
      </c>
      <c r="N36" s="53">
        <f t="shared" si="8"/>
        <v>567.55755</v>
      </c>
      <c r="O36" s="68" t="s">
        <v>205</v>
      </c>
    </row>
    <row r="37" s="38" customFormat="1" ht="48.95" customHeight="1" spans="1:15">
      <c r="A37" s="50">
        <v>11</v>
      </c>
      <c r="B37" s="51" t="s">
        <v>203</v>
      </c>
      <c r="C37" s="51" t="s">
        <v>208</v>
      </c>
      <c r="D37" s="52" t="s">
        <v>100</v>
      </c>
      <c r="E37" s="52">
        <v>2</v>
      </c>
      <c r="F37" s="52">
        <v>15</v>
      </c>
      <c r="G37" s="53">
        <f t="shared" si="5"/>
        <v>45</v>
      </c>
      <c r="H37" s="53">
        <v>45</v>
      </c>
      <c r="I37" s="59">
        <v>0</v>
      </c>
      <c r="J37" s="53">
        <v>0.1</v>
      </c>
      <c r="K37" s="53">
        <f t="shared" si="4"/>
        <v>3.005</v>
      </c>
      <c r="L37" s="53">
        <f t="shared" si="6"/>
        <v>5.67945</v>
      </c>
      <c r="M37" s="53">
        <f t="shared" si="7"/>
        <v>68.78445</v>
      </c>
      <c r="N37" s="53">
        <f t="shared" si="8"/>
        <v>137.5689</v>
      </c>
      <c r="O37" s="68" t="s">
        <v>205</v>
      </c>
    </row>
    <row r="38" s="38" customFormat="1" ht="48.95" customHeight="1" spans="1:15">
      <c r="A38" s="50">
        <v>12</v>
      </c>
      <c r="B38" s="51" t="s">
        <v>209</v>
      </c>
      <c r="C38" s="51" t="s">
        <v>210</v>
      </c>
      <c r="D38" s="52" t="s">
        <v>100</v>
      </c>
      <c r="E38" s="52">
        <v>1</v>
      </c>
      <c r="F38" s="52">
        <v>15</v>
      </c>
      <c r="G38" s="53">
        <f t="shared" si="5"/>
        <v>35</v>
      </c>
      <c r="H38" s="53">
        <v>35</v>
      </c>
      <c r="I38" s="59">
        <v>0</v>
      </c>
      <c r="J38" s="53">
        <v>0.1</v>
      </c>
      <c r="K38" s="53">
        <f t="shared" si="4"/>
        <v>2.505</v>
      </c>
      <c r="L38" s="53">
        <f t="shared" si="6"/>
        <v>4.73445</v>
      </c>
      <c r="M38" s="53">
        <f t="shared" si="7"/>
        <v>57.33945</v>
      </c>
      <c r="N38" s="53">
        <f t="shared" si="8"/>
        <v>57.33945</v>
      </c>
      <c r="O38" s="68" t="s">
        <v>205</v>
      </c>
    </row>
    <row r="39" s="38" customFormat="1" ht="48.95" customHeight="1" spans="1:15">
      <c r="A39" s="50">
        <v>13</v>
      </c>
      <c r="B39" s="51" t="s">
        <v>209</v>
      </c>
      <c r="C39" s="51" t="s">
        <v>211</v>
      </c>
      <c r="D39" s="52" t="s">
        <v>100</v>
      </c>
      <c r="E39" s="52">
        <v>1</v>
      </c>
      <c r="F39" s="52">
        <v>15</v>
      </c>
      <c r="G39" s="53">
        <f t="shared" si="5"/>
        <v>40</v>
      </c>
      <c r="H39" s="53">
        <v>40</v>
      </c>
      <c r="I39" s="59">
        <v>0</v>
      </c>
      <c r="J39" s="53">
        <v>0.1</v>
      </c>
      <c r="K39" s="53">
        <f t="shared" si="4"/>
        <v>2.755</v>
      </c>
      <c r="L39" s="53">
        <f t="shared" si="6"/>
        <v>5.20695</v>
      </c>
      <c r="M39" s="53">
        <f t="shared" si="7"/>
        <v>63.06195</v>
      </c>
      <c r="N39" s="53">
        <f t="shared" si="8"/>
        <v>63.06195</v>
      </c>
      <c r="O39" s="68" t="s">
        <v>205</v>
      </c>
    </row>
    <row r="40" s="39" customFormat="1" ht="48.95" customHeight="1" spans="1:15">
      <c r="A40" s="50">
        <v>14</v>
      </c>
      <c r="B40" s="51" t="s">
        <v>209</v>
      </c>
      <c r="C40" s="51" t="s">
        <v>212</v>
      </c>
      <c r="D40" s="52" t="s">
        <v>100</v>
      </c>
      <c r="E40" s="52">
        <v>14</v>
      </c>
      <c r="F40" s="52">
        <v>15</v>
      </c>
      <c r="G40" s="53">
        <f t="shared" si="5"/>
        <v>40</v>
      </c>
      <c r="H40" s="53">
        <v>40</v>
      </c>
      <c r="I40" s="59">
        <v>0</v>
      </c>
      <c r="J40" s="53">
        <v>0.1</v>
      </c>
      <c r="K40" s="53">
        <f t="shared" ref="K40:K73" si="9">(F40+G40+J40)*0.05</f>
        <v>2.755</v>
      </c>
      <c r="L40" s="53">
        <f t="shared" si="6"/>
        <v>5.20695</v>
      </c>
      <c r="M40" s="53">
        <f t="shared" si="7"/>
        <v>63.06195</v>
      </c>
      <c r="N40" s="53">
        <f t="shared" si="8"/>
        <v>882.8673</v>
      </c>
      <c r="O40" s="68" t="s">
        <v>205</v>
      </c>
    </row>
    <row r="41" s="38" customFormat="1" ht="48.95" customHeight="1" spans="1:15">
      <c r="A41" s="50">
        <v>15</v>
      </c>
      <c r="B41" s="51" t="s">
        <v>209</v>
      </c>
      <c r="C41" s="51" t="s">
        <v>213</v>
      </c>
      <c r="D41" s="52" t="s">
        <v>100</v>
      </c>
      <c r="E41" s="52">
        <v>6</v>
      </c>
      <c r="F41" s="52">
        <v>15</v>
      </c>
      <c r="G41" s="53">
        <f t="shared" si="5"/>
        <v>50</v>
      </c>
      <c r="H41" s="53">
        <v>50</v>
      </c>
      <c r="I41" s="59">
        <v>0</v>
      </c>
      <c r="J41" s="53">
        <v>0.1</v>
      </c>
      <c r="K41" s="53">
        <f t="shared" si="9"/>
        <v>3.255</v>
      </c>
      <c r="L41" s="53">
        <f t="shared" si="6"/>
        <v>6.15195</v>
      </c>
      <c r="M41" s="53">
        <f t="shared" si="7"/>
        <v>74.50695</v>
      </c>
      <c r="N41" s="53">
        <f t="shared" si="8"/>
        <v>447.0417</v>
      </c>
      <c r="O41" s="68" t="s">
        <v>205</v>
      </c>
    </row>
    <row r="42" s="38" customFormat="1" ht="48.95" customHeight="1" spans="1:15">
      <c r="A42" s="50">
        <v>16</v>
      </c>
      <c r="B42" s="51" t="s">
        <v>209</v>
      </c>
      <c r="C42" s="51" t="s">
        <v>214</v>
      </c>
      <c r="D42" s="52" t="s">
        <v>100</v>
      </c>
      <c r="E42" s="52">
        <v>13</v>
      </c>
      <c r="F42" s="52">
        <v>15</v>
      </c>
      <c r="G42" s="53">
        <f t="shared" si="5"/>
        <v>40</v>
      </c>
      <c r="H42" s="53">
        <v>40</v>
      </c>
      <c r="I42" s="59">
        <v>0</v>
      </c>
      <c r="J42" s="53">
        <v>0.1</v>
      </c>
      <c r="K42" s="53">
        <f t="shared" si="9"/>
        <v>2.755</v>
      </c>
      <c r="L42" s="53">
        <f t="shared" si="6"/>
        <v>5.20695</v>
      </c>
      <c r="M42" s="53">
        <f t="shared" si="7"/>
        <v>63.06195</v>
      </c>
      <c r="N42" s="53">
        <f t="shared" si="8"/>
        <v>819.80535</v>
      </c>
      <c r="O42" s="68" t="s">
        <v>205</v>
      </c>
    </row>
    <row r="43" s="38" customFormat="1" ht="54" customHeight="1" spans="1:15">
      <c r="A43" s="50">
        <v>17</v>
      </c>
      <c r="B43" s="51" t="s">
        <v>209</v>
      </c>
      <c r="C43" s="51" t="s">
        <v>215</v>
      </c>
      <c r="D43" s="52" t="s">
        <v>100</v>
      </c>
      <c r="E43" s="52">
        <v>6</v>
      </c>
      <c r="F43" s="52">
        <v>15</v>
      </c>
      <c r="G43" s="53">
        <f t="shared" si="5"/>
        <v>40</v>
      </c>
      <c r="H43" s="53">
        <v>40</v>
      </c>
      <c r="I43" s="59">
        <v>0</v>
      </c>
      <c r="J43" s="53">
        <v>0.1</v>
      </c>
      <c r="K43" s="53">
        <f t="shared" si="9"/>
        <v>2.755</v>
      </c>
      <c r="L43" s="53">
        <f t="shared" si="6"/>
        <v>5.20695</v>
      </c>
      <c r="M43" s="53">
        <f t="shared" si="7"/>
        <v>63.06195</v>
      </c>
      <c r="N43" s="53">
        <f t="shared" si="8"/>
        <v>378.3717</v>
      </c>
      <c r="O43" s="68" t="s">
        <v>205</v>
      </c>
    </row>
    <row r="44" s="38" customFormat="1" ht="48.95" customHeight="1" spans="1:15">
      <c r="A44" s="50">
        <v>18</v>
      </c>
      <c r="B44" s="51" t="s">
        <v>209</v>
      </c>
      <c r="C44" s="51" t="s">
        <v>216</v>
      </c>
      <c r="D44" s="52" t="s">
        <v>100</v>
      </c>
      <c r="E44" s="52">
        <v>2</v>
      </c>
      <c r="F44" s="52">
        <v>15</v>
      </c>
      <c r="G44" s="53">
        <f t="shared" si="5"/>
        <v>40</v>
      </c>
      <c r="H44" s="53">
        <v>40</v>
      </c>
      <c r="I44" s="59">
        <v>0</v>
      </c>
      <c r="J44" s="53">
        <v>0.1</v>
      </c>
      <c r="K44" s="53">
        <f t="shared" si="9"/>
        <v>2.755</v>
      </c>
      <c r="L44" s="53">
        <f t="shared" si="6"/>
        <v>5.20695</v>
      </c>
      <c r="M44" s="53">
        <f t="shared" si="7"/>
        <v>63.06195</v>
      </c>
      <c r="N44" s="53">
        <f t="shared" si="8"/>
        <v>126.1239</v>
      </c>
      <c r="O44" s="68" t="s">
        <v>205</v>
      </c>
    </row>
    <row r="45" s="38" customFormat="1" ht="48.95" customHeight="1" spans="1:15">
      <c r="A45" s="50">
        <v>19</v>
      </c>
      <c r="B45" s="51" t="s">
        <v>209</v>
      </c>
      <c r="C45" s="51" t="s">
        <v>217</v>
      </c>
      <c r="D45" s="52" t="s">
        <v>100</v>
      </c>
      <c r="E45" s="52">
        <v>2</v>
      </c>
      <c r="F45" s="52">
        <v>15</v>
      </c>
      <c r="G45" s="53">
        <f t="shared" si="5"/>
        <v>40</v>
      </c>
      <c r="H45" s="53">
        <v>40</v>
      </c>
      <c r="I45" s="59">
        <v>0</v>
      </c>
      <c r="J45" s="53">
        <v>0.1</v>
      </c>
      <c r="K45" s="53">
        <f t="shared" si="9"/>
        <v>2.755</v>
      </c>
      <c r="L45" s="53">
        <f t="shared" si="6"/>
        <v>5.20695</v>
      </c>
      <c r="M45" s="53">
        <f t="shared" si="7"/>
        <v>63.06195</v>
      </c>
      <c r="N45" s="53">
        <f t="shared" si="8"/>
        <v>126.1239</v>
      </c>
      <c r="O45" s="68" t="s">
        <v>205</v>
      </c>
    </row>
    <row r="46" s="38" customFormat="1" ht="50" customHeight="1" spans="1:15">
      <c r="A46" s="50">
        <v>20</v>
      </c>
      <c r="B46" s="51" t="s">
        <v>209</v>
      </c>
      <c r="C46" s="51" t="s">
        <v>218</v>
      </c>
      <c r="D46" s="52" t="s">
        <v>100</v>
      </c>
      <c r="E46" s="52">
        <v>2</v>
      </c>
      <c r="F46" s="52">
        <v>60</v>
      </c>
      <c r="G46" s="53">
        <f t="shared" si="5"/>
        <v>290</v>
      </c>
      <c r="H46" s="53">
        <v>290</v>
      </c>
      <c r="I46" s="59">
        <v>0</v>
      </c>
      <c r="J46" s="53">
        <v>0.1</v>
      </c>
      <c r="K46" s="53">
        <f t="shared" si="9"/>
        <v>17.505</v>
      </c>
      <c r="L46" s="53">
        <f t="shared" si="6"/>
        <v>33.08445</v>
      </c>
      <c r="M46" s="53">
        <f t="shared" si="7"/>
        <v>400.68945</v>
      </c>
      <c r="N46" s="53">
        <f t="shared" si="8"/>
        <v>801.3789</v>
      </c>
      <c r="O46" s="68" t="s">
        <v>205</v>
      </c>
    </row>
    <row r="47" s="38" customFormat="1" ht="48.95" customHeight="1" spans="1:15">
      <c r="A47" s="50">
        <v>21</v>
      </c>
      <c r="B47" s="51" t="s">
        <v>219</v>
      </c>
      <c r="C47" s="51" t="s">
        <v>220</v>
      </c>
      <c r="D47" s="52" t="s">
        <v>174</v>
      </c>
      <c r="E47" s="52">
        <v>10</v>
      </c>
      <c r="F47" s="52">
        <v>30</v>
      </c>
      <c r="G47" s="53">
        <f t="shared" si="5"/>
        <v>150</v>
      </c>
      <c r="H47" s="53">
        <v>150</v>
      </c>
      <c r="I47" s="59">
        <v>0</v>
      </c>
      <c r="J47" s="53">
        <v>0.1</v>
      </c>
      <c r="K47" s="53">
        <f t="shared" si="9"/>
        <v>9.005</v>
      </c>
      <c r="L47" s="53">
        <f t="shared" si="6"/>
        <v>17.01945</v>
      </c>
      <c r="M47" s="53">
        <f t="shared" si="7"/>
        <v>206.12445</v>
      </c>
      <c r="N47" s="53">
        <f t="shared" si="8"/>
        <v>2061.2445</v>
      </c>
      <c r="O47" s="68" t="s">
        <v>221</v>
      </c>
    </row>
    <row r="48" s="38" customFormat="1" ht="48.95" customHeight="1" spans="1:15">
      <c r="A48" s="50">
        <v>22</v>
      </c>
      <c r="B48" s="51" t="s">
        <v>219</v>
      </c>
      <c r="C48" s="51" t="s">
        <v>222</v>
      </c>
      <c r="D48" s="52" t="s">
        <v>174</v>
      </c>
      <c r="E48" s="52">
        <v>27</v>
      </c>
      <c r="F48" s="52">
        <v>30</v>
      </c>
      <c r="G48" s="53">
        <f t="shared" si="5"/>
        <v>100</v>
      </c>
      <c r="H48" s="53">
        <v>100</v>
      </c>
      <c r="I48" s="59">
        <v>0</v>
      </c>
      <c r="J48" s="53">
        <v>0.1</v>
      </c>
      <c r="K48" s="53">
        <f t="shared" si="9"/>
        <v>6.505</v>
      </c>
      <c r="L48" s="53">
        <f t="shared" si="6"/>
        <v>12.29445</v>
      </c>
      <c r="M48" s="53">
        <f t="shared" si="7"/>
        <v>148.89945</v>
      </c>
      <c r="N48" s="53">
        <f t="shared" si="8"/>
        <v>4020.28515</v>
      </c>
      <c r="O48" s="68" t="s">
        <v>221</v>
      </c>
    </row>
    <row r="49" s="38" customFormat="1" ht="48.95" customHeight="1" spans="1:15">
      <c r="A49" s="50">
        <v>23</v>
      </c>
      <c r="B49" s="51" t="s">
        <v>219</v>
      </c>
      <c r="C49" s="51" t="s">
        <v>223</v>
      </c>
      <c r="D49" s="52" t="s">
        <v>80</v>
      </c>
      <c r="E49" s="52">
        <f>2.44+2.27+3.82+4.43*2+3.2</f>
        <v>20.59</v>
      </c>
      <c r="F49" s="52">
        <v>15</v>
      </c>
      <c r="G49" s="53">
        <f t="shared" si="5"/>
        <v>45</v>
      </c>
      <c r="H49" s="53">
        <v>45</v>
      </c>
      <c r="I49" s="59">
        <v>0</v>
      </c>
      <c r="J49" s="53">
        <v>0.1</v>
      </c>
      <c r="K49" s="53">
        <f t="shared" si="9"/>
        <v>3.005</v>
      </c>
      <c r="L49" s="53">
        <f t="shared" si="6"/>
        <v>5.67945</v>
      </c>
      <c r="M49" s="53">
        <f t="shared" si="7"/>
        <v>68.78445</v>
      </c>
      <c r="N49" s="53">
        <f t="shared" si="8"/>
        <v>1416.2718255</v>
      </c>
      <c r="O49" s="68" t="s">
        <v>221</v>
      </c>
    </row>
    <row r="50" s="38" customFormat="1" ht="48.95" customHeight="1" spans="1:15">
      <c r="A50" s="50">
        <v>24</v>
      </c>
      <c r="B50" s="51" t="s">
        <v>219</v>
      </c>
      <c r="C50" s="51" t="s">
        <v>224</v>
      </c>
      <c r="D50" s="52" t="s">
        <v>80</v>
      </c>
      <c r="E50" s="52">
        <f>4.5*2+2.85*3</f>
        <v>17.55</v>
      </c>
      <c r="F50" s="52">
        <v>130</v>
      </c>
      <c r="G50" s="53">
        <f t="shared" si="5"/>
        <v>155</v>
      </c>
      <c r="H50" s="53">
        <v>155</v>
      </c>
      <c r="I50" s="59">
        <v>0</v>
      </c>
      <c r="J50" s="53">
        <v>0.1</v>
      </c>
      <c r="K50" s="53">
        <f t="shared" si="9"/>
        <v>14.255</v>
      </c>
      <c r="L50" s="53">
        <f t="shared" si="6"/>
        <v>26.94195</v>
      </c>
      <c r="M50" s="53">
        <f t="shared" si="7"/>
        <v>326.29695</v>
      </c>
      <c r="N50" s="53">
        <f t="shared" si="8"/>
        <v>5726.5114725</v>
      </c>
      <c r="O50" s="68" t="s">
        <v>221</v>
      </c>
    </row>
    <row r="51" s="38" customFormat="1" ht="48.95" customHeight="1" spans="1:15">
      <c r="A51" s="50">
        <v>25</v>
      </c>
      <c r="B51" s="51" t="s">
        <v>219</v>
      </c>
      <c r="C51" s="51" t="s">
        <v>225</v>
      </c>
      <c r="D51" s="52" t="s">
        <v>100</v>
      </c>
      <c r="E51" s="52">
        <v>3</v>
      </c>
      <c r="F51" s="52">
        <v>15</v>
      </c>
      <c r="G51" s="53">
        <f t="shared" si="5"/>
        <v>130</v>
      </c>
      <c r="H51" s="53">
        <v>130</v>
      </c>
      <c r="I51" s="59">
        <v>0</v>
      </c>
      <c r="J51" s="53">
        <v>0.1</v>
      </c>
      <c r="K51" s="53">
        <f t="shared" si="9"/>
        <v>7.255</v>
      </c>
      <c r="L51" s="53">
        <f t="shared" si="6"/>
        <v>13.71195</v>
      </c>
      <c r="M51" s="53">
        <f t="shared" si="7"/>
        <v>166.06695</v>
      </c>
      <c r="N51" s="53">
        <f t="shared" si="8"/>
        <v>498.20085</v>
      </c>
      <c r="O51" s="68" t="s">
        <v>221</v>
      </c>
    </row>
    <row r="52" s="38" customFormat="1" ht="48.95" customHeight="1" spans="1:15">
      <c r="A52" s="50">
        <v>26</v>
      </c>
      <c r="B52" s="51" t="s">
        <v>226</v>
      </c>
      <c r="C52" s="51" t="s">
        <v>227</v>
      </c>
      <c r="D52" s="52" t="s">
        <v>174</v>
      </c>
      <c r="E52" s="52">
        <v>2</v>
      </c>
      <c r="F52" s="52">
        <v>70</v>
      </c>
      <c r="G52" s="53">
        <f t="shared" si="5"/>
        <v>550</v>
      </c>
      <c r="H52" s="53">
        <v>550</v>
      </c>
      <c r="I52" s="59">
        <v>0</v>
      </c>
      <c r="J52" s="53">
        <v>0.1</v>
      </c>
      <c r="K52" s="53">
        <f t="shared" si="9"/>
        <v>31.005</v>
      </c>
      <c r="L52" s="53">
        <f t="shared" si="6"/>
        <v>58.59945</v>
      </c>
      <c r="M52" s="53">
        <f t="shared" si="7"/>
        <v>709.70445</v>
      </c>
      <c r="N52" s="53">
        <f t="shared" si="8"/>
        <v>1419.4089</v>
      </c>
      <c r="O52" s="68" t="s">
        <v>221</v>
      </c>
    </row>
    <row r="53" s="38" customFormat="1" ht="48.95" customHeight="1" spans="1:15">
      <c r="A53" s="50">
        <v>27</v>
      </c>
      <c r="B53" s="51" t="s">
        <v>219</v>
      </c>
      <c r="C53" s="51" t="s">
        <v>228</v>
      </c>
      <c r="D53" s="52" t="s">
        <v>174</v>
      </c>
      <c r="E53" s="52">
        <v>1</v>
      </c>
      <c r="F53" s="52">
        <v>350</v>
      </c>
      <c r="G53" s="53">
        <f t="shared" si="5"/>
        <v>1000</v>
      </c>
      <c r="H53" s="56">
        <v>1000</v>
      </c>
      <c r="I53" s="59">
        <v>0</v>
      </c>
      <c r="J53" s="53">
        <v>0.1</v>
      </c>
      <c r="K53" s="53">
        <f t="shared" si="9"/>
        <v>67.505</v>
      </c>
      <c r="L53" s="53">
        <f t="shared" si="6"/>
        <v>127.58445</v>
      </c>
      <c r="M53" s="53">
        <f t="shared" si="7"/>
        <v>1545.18945</v>
      </c>
      <c r="N53" s="53">
        <f t="shared" si="8"/>
        <v>1545.18945</v>
      </c>
      <c r="O53" s="68"/>
    </row>
    <row r="54" s="38" customFormat="1" ht="48" customHeight="1" spans="1:15">
      <c r="A54" s="50">
        <v>28</v>
      </c>
      <c r="B54" s="51" t="s">
        <v>219</v>
      </c>
      <c r="C54" s="51" t="s">
        <v>229</v>
      </c>
      <c r="D54" s="52" t="s">
        <v>174</v>
      </c>
      <c r="E54" s="52">
        <v>1</v>
      </c>
      <c r="F54" s="52">
        <v>350</v>
      </c>
      <c r="G54" s="53">
        <f t="shared" si="5"/>
        <v>1000</v>
      </c>
      <c r="H54" s="56">
        <v>1000</v>
      </c>
      <c r="I54" s="59">
        <v>0</v>
      </c>
      <c r="J54" s="53">
        <v>0.1</v>
      </c>
      <c r="K54" s="53">
        <f t="shared" si="9"/>
        <v>67.505</v>
      </c>
      <c r="L54" s="53">
        <f t="shared" si="6"/>
        <v>127.58445</v>
      </c>
      <c r="M54" s="53">
        <f t="shared" si="7"/>
        <v>1545.18945</v>
      </c>
      <c r="N54" s="53">
        <f t="shared" si="8"/>
        <v>1545.18945</v>
      </c>
      <c r="O54" s="68"/>
    </row>
    <row r="55" s="38" customFormat="1" ht="39" customHeight="1" spans="1:15">
      <c r="A55" s="50">
        <v>29</v>
      </c>
      <c r="B55" s="51" t="s">
        <v>219</v>
      </c>
      <c r="C55" s="51" t="s">
        <v>230</v>
      </c>
      <c r="D55" s="52" t="s">
        <v>174</v>
      </c>
      <c r="E55" s="52">
        <v>3</v>
      </c>
      <c r="F55" s="52">
        <v>15</v>
      </c>
      <c r="G55" s="53">
        <f t="shared" si="5"/>
        <v>130</v>
      </c>
      <c r="H55" s="53">
        <v>130</v>
      </c>
      <c r="I55" s="59">
        <v>0</v>
      </c>
      <c r="J55" s="53">
        <v>0.1</v>
      </c>
      <c r="K55" s="53">
        <f t="shared" si="9"/>
        <v>7.255</v>
      </c>
      <c r="L55" s="53">
        <f t="shared" si="6"/>
        <v>13.71195</v>
      </c>
      <c r="M55" s="53">
        <f t="shared" si="7"/>
        <v>166.06695</v>
      </c>
      <c r="N55" s="53">
        <f t="shared" si="8"/>
        <v>498.20085</v>
      </c>
      <c r="O55" s="68" t="s">
        <v>221</v>
      </c>
    </row>
    <row r="56" s="38" customFormat="1" ht="41" customHeight="1" spans="1:15">
      <c r="A56" s="50">
        <v>30</v>
      </c>
      <c r="B56" s="51" t="s">
        <v>219</v>
      </c>
      <c r="C56" s="51" t="s">
        <v>231</v>
      </c>
      <c r="D56" s="52" t="s">
        <v>174</v>
      </c>
      <c r="E56" s="52">
        <v>1</v>
      </c>
      <c r="F56" s="52">
        <v>15</v>
      </c>
      <c r="G56" s="53">
        <f t="shared" si="5"/>
        <v>100</v>
      </c>
      <c r="H56" s="53">
        <v>100</v>
      </c>
      <c r="I56" s="59">
        <v>0</v>
      </c>
      <c r="J56" s="53">
        <v>0.1</v>
      </c>
      <c r="K56" s="53">
        <f t="shared" si="9"/>
        <v>5.755</v>
      </c>
      <c r="L56" s="53">
        <f t="shared" si="6"/>
        <v>10.87695</v>
      </c>
      <c r="M56" s="53">
        <f t="shared" si="7"/>
        <v>131.73195</v>
      </c>
      <c r="N56" s="53">
        <f t="shared" si="8"/>
        <v>131.73195</v>
      </c>
      <c r="O56" s="68" t="s">
        <v>221</v>
      </c>
    </row>
    <row r="57" s="38" customFormat="1" ht="41" customHeight="1" spans="1:15">
      <c r="A57" s="50">
        <v>31</v>
      </c>
      <c r="B57" s="51" t="s">
        <v>219</v>
      </c>
      <c r="C57" s="51" t="s">
        <v>232</v>
      </c>
      <c r="D57" s="52" t="s">
        <v>174</v>
      </c>
      <c r="E57" s="52">
        <v>1</v>
      </c>
      <c r="F57" s="52">
        <v>15</v>
      </c>
      <c r="G57" s="53">
        <f t="shared" si="5"/>
        <v>100</v>
      </c>
      <c r="H57" s="53">
        <v>100</v>
      </c>
      <c r="I57" s="59">
        <v>0</v>
      </c>
      <c r="J57" s="53">
        <v>0.1</v>
      </c>
      <c r="K57" s="53">
        <f t="shared" si="9"/>
        <v>5.755</v>
      </c>
      <c r="L57" s="53">
        <f t="shared" si="6"/>
        <v>10.87695</v>
      </c>
      <c r="M57" s="53">
        <f t="shared" si="7"/>
        <v>131.73195</v>
      </c>
      <c r="N57" s="53">
        <f t="shared" si="8"/>
        <v>131.73195</v>
      </c>
      <c r="O57" s="68" t="s">
        <v>221</v>
      </c>
    </row>
    <row r="58" s="38" customFormat="1" ht="41" customHeight="1" spans="1:15">
      <c r="A58" s="50">
        <v>32</v>
      </c>
      <c r="B58" s="51" t="s">
        <v>219</v>
      </c>
      <c r="C58" s="51" t="s">
        <v>233</v>
      </c>
      <c r="D58" s="52" t="s">
        <v>174</v>
      </c>
      <c r="E58" s="52">
        <v>1</v>
      </c>
      <c r="F58" s="52">
        <v>15</v>
      </c>
      <c r="G58" s="53">
        <f t="shared" si="5"/>
        <v>116</v>
      </c>
      <c r="H58" s="53">
        <v>116</v>
      </c>
      <c r="I58" s="59">
        <v>0</v>
      </c>
      <c r="J58" s="53">
        <v>0.1</v>
      </c>
      <c r="K58" s="53">
        <f t="shared" si="9"/>
        <v>6.555</v>
      </c>
      <c r="L58" s="53">
        <f t="shared" si="6"/>
        <v>12.38895</v>
      </c>
      <c r="M58" s="53">
        <f t="shared" si="7"/>
        <v>150.04395</v>
      </c>
      <c r="N58" s="53">
        <f t="shared" si="8"/>
        <v>150.04395</v>
      </c>
      <c r="O58" s="68" t="s">
        <v>221</v>
      </c>
    </row>
    <row r="59" s="38" customFormat="1" ht="41" customHeight="1" spans="1:15">
      <c r="A59" s="50">
        <v>33</v>
      </c>
      <c r="B59" s="51" t="s">
        <v>219</v>
      </c>
      <c r="C59" s="51" t="s">
        <v>234</v>
      </c>
      <c r="D59" s="52" t="s">
        <v>174</v>
      </c>
      <c r="E59" s="52">
        <v>1</v>
      </c>
      <c r="F59" s="52">
        <v>15</v>
      </c>
      <c r="G59" s="53">
        <f t="shared" si="5"/>
        <v>100</v>
      </c>
      <c r="H59" s="53">
        <v>100</v>
      </c>
      <c r="I59" s="59">
        <v>0</v>
      </c>
      <c r="J59" s="53">
        <v>0.1</v>
      </c>
      <c r="K59" s="53">
        <f t="shared" si="9"/>
        <v>5.755</v>
      </c>
      <c r="L59" s="53">
        <f t="shared" si="6"/>
        <v>10.87695</v>
      </c>
      <c r="M59" s="53">
        <f t="shared" si="7"/>
        <v>131.73195</v>
      </c>
      <c r="N59" s="53">
        <f t="shared" si="8"/>
        <v>131.73195</v>
      </c>
      <c r="O59" s="68" t="s">
        <v>221</v>
      </c>
    </row>
    <row r="60" s="38" customFormat="1" ht="41" customHeight="1" spans="1:15">
      <c r="A60" s="50">
        <v>34</v>
      </c>
      <c r="B60" s="51" t="s">
        <v>219</v>
      </c>
      <c r="C60" s="51" t="s">
        <v>235</v>
      </c>
      <c r="D60" s="52" t="s">
        <v>80</v>
      </c>
      <c r="E60" s="52">
        <v>1</v>
      </c>
      <c r="F60" s="52">
        <v>35</v>
      </c>
      <c r="G60" s="53">
        <f t="shared" si="5"/>
        <v>95</v>
      </c>
      <c r="H60" s="53">
        <v>95</v>
      </c>
      <c r="I60" s="59">
        <v>0</v>
      </c>
      <c r="J60" s="53">
        <v>0.1</v>
      </c>
      <c r="K60" s="53">
        <f t="shared" si="9"/>
        <v>6.505</v>
      </c>
      <c r="L60" s="53">
        <f t="shared" si="6"/>
        <v>12.29445</v>
      </c>
      <c r="M60" s="53">
        <f t="shared" si="7"/>
        <v>148.89945</v>
      </c>
      <c r="N60" s="53">
        <f t="shared" si="8"/>
        <v>148.89945</v>
      </c>
      <c r="O60" s="68" t="s">
        <v>221</v>
      </c>
    </row>
    <row r="61" s="38" customFormat="1" ht="41" customHeight="1" spans="1:15">
      <c r="A61" s="50">
        <v>35</v>
      </c>
      <c r="B61" s="51" t="s">
        <v>219</v>
      </c>
      <c r="C61" s="51" t="s">
        <v>236</v>
      </c>
      <c r="D61" s="52" t="s">
        <v>80</v>
      </c>
      <c r="E61" s="52">
        <v>1</v>
      </c>
      <c r="F61" s="52">
        <v>40</v>
      </c>
      <c r="G61" s="53">
        <f t="shared" si="5"/>
        <v>46.35</v>
      </c>
      <c r="H61" s="53">
        <v>45</v>
      </c>
      <c r="I61" s="59">
        <v>0.03</v>
      </c>
      <c r="J61" s="53">
        <v>0.1</v>
      </c>
      <c r="K61" s="53">
        <f t="shared" si="9"/>
        <v>4.3225</v>
      </c>
      <c r="L61" s="53">
        <f t="shared" si="6"/>
        <v>8.169525</v>
      </c>
      <c r="M61" s="53">
        <f t="shared" si="7"/>
        <v>98.942025</v>
      </c>
      <c r="N61" s="53">
        <f t="shared" si="8"/>
        <v>98.942025</v>
      </c>
      <c r="O61" s="68" t="s">
        <v>221</v>
      </c>
    </row>
    <row r="62" s="38" customFormat="1" ht="41" customHeight="1" spans="1:15">
      <c r="A62" s="50">
        <v>36</v>
      </c>
      <c r="B62" s="51" t="s">
        <v>219</v>
      </c>
      <c r="C62" s="51" t="s">
        <v>237</v>
      </c>
      <c r="D62" s="52" t="s">
        <v>80</v>
      </c>
      <c r="E62" s="52">
        <v>1</v>
      </c>
      <c r="F62" s="52">
        <v>40</v>
      </c>
      <c r="G62" s="53">
        <f t="shared" si="5"/>
        <v>46.35</v>
      </c>
      <c r="H62" s="53">
        <v>45</v>
      </c>
      <c r="I62" s="59">
        <v>0.03</v>
      </c>
      <c r="J62" s="53">
        <v>0.1</v>
      </c>
      <c r="K62" s="53">
        <f t="shared" si="9"/>
        <v>4.3225</v>
      </c>
      <c r="L62" s="53">
        <f t="shared" si="6"/>
        <v>8.169525</v>
      </c>
      <c r="M62" s="53">
        <f t="shared" si="7"/>
        <v>98.942025</v>
      </c>
      <c r="N62" s="53">
        <f t="shared" si="8"/>
        <v>98.942025</v>
      </c>
      <c r="O62" s="68" t="s">
        <v>221</v>
      </c>
    </row>
    <row r="63" s="40" customFormat="1" ht="41" customHeight="1" spans="1:15">
      <c r="A63" s="50">
        <v>37</v>
      </c>
      <c r="B63" s="51" t="s">
        <v>219</v>
      </c>
      <c r="C63" s="51" t="s">
        <v>238</v>
      </c>
      <c r="D63" s="52" t="s">
        <v>174</v>
      </c>
      <c r="E63" s="52">
        <v>1</v>
      </c>
      <c r="F63" s="52">
        <v>40</v>
      </c>
      <c r="G63" s="53">
        <f t="shared" si="5"/>
        <v>70</v>
      </c>
      <c r="H63" s="53">
        <v>70</v>
      </c>
      <c r="I63" s="59">
        <v>0</v>
      </c>
      <c r="J63" s="53">
        <v>0.1</v>
      </c>
      <c r="K63" s="53">
        <f t="shared" si="9"/>
        <v>5.505</v>
      </c>
      <c r="L63" s="53">
        <f t="shared" si="6"/>
        <v>10.40445</v>
      </c>
      <c r="M63" s="53">
        <f t="shared" si="7"/>
        <v>126.00945</v>
      </c>
      <c r="N63" s="53">
        <f t="shared" si="8"/>
        <v>126.00945</v>
      </c>
      <c r="O63" s="68" t="s">
        <v>221</v>
      </c>
    </row>
    <row r="64" ht="41" customHeight="1" spans="1:15">
      <c r="A64" s="50">
        <v>38</v>
      </c>
      <c r="B64" s="51" t="s">
        <v>219</v>
      </c>
      <c r="C64" s="51" t="s">
        <v>239</v>
      </c>
      <c r="D64" s="52" t="s">
        <v>174</v>
      </c>
      <c r="E64" s="52">
        <v>1</v>
      </c>
      <c r="F64" s="52">
        <v>15</v>
      </c>
      <c r="G64" s="53">
        <f t="shared" si="5"/>
        <v>120</v>
      </c>
      <c r="H64" s="53">
        <v>120</v>
      </c>
      <c r="I64" s="59">
        <v>0</v>
      </c>
      <c r="J64" s="53">
        <v>0.1</v>
      </c>
      <c r="K64" s="53">
        <f t="shared" si="9"/>
        <v>6.755</v>
      </c>
      <c r="L64" s="53">
        <f t="shared" si="6"/>
        <v>12.76695</v>
      </c>
      <c r="M64" s="53">
        <f t="shared" si="7"/>
        <v>154.62195</v>
      </c>
      <c r="N64" s="53">
        <f t="shared" si="8"/>
        <v>154.62195</v>
      </c>
      <c r="O64" s="68" t="s">
        <v>221</v>
      </c>
    </row>
    <row r="65" ht="45" spans="1:15">
      <c r="A65" s="50">
        <v>39</v>
      </c>
      <c r="B65" s="51" t="s">
        <v>219</v>
      </c>
      <c r="C65" s="51" t="s">
        <v>240</v>
      </c>
      <c r="D65" s="52" t="s">
        <v>174</v>
      </c>
      <c r="E65" s="52">
        <v>1</v>
      </c>
      <c r="F65" s="52">
        <v>15</v>
      </c>
      <c r="G65" s="53">
        <f t="shared" si="5"/>
        <v>150</v>
      </c>
      <c r="H65" s="53">
        <v>150</v>
      </c>
      <c r="I65" s="59">
        <v>0</v>
      </c>
      <c r="J65" s="53">
        <v>0.1</v>
      </c>
      <c r="K65" s="53">
        <f t="shared" si="9"/>
        <v>8.255</v>
      </c>
      <c r="L65" s="53">
        <f t="shared" si="6"/>
        <v>15.60195</v>
      </c>
      <c r="M65" s="53">
        <f t="shared" si="7"/>
        <v>188.95695</v>
      </c>
      <c r="N65" s="53">
        <f t="shared" si="8"/>
        <v>188.95695</v>
      </c>
      <c r="O65" s="68" t="s">
        <v>221</v>
      </c>
    </row>
    <row r="66" ht="45" spans="1:15">
      <c r="A66" s="50">
        <v>40</v>
      </c>
      <c r="B66" s="51" t="s">
        <v>219</v>
      </c>
      <c r="C66" s="51" t="s">
        <v>241</v>
      </c>
      <c r="D66" s="52" t="s">
        <v>174</v>
      </c>
      <c r="E66" s="52">
        <v>1</v>
      </c>
      <c r="F66" s="52">
        <v>15</v>
      </c>
      <c r="G66" s="53">
        <f t="shared" si="5"/>
        <v>150</v>
      </c>
      <c r="H66" s="53">
        <v>150</v>
      </c>
      <c r="I66" s="59">
        <v>0</v>
      </c>
      <c r="J66" s="53">
        <v>0.1</v>
      </c>
      <c r="K66" s="53">
        <f t="shared" si="9"/>
        <v>8.255</v>
      </c>
      <c r="L66" s="53">
        <f t="shared" si="6"/>
        <v>15.60195</v>
      </c>
      <c r="M66" s="53">
        <f t="shared" si="7"/>
        <v>188.95695</v>
      </c>
      <c r="N66" s="53">
        <f t="shared" si="8"/>
        <v>188.95695</v>
      </c>
      <c r="O66" s="68" t="s">
        <v>221</v>
      </c>
    </row>
    <row r="67" ht="22" customHeight="1" spans="1:15">
      <c r="A67" s="50" t="s">
        <v>35</v>
      </c>
      <c r="B67" s="51" t="s">
        <v>242</v>
      </c>
      <c r="C67" s="51"/>
      <c r="D67" s="51"/>
      <c r="E67" s="52"/>
      <c r="F67" s="52"/>
      <c r="G67" s="70"/>
      <c r="H67" s="70"/>
      <c r="I67" s="70"/>
      <c r="J67" s="70"/>
      <c r="K67" s="53"/>
      <c r="L67" s="70"/>
      <c r="M67" s="70"/>
      <c r="N67" s="75"/>
      <c r="O67" s="76"/>
    </row>
    <row r="68" ht="28" customHeight="1" spans="1:15">
      <c r="A68" s="50">
        <v>1</v>
      </c>
      <c r="B68" s="51" t="s">
        <v>243</v>
      </c>
      <c r="C68" s="51"/>
      <c r="D68" s="51"/>
      <c r="E68" s="52"/>
      <c r="F68" s="52"/>
      <c r="G68" s="70"/>
      <c r="H68" s="70"/>
      <c r="I68" s="70"/>
      <c r="J68" s="70"/>
      <c r="K68" s="53"/>
      <c r="L68" s="70"/>
      <c r="M68" s="70"/>
      <c r="N68" s="75"/>
      <c r="O68" s="76"/>
    </row>
    <row r="69" ht="33.75" spans="1:15">
      <c r="A69" s="50">
        <v>2</v>
      </c>
      <c r="B69" s="51" t="s">
        <v>244</v>
      </c>
      <c r="C69" s="51" t="s">
        <v>245</v>
      </c>
      <c r="D69" s="52" t="s">
        <v>174</v>
      </c>
      <c r="E69" s="52">
        <v>1</v>
      </c>
      <c r="F69" s="52">
        <v>4500</v>
      </c>
      <c r="G69" s="53">
        <f t="shared" ref="G69:G73" si="10">H69*(1+I69)</f>
        <v>30000</v>
      </c>
      <c r="H69" s="56">
        <v>30000</v>
      </c>
      <c r="I69" s="59">
        <v>0</v>
      </c>
      <c r="J69" s="53">
        <v>50</v>
      </c>
      <c r="K69" s="53">
        <f t="shared" si="9"/>
        <v>1727.5</v>
      </c>
      <c r="L69" s="53">
        <f t="shared" ref="L69:L73" si="11">(F69+G69+J69+K69)*0.09</f>
        <v>3264.975</v>
      </c>
      <c r="M69" s="53">
        <f t="shared" ref="M69:M73" si="12">F69+G69+J69+K69+L69</f>
        <v>39542.475</v>
      </c>
      <c r="N69" s="53">
        <f t="shared" ref="N69:N73" si="13">M69*E69</f>
        <v>39542.475</v>
      </c>
      <c r="O69" s="76" t="s">
        <v>246</v>
      </c>
    </row>
    <row r="70" ht="33.75" spans="1:15">
      <c r="A70" s="50">
        <v>3</v>
      </c>
      <c r="B70" s="51" t="s">
        <v>247</v>
      </c>
      <c r="C70" s="51" t="s">
        <v>248</v>
      </c>
      <c r="D70" s="52" t="s">
        <v>174</v>
      </c>
      <c r="E70" s="52">
        <v>3</v>
      </c>
      <c r="F70" s="52">
        <v>260</v>
      </c>
      <c r="G70" s="53">
        <f t="shared" si="10"/>
        <v>210</v>
      </c>
      <c r="H70" s="53">
        <v>210</v>
      </c>
      <c r="I70" s="59">
        <v>0</v>
      </c>
      <c r="J70" s="53">
        <v>20</v>
      </c>
      <c r="K70" s="53">
        <f t="shared" si="9"/>
        <v>24.5</v>
      </c>
      <c r="L70" s="53">
        <f t="shared" si="11"/>
        <v>46.305</v>
      </c>
      <c r="M70" s="53">
        <f t="shared" si="12"/>
        <v>560.805</v>
      </c>
      <c r="N70" s="53">
        <f t="shared" si="13"/>
        <v>1682.415</v>
      </c>
      <c r="O70" s="76"/>
    </row>
    <row r="71" ht="33.75" spans="1:15">
      <c r="A71" s="50">
        <v>4</v>
      </c>
      <c r="B71" s="51" t="s">
        <v>247</v>
      </c>
      <c r="C71" s="51" t="s">
        <v>249</v>
      </c>
      <c r="D71" s="52" t="s">
        <v>174</v>
      </c>
      <c r="E71" s="52">
        <v>3</v>
      </c>
      <c r="F71" s="52">
        <v>260</v>
      </c>
      <c r="G71" s="53">
        <f t="shared" si="10"/>
        <v>210</v>
      </c>
      <c r="H71" s="53">
        <v>210</v>
      </c>
      <c r="I71" s="59">
        <v>0</v>
      </c>
      <c r="J71" s="53">
        <v>20</v>
      </c>
      <c r="K71" s="53">
        <f t="shared" si="9"/>
        <v>24.5</v>
      </c>
      <c r="L71" s="53">
        <f t="shared" si="11"/>
        <v>46.305</v>
      </c>
      <c r="M71" s="53">
        <f t="shared" si="12"/>
        <v>560.805</v>
      </c>
      <c r="N71" s="53">
        <f t="shared" si="13"/>
        <v>1682.415</v>
      </c>
      <c r="O71" s="76"/>
    </row>
    <row r="72" ht="33.75" spans="1:15">
      <c r="A72" s="50">
        <v>5</v>
      </c>
      <c r="B72" s="51" t="s">
        <v>247</v>
      </c>
      <c r="C72" s="51" t="s">
        <v>250</v>
      </c>
      <c r="D72" s="52" t="s">
        <v>174</v>
      </c>
      <c r="E72" s="52">
        <v>1</v>
      </c>
      <c r="F72" s="52">
        <v>260</v>
      </c>
      <c r="G72" s="53">
        <f t="shared" si="10"/>
        <v>210</v>
      </c>
      <c r="H72" s="53">
        <v>210</v>
      </c>
      <c r="I72" s="59">
        <v>0</v>
      </c>
      <c r="J72" s="53">
        <v>20</v>
      </c>
      <c r="K72" s="53">
        <f t="shared" si="9"/>
        <v>24.5</v>
      </c>
      <c r="L72" s="53">
        <f t="shared" si="11"/>
        <v>46.305</v>
      </c>
      <c r="M72" s="53">
        <f t="shared" si="12"/>
        <v>560.805</v>
      </c>
      <c r="N72" s="53">
        <f t="shared" si="13"/>
        <v>560.805</v>
      </c>
      <c r="O72" s="76"/>
    </row>
    <row r="73" ht="33.75" spans="1:15">
      <c r="A73" s="71">
        <v>6</v>
      </c>
      <c r="B73" s="72" t="s">
        <v>247</v>
      </c>
      <c r="C73" s="72" t="s">
        <v>251</v>
      </c>
      <c r="D73" s="73" t="s">
        <v>174</v>
      </c>
      <c r="E73" s="73">
        <v>1</v>
      </c>
      <c r="F73" s="52">
        <v>260</v>
      </c>
      <c r="G73" s="53">
        <f t="shared" si="10"/>
        <v>210</v>
      </c>
      <c r="H73" s="53">
        <v>210</v>
      </c>
      <c r="I73" s="59">
        <v>0</v>
      </c>
      <c r="J73" s="53">
        <v>20</v>
      </c>
      <c r="K73" s="53">
        <f t="shared" si="9"/>
        <v>24.5</v>
      </c>
      <c r="L73" s="53">
        <f t="shared" si="11"/>
        <v>46.305</v>
      </c>
      <c r="M73" s="53">
        <f t="shared" si="12"/>
        <v>560.805</v>
      </c>
      <c r="N73" s="53">
        <f t="shared" si="13"/>
        <v>560.805</v>
      </c>
      <c r="O73" s="77"/>
    </row>
    <row r="74" ht="27" customHeight="1" spans="1:16">
      <c r="A74" s="70" t="s">
        <v>139</v>
      </c>
      <c r="B74" s="74" t="s">
        <v>252</v>
      </c>
      <c r="C74" s="74"/>
      <c r="D74" s="73" t="s">
        <v>174</v>
      </c>
      <c r="E74" s="70">
        <v>1</v>
      </c>
      <c r="F74" s="70"/>
      <c r="G74" s="70">
        <f>H74</f>
        <v>5000</v>
      </c>
      <c r="H74" s="70">
        <v>5000</v>
      </c>
      <c r="I74" s="70"/>
      <c r="J74" s="70"/>
      <c r="K74" s="53">
        <f>(F74+G74+J74)*0.05</f>
        <v>250</v>
      </c>
      <c r="L74" s="53">
        <f>(F74+G74+J74+K74)*0.09</f>
        <v>472.5</v>
      </c>
      <c r="M74" s="53">
        <f>F74+G74+J74+K74+L74</f>
        <v>5722.5</v>
      </c>
      <c r="N74" s="53">
        <f>M74*E74</f>
        <v>5722.5</v>
      </c>
      <c r="O74" s="76"/>
      <c r="P74" s="74"/>
    </row>
    <row r="75" spans="1:16">
      <c r="A75" s="70"/>
      <c r="B75" s="74"/>
      <c r="C75" s="74"/>
      <c r="D75" s="74"/>
      <c r="E75" s="70"/>
      <c r="F75" s="70"/>
      <c r="G75" s="70"/>
      <c r="H75" s="70"/>
      <c r="I75" s="70"/>
      <c r="J75" s="70"/>
      <c r="K75" s="70"/>
      <c r="L75" s="70"/>
      <c r="M75" s="70"/>
      <c r="N75" s="75"/>
      <c r="O75" s="76"/>
      <c r="P75" s="74"/>
    </row>
    <row r="76" spans="1:16">
      <c r="A76" s="70"/>
      <c r="B76" s="74"/>
      <c r="C76" s="74"/>
      <c r="D76" s="74"/>
      <c r="E76" s="70"/>
      <c r="F76" s="70"/>
      <c r="G76" s="70"/>
      <c r="H76" s="70"/>
      <c r="I76" s="70"/>
      <c r="J76" s="70"/>
      <c r="K76" s="70"/>
      <c r="L76" s="70"/>
      <c r="M76" s="70"/>
      <c r="N76" s="75"/>
      <c r="O76" s="76"/>
      <c r="P76" s="74"/>
    </row>
    <row r="77" spans="14:14">
      <c r="N77" s="43">
        <f>SUM(N7:N76)</f>
        <v>128303.0746956</v>
      </c>
    </row>
  </sheetData>
  <autoFilter xmlns:etc="http://www.wps.cn/officeDocument/2017/etCustomData" ref="A5:P74" etc:filterBottomFollowUsedRange="0">
    <extLst/>
  </autoFilter>
  <mergeCells count="15">
    <mergeCell ref="A1:O1"/>
    <mergeCell ref="A2:F2"/>
    <mergeCell ref="G2:M2"/>
    <mergeCell ref="N2:O2"/>
    <mergeCell ref="F3:L3"/>
    <mergeCell ref="A3:A5"/>
    <mergeCell ref="B3:B5"/>
    <mergeCell ref="C3:C5"/>
    <mergeCell ref="D3:D5"/>
    <mergeCell ref="E3:E5"/>
    <mergeCell ref="F4:F5"/>
    <mergeCell ref="J4:J5"/>
    <mergeCell ref="M3:M5"/>
    <mergeCell ref="N3:N5"/>
    <mergeCell ref="O3:O5"/>
  </mergeCells>
  <pageMargins left="0.751388888888889" right="0.751388888888889" top="1" bottom="1" header="0.5" footer="0.5"/>
  <pageSetup paperSize="9" scale="77"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zoomScale="85" zoomScaleNormal="85" workbookViewId="0">
      <selection activeCell="L13" sqref="L13"/>
    </sheetView>
  </sheetViews>
  <sheetFormatPr defaultColWidth="9.14285714285714" defaultRowHeight="25" customHeight="1" outlineLevelCol="7"/>
  <cols>
    <col min="1" max="1" width="6.71428571428571" style="3" customWidth="1"/>
    <col min="2" max="2" width="20.2857142857143" style="19" customWidth="1"/>
    <col min="3" max="3" width="8.42857142857143" style="3" customWidth="1"/>
    <col min="4" max="4" width="11.7142857142857" customWidth="1"/>
    <col min="5" max="5" width="12.5714285714286" customWidth="1"/>
    <col min="6" max="6" width="29.4285714285714" customWidth="1"/>
    <col min="7" max="7" width="6.71428571428571" customWidth="1"/>
    <col min="8" max="8" width="14"/>
  </cols>
  <sheetData>
    <row r="1" ht="33" customHeight="1" spans="1:6">
      <c r="A1" s="20" t="s">
        <v>253</v>
      </c>
      <c r="B1" s="21"/>
      <c r="C1" s="22"/>
      <c r="D1" s="22"/>
      <c r="E1" s="22"/>
      <c r="F1" s="22"/>
    </row>
    <row r="2" s="18" customFormat="1" customHeight="1" spans="1:8">
      <c r="A2" s="23" t="s">
        <v>42</v>
      </c>
      <c r="B2" s="24" t="s">
        <v>254</v>
      </c>
      <c r="C2" s="23" t="s">
        <v>255</v>
      </c>
      <c r="D2" s="23" t="s">
        <v>256</v>
      </c>
      <c r="E2" s="23" t="s">
        <v>257</v>
      </c>
      <c r="F2" s="23" t="s">
        <v>258</v>
      </c>
      <c r="H2" s="25"/>
    </row>
    <row r="3" s="18" customFormat="1" customHeight="1" spans="1:6">
      <c r="A3" s="23" t="s">
        <v>30</v>
      </c>
      <c r="B3" s="24" t="s">
        <v>259</v>
      </c>
      <c r="C3" s="23"/>
      <c r="D3" s="23"/>
      <c r="E3" s="23"/>
      <c r="F3" s="23"/>
    </row>
    <row r="4" customHeight="1" spans="1:6">
      <c r="A4" s="26">
        <v>1</v>
      </c>
      <c r="B4" s="27" t="s">
        <v>260</v>
      </c>
      <c r="C4" s="26">
        <v>1</v>
      </c>
      <c r="D4" s="28"/>
      <c r="E4" s="26"/>
      <c r="F4" s="29"/>
    </row>
    <row r="5" customHeight="1" spans="1:6">
      <c r="A5" s="26">
        <v>2</v>
      </c>
      <c r="B5" s="27" t="s">
        <v>261</v>
      </c>
      <c r="C5" s="26">
        <v>1</v>
      </c>
      <c r="D5" s="28"/>
      <c r="E5" s="26"/>
      <c r="F5" s="28"/>
    </row>
    <row r="6" customHeight="1" spans="1:6">
      <c r="A6" s="26">
        <v>3</v>
      </c>
      <c r="B6" s="27" t="s">
        <v>262</v>
      </c>
      <c r="C6" s="26">
        <v>1</v>
      </c>
      <c r="D6" s="28"/>
      <c r="E6" s="26"/>
      <c r="F6" s="28"/>
    </row>
    <row r="7" customHeight="1" spans="1:8">
      <c r="A7" s="26">
        <v>4</v>
      </c>
      <c r="B7" s="27" t="s">
        <v>263</v>
      </c>
      <c r="C7" s="26">
        <v>1</v>
      </c>
      <c r="D7" s="28"/>
      <c r="E7" s="26"/>
      <c r="F7" s="28"/>
      <c r="H7" s="25"/>
    </row>
    <row r="8" customHeight="1" spans="1:6">
      <c r="A8" s="26">
        <v>5</v>
      </c>
      <c r="B8" s="30" t="s">
        <v>264</v>
      </c>
      <c r="C8" s="26">
        <v>2</v>
      </c>
      <c r="D8" s="28"/>
      <c r="E8" s="26"/>
      <c r="F8" s="31"/>
    </row>
    <row r="9" customHeight="1" spans="1:6">
      <c r="A9" s="26">
        <v>6</v>
      </c>
      <c r="B9" s="24" t="s">
        <v>265</v>
      </c>
      <c r="C9" s="32"/>
      <c r="D9" s="33"/>
      <c r="E9" s="33"/>
      <c r="F9" s="33"/>
    </row>
    <row r="10" customHeight="1" spans="1:6">
      <c r="A10" s="23" t="s">
        <v>33</v>
      </c>
      <c r="B10" s="24" t="s">
        <v>266</v>
      </c>
      <c r="C10" s="11"/>
      <c r="D10" s="14"/>
      <c r="E10" s="14"/>
      <c r="F10" s="14"/>
    </row>
    <row r="11" customHeight="1" spans="1:6">
      <c r="A11" s="26">
        <v>1</v>
      </c>
      <c r="B11" s="27" t="s">
        <v>267</v>
      </c>
      <c r="C11" s="26">
        <v>2</v>
      </c>
      <c r="D11" s="26"/>
      <c r="E11" s="26"/>
      <c r="F11" s="26"/>
    </row>
    <row r="12" customHeight="1" spans="1:6">
      <c r="A12" s="26">
        <v>2</v>
      </c>
      <c r="B12" s="27" t="s">
        <v>268</v>
      </c>
      <c r="C12" s="26">
        <v>1</v>
      </c>
      <c r="D12" s="26"/>
      <c r="E12" s="26"/>
      <c r="F12" s="26"/>
    </row>
    <row r="13" customHeight="1" spans="1:6">
      <c r="A13" s="26">
        <v>3</v>
      </c>
      <c r="B13" s="27" t="s">
        <v>269</v>
      </c>
      <c r="C13" s="26">
        <v>1</v>
      </c>
      <c r="D13" s="26"/>
      <c r="E13" s="26"/>
      <c r="F13" s="26"/>
    </row>
    <row r="14" customHeight="1" spans="1:6">
      <c r="A14" s="26">
        <v>4</v>
      </c>
      <c r="B14" s="27" t="s">
        <v>270</v>
      </c>
      <c r="C14" s="26">
        <v>1</v>
      </c>
      <c r="D14" s="26"/>
      <c r="E14" s="26"/>
      <c r="F14" s="26"/>
    </row>
    <row r="15" customHeight="1" spans="1:6">
      <c r="A15" s="26">
        <v>5</v>
      </c>
      <c r="B15" s="27" t="s">
        <v>271</v>
      </c>
      <c r="C15" s="26">
        <v>1</v>
      </c>
      <c r="D15" s="26"/>
      <c r="E15" s="26"/>
      <c r="F15" s="26"/>
    </row>
    <row r="16" customHeight="1" spans="1:6">
      <c r="A16" s="26">
        <v>6</v>
      </c>
      <c r="B16" s="34" t="str">
        <f>'03、安装工程'!B16</f>
        <v>淋浴器</v>
      </c>
      <c r="C16" s="26">
        <v>1</v>
      </c>
      <c r="D16" s="28"/>
      <c r="E16" s="26"/>
      <c r="F16" s="28"/>
    </row>
    <row r="17" customHeight="1" spans="1:6">
      <c r="A17" s="26"/>
      <c r="B17" s="24" t="s">
        <v>265</v>
      </c>
      <c r="C17" s="26"/>
      <c r="D17" s="26"/>
      <c r="E17" s="26"/>
      <c r="F17" s="26"/>
    </row>
    <row r="18" customHeight="1" spans="1:6">
      <c r="A18" s="35" t="s">
        <v>35</v>
      </c>
      <c r="B18" s="36" t="s">
        <v>257</v>
      </c>
      <c r="C18" s="11"/>
      <c r="D18" s="14"/>
      <c r="E18" s="14"/>
      <c r="F18" s="14"/>
    </row>
  </sheetData>
  <mergeCells count="1">
    <mergeCell ref="A1:F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C11" sqref="A11:E11"/>
    </sheetView>
  </sheetViews>
  <sheetFormatPr defaultColWidth="9.14285714285714" defaultRowHeight="12.75"/>
  <cols>
    <col min="1" max="1" width="8" style="3" customWidth="1"/>
    <col min="2" max="2" width="27.1428571428571" style="4" customWidth="1"/>
    <col min="4" max="4" width="12.4285714285714" customWidth="1"/>
    <col min="5" max="6" width="13.2857142857143" customWidth="1"/>
    <col min="7" max="7" width="12.5714285714286" customWidth="1"/>
    <col min="10" max="10" width="22" customWidth="1"/>
    <col min="18" max="18" width="14.5714285714286" customWidth="1"/>
  </cols>
  <sheetData>
    <row r="1" ht="41.1" customHeight="1" spans="1:31">
      <c r="A1" s="5" t="s">
        <v>272</v>
      </c>
      <c r="B1" s="6"/>
      <c r="C1" s="5"/>
      <c r="D1" s="5"/>
      <c r="E1" s="5"/>
      <c r="F1" s="5"/>
      <c r="G1" s="5"/>
      <c r="I1" s="5" t="s">
        <v>273</v>
      </c>
      <c r="J1" s="6"/>
      <c r="K1" s="5"/>
      <c r="L1" s="5"/>
      <c r="M1" s="5"/>
      <c r="N1" s="5"/>
      <c r="O1" s="5"/>
      <c r="Q1" s="5" t="s">
        <v>274</v>
      </c>
      <c r="R1" s="6"/>
      <c r="S1" s="5"/>
      <c r="T1" s="5"/>
      <c r="U1" s="5"/>
      <c r="V1" s="5"/>
      <c r="W1" s="5"/>
      <c r="Y1" s="5" t="s">
        <v>275</v>
      </c>
      <c r="Z1" s="6"/>
      <c r="AA1" s="5"/>
      <c r="AB1" s="5"/>
      <c r="AC1" s="5"/>
      <c r="AD1" s="5"/>
      <c r="AE1" s="5"/>
    </row>
    <row r="2" s="1" customFormat="1" ht="38.1" customHeight="1" spans="1:31">
      <c r="A2" s="7" t="s">
        <v>42</v>
      </c>
      <c r="B2" s="8" t="s">
        <v>26</v>
      </c>
      <c r="C2" s="7" t="s">
        <v>27</v>
      </c>
      <c r="D2" s="7" t="s">
        <v>276</v>
      </c>
      <c r="E2" s="7" t="s">
        <v>277</v>
      </c>
      <c r="F2" s="7" t="s">
        <v>257</v>
      </c>
      <c r="G2" s="7" t="s">
        <v>29</v>
      </c>
      <c r="I2" s="7" t="s">
        <v>42</v>
      </c>
      <c r="J2" s="8" t="s">
        <v>26</v>
      </c>
      <c r="K2" s="7" t="s">
        <v>27</v>
      </c>
      <c r="L2" s="7" t="s">
        <v>276</v>
      </c>
      <c r="M2" s="7" t="s">
        <v>277</v>
      </c>
      <c r="N2" s="7" t="s">
        <v>257</v>
      </c>
      <c r="O2" s="7" t="s">
        <v>29</v>
      </c>
      <c r="Q2" s="7" t="s">
        <v>42</v>
      </c>
      <c r="R2" s="8" t="s">
        <v>26</v>
      </c>
      <c r="S2" s="7" t="s">
        <v>27</v>
      </c>
      <c r="T2" s="7" t="s">
        <v>276</v>
      </c>
      <c r="U2" s="7" t="s">
        <v>277</v>
      </c>
      <c r="V2" s="7" t="s">
        <v>257</v>
      </c>
      <c r="W2" s="7" t="s">
        <v>29</v>
      </c>
      <c r="Y2" s="7" t="s">
        <v>42</v>
      </c>
      <c r="Z2" s="8" t="s">
        <v>26</v>
      </c>
      <c r="AA2" s="7" t="s">
        <v>27</v>
      </c>
      <c r="AB2" s="7" t="s">
        <v>276</v>
      </c>
      <c r="AC2" s="7" t="s">
        <v>277</v>
      </c>
      <c r="AD2" s="7" t="s">
        <v>257</v>
      </c>
      <c r="AE2" s="7" t="s">
        <v>29</v>
      </c>
    </row>
    <row r="3" s="2" customFormat="1" ht="38.1" customHeight="1" spans="1:31">
      <c r="A3" s="7"/>
      <c r="B3" s="9" t="s">
        <v>278</v>
      </c>
      <c r="C3" s="10"/>
      <c r="D3" s="10"/>
      <c r="E3" s="10"/>
      <c r="F3" s="10"/>
      <c r="G3" s="10"/>
      <c r="I3" s="7"/>
      <c r="J3" s="9" t="s">
        <v>278</v>
      </c>
      <c r="K3" s="10"/>
      <c r="L3" s="10"/>
      <c r="M3" s="10"/>
      <c r="N3" s="10"/>
      <c r="O3" s="10"/>
      <c r="Q3" s="7"/>
      <c r="R3" s="9" t="s">
        <v>278</v>
      </c>
      <c r="S3" s="10"/>
      <c r="T3" s="10"/>
      <c r="U3" s="10"/>
      <c r="V3" s="10"/>
      <c r="W3" s="10"/>
      <c r="Y3" s="7"/>
      <c r="Z3" s="9" t="s">
        <v>278</v>
      </c>
      <c r="AA3" s="10"/>
      <c r="AB3" s="10"/>
      <c r="AC3" s="10"/>
      <c r="AD3" s="10"/>
      <c r="AE3" s="10"/>
    </row>
    <row r="4" ht="48.95" customHeight="1" spans="1:31">
      <c r="A4" s="11">
        <v>1</v>
      </c>
      <c r="B4" s="12" t="s">
        <v>279</v>
      </c>
      <c r="C4" s="13" t="s">
        <v>280</v>
      </c>
      <c r="D4" s="14">
        <v>2</v>
      </c>
      <c r="E4" s="14"/>
      <c r="F4" s="14"/>
      <c r="G4" s="14"/>
      <c r="I4" s="11">
        <v>1</v>
      </c>
      <c r="J4" s="12" t="s">
        <v>279</v>
      </c>
      <c r="K4" s="13" t="s">
        <v>280</v>
      </c>
      <c r="L4" s="14">
        <v>2</v>
      </c>
      <c r="M4" s="14"/>
      <c r="N4" s="14"/>
      <c r="O4" s="14"/>
      <c r="Q4" s="11">
        <v>1</v>
      </c>
      <c r="R4" s="12" t="s">
        <v>279</v>
      </c>
      <c r="S4" s="13" t="s">
        <v>280</v>
      </c>
      <c r="T4" s="14">
        <v>2</v>
      </c>
      <c r="U4" s="14"/>
      <c r="V4" s="14"/>
      <c r="W4" s="14"/>
      <c r="Y4" s="11">
        <v>1</v>
      </c>
      <c r="Z4" s="12" t="s">
        <v>279</v>
      </c>
      <c r="AA4" s="13" t="s">
        <v>280</v>
      </c>
      <c r="AB4" s="14">
        <v>2</v>
      </c>
      <c r="AC4" s="14"/>
      <c r="AD4" s="14"/>
      <c r="AE4" s="14"/>
    </row>
    <row r="5" ht="48.95" customHeight="1" spans="1:31">
      <c r="A5" s="11">
        <v>3</v>
      </c>
      <c r="B5" s="15" t="s">
        <v>281</v>
      </c>
      <c r="C5" s="14" t="s">
        <v>80</v>
      </c>
      <c r="D5" s="14">
        <f>5.17*2</f>
        <v>10.34</v>
      </c>
      <c r="E5" s="14">
        <v>30.62</v>
      </c>
      <c r="F5" s="14">
        <f>E5*D5</f>
        <v>316.6108</v>
      </c>
      <c r="G5" s="14"/>
      <c r="I5" s="11">
        <v>3</v>
      </c>
      <c r="J5" s="15" t="s">
        <v>281</v>
      </c>
      <c r="K5" s="14" t="s">
        <v>80</v>
      </c>
      <c r="L5" s="14">
        <f>5.17*2</f>
        <v>10.34</v>
      </c>
      <c r="M5" s="14">
        <v>30.62</v>
      </c>
      <c r="N5" s="14">
        <f>M5*L5</f>
        <v>316.6108</v>
      </c>
      <c r="O5" s="14"/>
      <c r="Q5" s="11">
        <v>3</v>
      </c>
      <c r="R5" s="15" t="s">
        <v>281</v>
      </c>
      <c r="S5" s="14" t="s">
        <v>80</v>
      </c>
      <c r="T5" s="14">
        <f>5.17*2</f>
        <v>10.34</v>
      </c>
      <c r="U5" s="14">
        <v>30.62</v>
      </c>
      <c r="V5" s="14">
        <f>U5*T5</f>
        <v>316.6108</v>
      </c>
      <c r="W5" s="14"/>
      <c r="Y5" s="11">
        <v>3</v>
      </c>
      <c r="Z5" s="15" t="s">
        <v>281</v>
      </c>
      <c r="AA5" s="14" t="s">
        <v>80</v>
      </c>
      <c r="AB5" s="14">
        <f>5.17*2</f>
        <v>10.34</v>
      </c>
      <c r="AC5" s="14">
        <v>30.62</v>
      </c>
      <c r="AD5" s="14">
        <f>AC5*AB5</f>
        <v>316.6108</v>
      </c>
      <c r="AE5" s="14"/>
    </row>
    <row r="6" ht="48.95" customHeight="1" spans="1:31">
      <c r="A6" s="11">
        <v>4</v>
      </c>
      <c r="B6" s="15" t="s">
        <v>282</v>
      </c>
      <c r="C6" s="14" t="s">
        <v>80</v>
      </c>
      <c r="D6" s="14">
        <f>5.17*8</f>
        <v>41.36</v>
      </c>
      <c r="E6" s="14">
        <v>8</v>
      </c>
      <c r="F6" s="14">
        <f>E6*D6</f>
        <v>330.88</v>
      </c>
      <c r="G6" s="14"/>
      <c r="I6" s="11">
        <v>4</v>
      </c>
      <c r="J6" s="15" t="s">
        <v>282</v>
      </c>
      <c r="K6" s="14" t="s">
        <v>80</v>
      </c>
      <c r="L6" s="14">
        <f>5.17*8</f>
        <v>41.36</v>
      </c>
      <c r="M6" s="14">
        <v>8</v>
      </c>
      <c r="N6" s="14">
        <f>M6*L6</f>
        <v>330.88</v>
      </c>
      <c r="O6" s="14"/>
      <c r="Q6" s="11">
        <v>4</v>
      </c>
      <c r="R6" s="15" t="s">
        <v>282</v>
      </c>
      <c r="S6" s="14" t="s">
        <v>80</v>
      </c>
      <c r="T6" s="14">
        <f>5.17*8</f>
        <v>41.36</v>
      </c>
      <c r="U6" s="14">
        <v>8</v>
      </c>
      <c r="V6" s="14">
        <f>U6*T6</f>
        <v>330.88</v>
      </c>
      <c r="W6" s="14"/>
      <c r="Y6" s="11">
        <v>4</v>
      </c>
      <c r="Z6" s="15" t="s">
        <v>282</v>
      </c>
      <c r="AA6" s="14" t="s">
        <v>80</v>
      </c>
      <c r="AB6" s="14">
        <f>5.17*8</f>
        <v>41.36</v>
      </c>
      <c r="AC6" s="14">
        <v>8</v>
      </c>
      <c r="AD6" s="14">
        <f>AC6*AB6</f>
        <v>330.88</v>
      </c>
      <c r="AE6" s="14"/>
    </row>
    <row r="7" ht="48.95" customHeight="1" spans="1:31">
      <c r="A7" s="11">
        <v>5</v>
      </c>
      <c r="B7" s="15" t="s">
        <v>283</v>
      </c>
      <c r="C7" s="14" t="s">
        <v>80</v>
      </c>
      <c r="D7" s="14">
        <f>(0.575+0.495+0.858+0.11+0.19+0.787+0.148+0.148+0.475+0.675+0.495+0.855)*6</f>
        <v>34.866</v>
      </c>
      <c r="E7" s="14">
        <v>3.06</v>
      </c>
      <c r="F7" s="14">
        <f t="shared" ref="F7:F21" si="0">E7*D7</f>
        <v>106.68996</v>
      </c>
      <c r="G7" s="14"/>
      <c r="I7" s="11">
        <v>5</v>
      </c>
      <c r="J7" s="15" t="s">
        <v>283</v>
      </c>
      <c r="K7" s="14" t="s">
        <v>80</v>
      </c>
      <c r="L7" s="14">
        <f>(0.575+0.495+0.858+0.11+0.19+0.787+0.148+0.148+0.475+0.675+0.495+0.855)*6</f>
        <v>34.866</v>
      </c>
      <c r="M7" s="14">
        <v>3.06</v>
      </c>
      <c r="N7" s="14">
        <f t="shared" ref="N7:N16" si="1">M7*L7</f>
        <v>106.68996</v>
      </c>
      <c r="O7" s="14"/>
      <c r="Q7" s="11">
        <v>5</v>
      </c>
      <c r="R7" s="15" t="s">
        <v>283</v>
      </c>
      <c r="S7" s="14" t="s">
        <v>80</v>
      </c>
      <c r="T7" s="14">
        <f>(0.575+0.495+0.858+0.11+0.19+0.787+0.148+0.148+0.475+0.675+0.495+0.855)*6</f>
        <v>34.866</v>
      </c>
      <c r="U7" s="14">
        <v>3.06</v>
      </c>
      <c r="V7" s="14">
        <f t="shared" ref="V7:V16" si="2">U7*T7</f>
        <v>106.68996</v>
      </c>
      <c r="W7" s="14"/>
      <c r="Y7" s="11">
        <v>5</v>
      </c>
      <c r="Z7" s="15" t="s">
        <v>283</v>
      </c>
      <c r="AA7" s="14" t="s">
        <v>80</v>
      </c>
      <c r="AB7" s="14">
        <f>(0.575+0.495+0.858+0.11+0.19+0.787+0.148+0.148+0.475+0.675+0.495+0.855)*6</f>
        <v>34.866</v>
      </c>
      <c r="AC7" s="14">
        <v>3.06</v>
      </c>
      <c r="AD7" s="14">
        <f t="shared" ref="AD7:AD16" si="3">AC7*AB7</f>
        <v>106.68996</v>
      </c>
      <c r="AE7" s="14"/>
    </row>
    <row r="8" ht="48.95" customHeight="1" spans="1:31">
      <c r="A8" s="11">
        <v>6</v>
      </c>
      <c r="B8" s="15" t="s">
        <v>284</v>
      </c>
      <c r="C8" s="14" t="s">
        <v>80</v>
      </c>
      <c r="D8" s="14">
        <f>(0.185*2+0.085*2+0.11*2+0.135+0.11*2+0.185*2+0.085*2+0.135)*6</f>
        <v>10.74</v>
      </c>
      <c r="E8" s="14">
        <v>10</v>
      </c>
      <c r="F8" s="14">
        <f t="shared" si="0"/>
        <v>107.4</v>
      </c>
      <c r="G8" s="14"/>
      <c r="I8" s="11">
        <v>6</v>
      </c>
      <c r="J8" s="15" t="s">
        <v>284</v>
      </c>
      <c r="K8" s="14" t="s">
        <v>80</v>
      </c>
      <c r="L8" s="14">
        <f>(0.185*2+0.085*2+0.11*2+0.135+0.11*2+0.185*2+0.085*2+0.135)*6</f>
        <v>10.74</v>
      </c>
      <c r="M8" s="14">
        <v>10</v>
      </c>
      <c r="N8" s="14">
        <f t="shared" si="1"/>
        <v>107.4</v>
      </c>
      <c r="O8" s="14"/>
      <c r="Q8" s="11">
        <v>6</v>
      </c>
      <c r="R8" s="15" t="s">
        <v>284</v>
      </c>
      <c r="S8" s="14" t="s">
        <v>80</v>
      </c>
      <c r="T8" s="14">
        <f>(0.185*2+0.085*2+0.11*2+0.135+0.11*2+0.185*2+0.085*2+0.135)*6</f>
        <v>10.74</v>
      </c>
      <c r="U8" s="14">
        <v>10</v>
      </c>
      <c r="V8" s="14">
        <f t="shared" si="2"/>
        <v>107.4</v>
      </c>
      <c r="W8" s="14"/>
      <c r="Y8" s="11">
        <v>6</v>
      </c>
      <c r="Z8" s="15" t="s">
        <v>284</v>
      </c>
      <c r="AA8" s="14" t="s">
        <v>80</v>
      </c>
      <c r="AB8" s="14">
        <f>(0.185*2+0.085*2+0.11*2+0.135+0.11*2+0.185*2+0.085*2+0.135)*6</f>
        <v>10.74</v>
      </c>
      <c r="AC8" s="14">
        <v>10</v>
      </c>
      <c r="AD8" s="14">
        <f t="shared" si="3"/>
        <v>107.4</v>
      </c>
      <c r="AE8" s="14"/>
    </row>
    <row r="9" ht="78" customHeight="1" spans="1:31">
      <c r="A9" s="11">
        <v>7</v>
      </c>
      <c r="B9" s="12" t="s">
        <v>285</v>
      </c>
      <c r="C9" s="13" t="s">
        <v>280</v>
      </c>
      <c r="D9" s="14">
        <f>6*6</f>
        <v>36</v>
      </c>
      <c r="E9" s="14"/>
      <c r="F9" s="14">
        <f t="shared" si="0"/>
        <v>0</v>
      </c>
      <c r="G9" s="14"/>
      <c r="I9" s="11">
        <v>7</v>
      </c>
      <c r="J9" s="12" t="s">
        <v>285</v>
      </c>
      <c r="K9" s="13" t="s">
        <v>280</v>
      </c>
      <c r="L9" s="14">
        <f>6*6</f>
        <v>36</v>
      </c>
      <c r="M9" s="14"/>
      <c r="N9" s="14">
        <f t="shared" si="1"/>
        <v>0</v>
      </c>
      <c r="O9" s="14"/>
      <c r="Q9" s="11">
        <v>7</v>
      </c>
      <c r="R9" s="12" t="s">
        <v>285</v>
      </c>
      <c r="S9" s="13" t="s">
        <v>280</v>
      </c>
      <c r="T9" s="14">
        <f>6*6</f>
        <v>36</v>
      </c>
      <c r="U9" s="14"/>
      <c r="V9" s="14">
        <f t="shared" si="2"/>
        <v>0</v>
      </c>
      <c r="W9" s="14"/>
      <c r="Y9" s="11">
        <v>7</v>
      </c>
      <c r="Z9" s="12" t="s">
        <v>285</v>
      </c>
      <c r="AA9" s="13" t="s">
        <v>280</v>
      </c>
      <c r="AB9" s="14">
        <f>6*6</f>
        <v>36</v>
      </c>
      <c r="AC9" s="14"/>
      <c r="AD9" s="14">
        <f t="shared" si="3"/>
        <v>0</v>
      </c>
      <c r="AE9" s="14"/>
    </row>
    <row r="10" ht="78" customHeight="1" spans="1:31">
      <c r="A10" s="11"/>
      <c r="B10" s="12" t="s">
        <v>286</v>
      </c>
      <c r="C10" s="13"/>
      <c r="D10" s="14">
        <f>0.21*7</f>
        <v>1.47</v>
      </c>
      <c r="E10" s="14">
        <v>3.06</v>
      </c>
      <c r="F10" s="14">
        <f t="shared" si="0"/>
        <v>4.4982</v>
      </c>
      <c r="G10" s="14"/>
      <c r="I10" s="11"/>
      <c r="J10" s="12" t="s">
        <v>286</v>
      </c>
      <c r="K10" s="13"/>
      <c r="L10" s="14">
        <f>0.21*7</f>
        <v>1.47</v>
      </c>
      <c r="M10" s="14">
        <v>3.06</v>
      </c>
      <c r="N10" s="14">
        <f t="shared" si="1"/>
        <v>4.4982</v>
      </c>
      <c r="O10" s="14"/>
      <c r="Q10" s="11"/>
      <c r="R10" s="12" t="s">
        <v>286</v>
      </c>
      <c r="S10" s="13"/>
      <c r="T10" s="14">
        <f>0.21*7</f>
        <v>1.47</v>
      </c>
      <c r="U10" s="14">
        <v>3.06</v>
      </c>
      <c r="V10" s="14">
        <f t="shared" si="2"/>
        <v>4.4982</v>
      </c>
      <c r="W10" s="14"/>
      <c r="Y10" s="11"/>
      <c r="Z10" s="12" t="s">
        <v>286</v>
      </c>
      <c r="AA10" s="13"/>
      <c r="AB10" s="14">
        <f>0.21*7</f>
        <v>1.47</v>
      </c>
      <c r="AC10" s="14">
        <v>3.06</v>
      </c>
      <c r="AD10" s="14">
        <f t="shared" si="3"/>
        <v>4.4982</v>
      </c>
      <c r="AE10" s="14"/>
    </row>
    <row r="11" ht="42" customHeight="1" spans="1:31">
      <c r="A11" s="11"/>
      <c r="B11" s="16" t="s">
        <v>287</v>
      </c>
      <c r="C11" s="13"/>
      <c r="D11" s="14"/>
      <c r="E11" s="14"/>
      <c r="F11" s="14">
        <f t="shared" si="0"/>
        <v>0</v>
      </c>
      <c r="G11" s="14"/>
      <c r="I11" s="11"/>
      <c r="J11" s="16" t="s">
        <v>287</v>
      </c>
      <c r="K11" s="13"/>
      <c r="L11" s="14"/>
      <c r="M11" s="14"/>
      <c r="N11" s="14">
        <f t="shared" si="1"/>
        <v>0</v>
      </c>
      <c r="O11" s="14"/>
      <c r="Q11" s="11"/>
      <c r="R11" s="16" t="s">
        <v>287</v>
      </c>
      <c r="S11" s="13"/>
      <c r="T11" s="14"/>
      <c r="U11" s="14"/>
      <c r="V11" s="14">
        <f t="shared" si="2"/>
        <v>0</v>
      </c>
      <c r="W11" s="14"/>
      <c r="Y11" s="11"/>
      <c r="Z11" s="16" t="s">
        <v>287</v>
      </c>
      <c r="AA11" s="13"/>
      <c r="AB11" s="14"/>
      <c r="AC11" s="14"/>
      <c r="AD11" s="14">
        <f t="shared" si="3"/>
        <v>0</v>
      </c>
      <c r="AE11" s="14"/>
    </row>
    <row r="12" ht="48.95" customHeight="1" spans="1:31">
      <c r="A12" s="11">
        <v>1</v>
      </c>
      <c r="B12" s="15" t="s">
        <v>283</v>
      </c>
      <c r="C12" s="14" t="s">
        <v>80</v>
      </c>
      <c r="D12" s="14">
        <f>(0.547+0.156+0.686+1.112+1.137)*2+1.13*4+(0.547+0.156+0.686)*3*2+(1.55+1.7+1.055)*3</f>
        <v>33.045</v>
      </c>
      <c r="E12" s="14"/>
      <c r="F12" s="14">
        <f t="shared" si="0"/>
        <v>0</v>
      </c>
      <c r="G12" s="14"/>
      <c r="I12" s="11">
        <v>1</v>
      </c>
      <c r="J12" s="15" t="s">
        <v>283</v>
      </c>
      <c r="K12" s="14" t="s">
        <v>80</v>
      </c>
      <c r="L12" s="14">
        <f>(0.547+0.156+0.686+1.112+1.137)*2+1.13*4+(0.547+0.156+0.686)*3*2+(1.55+1.7+1.055)*3</f>
        <v>33.045</v>
      </c>
      <c r="M12" s="14">
        <f>M10</f>
        <v>3.06</v>
      </c>
      <c r="N12" s="14">
        <f t="shared" si="1"/>
        <v>101.1177</v>
      </c>
      <c r="O12" s="14"/>
      <c r="Q12" s="11">
        <v>1</v>
      </c>
      <c r="R12" s="15" t="s">
        <v>283</v>
      </c>
      <c r="S12" s="14" t="s">
        <v>80</v>
      </c>
      <c r="T12" s="14">
        <f>(0.547+0.156+0.686+1.112+1.137)*2+1.13*4+(0.547+0.156+0.686)*3*2+(1.55+1.7+1.055)*3</f>
        <v>33.045</v>
      </c>
      <c r="U12" s="14">
        <f>U10</f>
        <v>3.06</v>
      </c>
      <c r="V12" s="14">
        <f t="shared" si="2"/>
        <v>101.1177</v>
      </c>
      <c r="W12" s="14"/>
      <c r="Y12" s="11">
        <v>1</v>
      </c>
      <c r="Z12" s="15" t="s">
        <v>283</v>
      </c>
      <c r="AA12" s="14" t="s">
        <v>80</v>
      </c>
      <c r="AB12" s="14">
        <f>(0.547+0.156+0.686+1.112)*2+(0.547+0.156+0.686)*3*2+(1.55+1.055)*3</f>
        <v>21.151</v>
      </c>
      <c r="AC12" s="14">
        <f>AC10</f>
        <v>3.06</v>
      </c>
      <c r="AD12" s="14">
        <f t="shared" si="3"/>
        <v>64.72206</v>
      </c>
      <c r="AE12" s="14"/>
    </row>
    <row r="13" ht="48.95" customHeight="1" spans="1:31">
      <c r="A13" s="11"/>
      <c r="B13" s="12" t="s">
        <v>288</v>
      </c>
      <c r="C13" s="13" t="s">
        <v>280</v>
      </c>
      <c r="D13" s="14">
        <f>3*2</f>
        <v>6</v>
      </c>
      <c r="E13" s="14"/>
      <c r="F13" s="14">
        <f t="shared" si="0"/>
        <v>0</v>
      </c>
      <c r="G13" s="14"/>
      <c r="I13" s="11"/>
      <c r="J13" s="12" t="s">
        <v>288</v>
      </c>
      <c r="K13" s="13" t="s">
        <v>280</v>
      </c>
      <c r="L13" s="14">
        <f>3*2</f>
        <v>6</v>
      </c>
      <c r="M13" s="14"/>
      <c r="N13" s="14">
        <f t="shared" si="1"/>
        <v>0</v>
      </c>
      <c r="O13" s="14"/>
      <c r="Q13" s="11"/>
      <c r="R13" s="12" t="s">
        <v>288</v>
      </c>
      <c r="S13" s="13" t="s">
        <v>280</v>
      </c>
      <c r="T13" s="14">
        <f>3*2</f>
        <v>6</v>
      </c>
      <c r="U13" s="14"/>
      <c r="V13" s="14">
        <f t="shared" si="2"/>
        <v>0</v>
      </c>
      <c r="W13" s="14"/>
      <c r="Y13" s="11"/>
      <c r="Z13" s="12" t="s">
        <v>288</v>
      </c>
      <c r="AA13" s="13" t="s">
        <v>280</v>
      </c>
      <c r="AB13" s="14">
        <f>3*2</f>
        <v>6</v>
      </c>
      <c r="AC13" s="14"/>
      <c r="AD13" s="14">
        <f t="shared" si="3"/>
        <v>0</v>
      </c>
      <c r="AE13" s="14"/>
    </row>
    <row r="14" ht="48.95" customHeight="1" spans="1:31">
      <c r="A14" s="11"/>
      <c r="B14" s="16" t="s">
        <v>289</v>
      </c>
      <c r="C14" s="14"/>
      <c r="D14" s="14"/>
      <c r="E14" s="14"/>
      <c r="F14" s="14">
        <f t="shared" si="0"/>
        <v>0</v>
      </c>
      <c r="G14" s="14"/>
      <c r="I14" s="11"/>
      <c r="J14" s="16" t="s">
        <v>289</v>
      </c>
      <c r="K14" s="14"/>
      <c r="L14" s="14"/>
      <c r="M14" s="14"/>
      <c r="N14" s="14">
        <f t="shared" si="1"/>
        <v>0</v>
      </c>
      <c r="O14" s="14"/>
      <c r="Q14" s="11"/>
      <c r="R14" s="16" t="s">
        <v>289</v>
      </c>
      <c r="S14" s="14"/>
      <c r="T14" s="14"/>
      <c r="U14" s="14"/>
      <c r="V14" s="14">
        <f t="shared" si="2"/>
        <v>0</v>
      </c>
      <c r="W14" s="14"/>
      <c r="Y14" s="11"/>
      <c r="Z14" s="16" t="s">
        <v>289</v>
      </c>
      <c r="AA14" s="14"/>
      <c r="AB14" s="14"/>
      <c r="AC14" s="14"/>
      <c r="AD14" s="14">
        <f t="shared" si="3"/>
        <v>0</v>
      </c>
      <c r="AE14" s="14"/>
    </row>
    <row r="15" ht="48.95" customHeight="1" spans="1:31">
      <c r="A15" s="11"/>
      <c r="B15" s="15" t="s">
        <v>283</v>
      </c>
      <c r="C15" s="14" t="s">
        <v>80</v>
      </c>
      <c r="D15" s="14">
        <f>(0.543+0.156+0.686+1.112+1.133*2+0.296*3)*3+3.98*3+(1.55+1.7+1.055)*3</f>
        <v>41.808</v>
      </c>
      <c r="E15" s="14">
        <v>3.06</v>
      </c>
      <c r="F15" s="14">
        <f t="shared" si="0"/>
        <v>127.93248</v>
      </c>
      <c r="G15" s="14"/>
      <c r="I15" s="11"/>
      <c r="J15" s="15" t="s">
        <v>283</v>
      </c>
      <c r="K15" s="14" t="s">
        <v>80</v>
      </c>
      <c r="L15" s="14">
        <f>(0.543+0.156+0.686+1.112+1.133*2+0.296*3)*3+3.98*3+(1.55+1.7+1.055)*3</f>
        <v>41.808</v>
      </c>
      <c r="M15" s="14">
        <v>3.06</v>
      </c>
      <c r="N15" s="14">
        <f t="shared" si="1"/>
        <v>127.93248</v>
      </c>
      <c r="O15" s="14"/>
      <c r="Q15" s="11"/>
      <c r="R15" s="15" t="s">
        <v>283</v>
      </c>
      <c r="S15" s="14" t="s">
        <v>80</v>
      </c>
      <c r="T15" s="14">
        <f>(0.543+0.156+0.686+1.112+1.133*2+0.296*3)*3+3.98*3+(1.55+1.7+1.055)*3</f>
        <v>41.808</v>
      </c>
      <c r="U15" s="14">
        <v>3.06</v>
      </c>
      <c r="V15" s="14">
        <f t="shared" si="2"/>
        <v>127.93248</v>
      </c>
      <c r="W15" s="14"/>
      <c r="Y15" s="11"/>
      <c r="Z15" s="15" t="s">
        <v>283</v>
      </c>
      <c r="AA15" s="14" t="s">
        <v>80</v>
      </c>
      <c r="AB15" s="14">
        <f>(0.543+0.156+0.686+1.112+1.133*2+0.296*3)*3+3.98*3+(1.55+1.7+1.055)*3</f>
        <v>41.808</v>
      </c>
      <c r="AC15" s="14">
        <v>3.06</v>
      </c>
      <c r="AD15" s="14">
        <f t="shared" si="3"/>
        <v>127.93248</v>
      </c>
      <c r="AE15" s="14"/>
    </row>
    <row r="16" ht="48.95" customHeight="1" spans="1:31">
      <c r="A16" s="11"/>
      <c r="B16" s="12" t="s">
        <v>290</v>
      </c>
      <c r="C16" s="13" t="s">
        <v>280</v>
      </c>
      <c r="D16" s="14">
        <f>5*3</f>
        <v>15</v>
      </c>
      <c r="E16" s="14"/>
      <c r="F16" s="14">
        <f t="shared" si="0"/>
        <v>0</v>
      </c>
      <c r="G16" s="14"/>
      <c r="I16" s="11"/>
      <c r="J16" s="12" t="s">
        <v>290</v>
      </c>
      <c r="K16" s="13" t="s">
        <v>280</v>
      </c>
      <c r="L16" s="14">
        <f>5*3</f>
        <v>15</v>
      </c>
      <c r="M16" s="14"/>
      <c r="N16" s="14">
        <f t="shared" si="1"/>
        <v>0</v>
      </c>
      <c r="O16" s="14"/>
      <c r="Q16" s="11"/>
      <c r="R16" s="12" t="s">
        <v>290</v>
      </c>
      <c r="S16" s="13" t="s">
        <v>280</v>
      </c>
      <c r="T16" s="14">
        <f>5*3</f>
        <v>15</v>
      </c>
      <c r="U16" s="14"/>
      <c r="V16" s="14">
        <f t="shared" si="2"/>
        <v>0</v>
      </c>
      <c r="W16" s="14"/>
      <c r="Y16" s="11"/>
      <c r="Z16" s="12" t="s">
        <v>290</v>
      </c>
      <c r="AA16" s="13" t="s">
        <v>280</v>
      </c>
      <c r="AB16" s="14">
        <f>5*3</f>
        <v>15</v>
      </c>
      <c r="AC16" s="14"/>
      <c r="AD16" s="14">
        <f t="shared" si="3"/>
        <v>0</v>
      </c>
      <c r="AE16" s="14"/>
    </row>
    <row r="17" ht="48.95" customHeight="1" spans="1:31">
      <c r="A17" s="11"/>
      <c r="B17" s="17" t="s">
        <v>291</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292</v>
      </c>
      <c r="C18" s="14" t="s">
        <v>80</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293</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294</v>
      </c>
      <c r="C20" s="13" t="s">
        <v>280</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295</v>
      </c>
      <c r="C21" s="14" t="s">
        <v>80</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257</v>
      </c>
      <c r="C22" s="14" t="s">
        <v>296</v>
      </c>
      <c r="D22" s="14"/>
      <c r="E22" s="14"/>
      <c r="F22" s="14">
        <f>SUM(F3:F21)</f>
        <v>1343.13132</v>
      </c>
      <c r="G22" s="14"/>
      <c r="I22" s="11"/>
      <c r="J22" s="17" t="s">
        <v>257</v>
      </c>
      <c r="K22" s="14" t="s">
        <v>296</v>
      </c>
      <c r="L22" s="14"/>
      <c r="M22" s="14"/>
      <c r="N22" s="14">
        <f>SUM(N3:N21)</f>
        <v>1095.12914</v>
      </c>
      <c r="O22" s="14"/>
      <c r="Q22" s="11"/>
      <c r="R22" s="17" t="s">
        <v>257</v>
      </c>
      <c r="S22" s="14" t="s">
        <v>296</v>
      </c>
      <c r="T22" s="14"/>
      <c r="U22" s="14"/>
      <c r="V22" s="14">
        <f>SUM(V3:V21)</f>
        <v>1095.12914</v>
      </c>
      <c r="W22" s="14"/>
      <c r="Y22" s="11"/>
      <c r="Z22" s="17" t="s">
        <v>257</v>
      </c>
      <c r="AA22" s="14" t="s">
        <v>296</v>
      </c>
      <c r="AB22" s="14"/>
      <c r="AC22" s="14"/>
      <c r="AD22" s="14">
        <f>SUM(AD3:AD21)</f>
        <v>1058.7335</v>
      </c>
      <c r="AE22" s="14"/>
    </row>
    <row r="26" ht="11.1" customHeight="1"/>
    <row r="27" hidden="1"/>
  </sheetData>
  <autoFilter xmlns:etc="http://www.wps.cn/officeDocument/2017/etCustomData" ref="A2:G22" etc:filterBottomFollowUsedRange="0">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8</vt:i4>
      </vt:variant>
    </vt:vector>
  </HeadingPairs>
  <TitlesOfParts>
    <vt:vector size="8" baseType="lpstr">
      <vt:lpstr>Sheet2</vt:lpstr>
      <vt:lpstr>清单报价说明</vt:lpstr>
      <vt:lpstr>01、汇总表</vt:lpstr>
      <vt:lpstr>Sheet1</vt:lpstr>
      <vt:lpstr>02、样板间装饰工程</vt:lpstr>
      <vt:lpstr>03、安装工程</vt:lpstr>
      <vt:lpstr>04、其中电器及洁具明细</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AA</cp:lastModifiedBy>
  <dcterms:created xsi:type="dcterms:W3CDTF">2020-11-19T09:45:00Z</dcterms:created>
  <dcterms:modified xsi:type="dcterms:W3CDTF">2024-10-23T01:05:48Z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5EEC769CC3E54150B525E8F921E84EAF_13</vt:lpwstr>
  </property>
  <property fmtid="{D5CDD505-2E9C-101B-9397-08002B2CF9AE}" pid="4" name="KSOReadingLayout">
    <vt:bool>true</vt:bool>
  </property>
</Properties>
</file>