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17"/>
  </bookViews>
  <sheets>
    <sheet name="目录" sheetId="21" r:id="rId1"/>
    <sheet name="结算汇总表" sheetId="22" r:id="rId2"/>
    <sheet name="合同价汇总表" sheetId="9" r:id="rId3"/>
    <sheet name="硬质铺装" sheetId="1" r:id="rId4"/>
    <sheet name="派发单" sheetId="19" r:id="rId5"/>
    <sheet name="绿植乔木" sheetId="16" r:id="rId6"/>
    <sheet name="绿植灌木" sheetId="17" r:id="rId7"/>
    <sheet name="景观水电" sheetId="18" r:id="rId8"/>
    <sheet name="补充协议" sheetId="20" r:id="rId9"/>
  </sheets>
  <definedNames>
    <definedName name="_xlnm._FilterDatabase" localSheetId="3" hidden="1">硬质铺装!$3:$11</definedName>
    <definedName name="_xlnm._FilterDatabase" localSheetId="7" hidden="1">景观水电!#REF!</definedName>
    <definedName name="_xlnm.Print_Area" localSheetId="3">硬质铺装!$A$1:$M$9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<sst xmlns="http://schemas.openxmlformats.org/spreadsheetml/2006/main" count="517" uniqueCount="292">
  <si>
    <t>栾川山水文苑s1地块商业街工程施工合同结算资料存档目录</t>
  </si>
  <si>
    <t>序号</t>
  </si>
  <si>
    <t>名称</t>
  </si>
  <si>
    <t>份/页</t>
  </si>
  <si>
    <t>页码</t>
  </si>
  <si>
    <t>原件/复印件</t>
  </si>
  <si>
    <t>备注</t>
  </si>
  <si>
    <t>栾川山水文苑s1地块商业街工程施工合同结算审批表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</si>
  <si>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</si>
  <si>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</si>
  <si>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</si>
  <si>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</si>
  <si>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</si>
  <si>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</si>
  <si>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</si>
  <si>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</si>
  <si>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</si>
  <si>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</si>
  <si>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1份12页</t>
  </si>
  <si>
    <t>第5-16页</t>
  </si>
  <si>
    <t>结算申请单</t>
  </si>
  <si>
    <t>第17页</t>
  </si>
  <si>
    <t>结算通知书</t>
  </si>
  <si>
    <t>第18页</t>
  </si>
  <si>
    <t>授权委托书</t>
  </si>
  <si>
    <t>第19页</t>
  </si>
  <si>
    <t>工程往来对账单</t>
  </si>
  <si>
    <t>第20页</t>
  </si>
  <si>
    <t>工程结算资料核对确认单</t>
  </si>
  <si>
    <t>第21-22页</t>
  </si>
  <si>
    <t>验收单</t>
  </si>
  <si>
    <t>1份7页</t>
  </si>
  <si>
    <t>第23-29页</t>
  </si>
  <si>
    <t>派发单及确认单01</t>
  </si>
  <si>
    <t>1份10页</t>
  </si>
  <si>
    <t>第30-34页</t>
  </si>
  <si>
    <t>派发单及确认单02</t>
  </si>
  <si>
    <t>1份6页</t>
  </si>
  <si>
    <t>第35-42页</t>
  </si>
  <si>
    <t>合同及补充协议</t>
  </si>
  <si>
    <t>册</t>
  </si>
  <si>
    <t>1册</t>
  </si>
  <si>
    <t>复印件</t>
  </si>
  <si>
    <t>施工竣工图及其他资料</t>
  </si>
  <si>
    <t>复印件/原件</t>
  </si>
  <si>
    <t>造价师：</t>
  </si>
  <si>
    <t>日期：</t>
  </si>
  <si>
    <t>栾川山水文苑s1地块商业街工程施工合同结算汇总表</t>
  </si>
  <si>
    <t xml:space="preserve">合同编号：LCS01-QQ-079                                合同金额：870000元 </t>
  </si>
  <si>
    <t>合同名称：栾川山水文苑s1地块商业街工程施工合同</t>
  </si>
  <si>
    <t>甲    方：栾川县浩德颐康文旅有限公司</t>
  </si>
  <si>
    <t>乙    方：河南玺尊建设有限公司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</si>
  <si>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</si>
  <si>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</si>
  <si>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</si>
  <si>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</si>
  <si>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</si>
  <si>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</si>
  <si>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</si>
  <si>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</si>
  <si>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</si>
  <si>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</si>
  <si>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</si>
  <si>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</si>
  <si>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</si>
  <si>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</si>
  <si>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</si>
  <si>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</si>
  <si>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</si>
  <si>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</si>
  <si>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</si>
  <si>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</si>
  <si>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</si>
  <si>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</si>
  <si>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</si>
  <si>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</si>
  <si>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</si>
  <si>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</si>
  <si>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</si>
  <si>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</si>
  <si>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</si>
  <si>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</si>
  <si>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</si>
  <si>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</si>
  <si>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</si>
  <si>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</si>
  <si>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栾川山水文苑S1地块商业街工程造价汇总表
（单位：元）</t>
  </si>
  <si>
    <t>序 号</t>
  </si>
  <si>
    <t>单位</t>
  </si>
  <si>
    <t>工程量</t>
  </si>
  <si>
    <t>金额 
(元)</t>
  </si>
  <si>
    <t>合计</t>
  </si>
  <si>
    <t>硬质铺装</t>
  </si>
  <si>
    <t>项</t>
  </si>
  <si>
    <t>派发单</t>
  </si>
  <si>
    <t>绿植乔木</t>
  </si>
  <si>
    <t>绿植灌木</t>
  </si>
  <si>
    <t>景观水电</t>
  </si>
  <si>
    <t>补充协议</t>
  </si>
  <si>
    <t>水电费</t>
  </si>
  <si>
    <t>合计(元)</t>
  </si>
  <si>
    <t>最终结算金额</t>
  </si>
  <si>
    <t>栾川山水文苑项目硬质景观清单及计价表</t>
  </si>
  <si>
    <t>项目特征描述</t>
  </si>
  <si>
    <t>计量
单位</t>
  </si>
  <si>
    <t>其中：各子项构成（元）</t>
  </si>
  <si>
    <t>含税综合单价(元)
f=(a+b+c+d+e)</t>
  </si>
  <si>
    <t>合价(元)=g*f</t>
  </si>
  <si>
    <t>人工费
a</t>
  </si>
  <si>
    <t>主材费
b</t>
  </si>
  <si>
    <t>机械、辅材及其他c</t>
  </si>
  <si>
    <t>管理费、利润、措施、规费等一切费用
d=(a+b+c)*费率</t>
  </si>
  <si>
    <t>税金
e=(a+b+c+d)*费率</t>
  </si>
  <si>
    <t>铺装</t>
  </si>
  <si>
    <t>挖土方</t>
  </si>
  <si>
    <t>1.土壤类别：综合
2.挖土深度：详设计
3.开挖方式：人工、机械综合考虑   
4.多余土方运送场内指定位置
5.其它满足规范和设计图纸要求</t>
  </si>
  <si>
    <t>m3</t>
  </si>
  <si>
    <t>扣除5#楼一层阳台面积70m2</t>
  </si>
  <si>
    <t>素土夯实</t>
  </si>
  <si>
    <t>1.素土夯实，密实度≥0.93
2、其它满足规范和设计图纸要求</t>
  </si>
  <si>
    <t>m2</t>
  </si>
  <si>
    <t>碎石垫层</t>
  </si>
  <si>
    <t>1.200厚级配碎石垫层，密实度≥0.93
2.其它说明：其它满足规范和设计图纸要求</t>
  </si>
  <si>
    <t>砼垫层</t>
  </si>
  <si>
    <t>1.混凝土强度等级:200厚C20砼垫层
2.混凝土拌合料要求：符合规范要求
3.模板安拆费用计入综合单价，支模方式综合考虑
4.其它满足规范和设计图纸要求</t>
  </si>
  <si>
    <t>仿石材面石英砖面层</t>
  </si>
  <si>
    <t>1.18厚300*600仿芝麻灰、黑荔枝面石英砖（按图施工）
2.30厚1：3干硬性水泥砂浆粘结层
3.其它满足规范和设计图纸要求</t>
  </si>
  <si>
    <t>扣除井盖铺装面积</t>
  </si>
  <si>
    <t>元</t>
  </si>
  <si>
    <r>
      <rPr>
        <sz val="10"/>
        <rFont val="宋体"/>
        <charset val="1"/>
      </rPr>
      <t>备注：</t>
    </r>
    <r>
      <rPr>
        <sz val="10"/>
        <rFont val="Arial"/>
        <charset val="1"/>
      </rPr>
      <t>1.</t>
    </r>
    <r>
      <rPr>
        <sz val="10"/>
        <rFont val="宋体"/>
        <charset val="1"/>
      </rPr>
      <t>综合单价包括且不限于人工、材料、机械、措施、检验检测、规费、管理费、利润、税金</t>
    </r>
    <r>
      <rPr>
        <sz val="10"/>
        <rFont val="Arial"/>
        <charset val="1"/>
      </rPr>
      <t>(</t>
    </r>
    <r>
      <rPr>
        <sz val="10"/>
        <rFont val="宋体"/>
        <charset val="1"/>
      </rPr>
      <t>增值税专用发票</t>
    </r>
    <r>
      <rPr>
        <sz val="10"/>
        <rFont val="Arial"/>
        <charset val="1"/>
      </rPr>
      <t>)</t>
    </r>
    <r>
      <rPr>
        <sz val="10"/>
        <rFont val="宋体"/>
        <charset val="1"/>
      </rPr>
      <t>、赶工措施、安全防护、现场文明施工措施、风险等全部费用。</t>
    </r>
    <r>
      <rPr>
        <sz val="10"/>
        <rFont val="Arial"/>
        <charset val="1"/>
      </rPr>
      <t xml:space="preserve">
     2.</t>
    </r>
    <r>
      <rPr>
        <sz val="10"/>
        <rFont val="宋体"/>
        <charset val="1"/>
      </rPr>
      <t>本工程清单，无论是否存在缺项、漏项、工程量偏差，均视为乙方已综合考虑在固定合同总价内。</t>
    </r>
  </si>
  <si>
    <t>合同外增加费用</t>
  </si>
  <si>
    <t>长</t>
  </si>
  <si>
    <t>宽</t>
  </si>
  <si>
    <t>高</t>
  </si>
  <si>
    <t>综合单价</t>
  </si>
  <si>
    <t>增加挡土墙 400高</t>
  </si>
  <si>
    <t>参照合同价</t>
  </si>
  <si>
    <t>增加挡土墙外粉刷+真石漆 400高</t>
  </si>
  <si>
    <t>参照真石漆合同</t>
  </si>
  <si>
    <t>挡土墙外墙砌体   1.2高</t>
  </si>
  <si>
    <t>370柱子</t>
  </si>
  <si>
    <t>钢筋 2根直径8</t>
  </si>
  <si>
    <t>kg</t>
  </si>
  <si>
    <t>协商</t>
  </si>
  <si>
    <r>
      <rPr>
        <sz val="10"/>
        <color rgb="FFFF0000"/>
        <rFont val="Arial"/>
        <charset val="1"/>
      </rPr>
      <t>100</t>
    </r>
    <r>
      <rPr>
        <sz val="10"/>
        <color rgb="FFFF0000"/>
        <rFont val="宋体"/>
        <charset val="1"/>
      </rPr>
      <t>厚</t>
    </r>
    <r>
      <rPr>
        <sz val="10"/>
        <color rgb="FFFF0000"/>
        <rFont val="Arial"/>
        <charset val="1"/>
      </rPr>
      <t>C20</t>
    </r>
    <r>
      <rPr>
        <sz val="10"/>
        <color rgb="FFFF0000"/>
        <rFont val="宋体"/>
        <charset val="1"/>
      </rPr>
      <t>混凝土垫层</t>
    </r>
  </si>
  <si>
    <t>挡土墙外墙粉刷 1.2高</t>
  </si>
  <si>
    <t>挡土墙外墙真石漆刷 1.2高</t>
  </si>
  <si>
    <r>
      <rPr>
        <sz val="10"/>
        <rFont val="Arial"/>
        <charset val="1"/>
      </rPr>
      <t>18</t>
    </r>
    <r>
      <rPr>
        <sz val="10"/>
        <rFont val="宋体"/>
        <charset val="1"/>
      </rPr>
      <t>厚</t>
    </r>
    <r>
      <rPr>
        <sz val="10"/>
        <rFont val="Arial"/>
        <charset val="1"/>
      </rPr>
      <t>600x300</t>
    </r>
    <r>
      <rPr>
        <sz val="10"/>
        <rFont val="宋体"/>
        <charset val="1"/>
      </rPr>
      <t>芝麻黑荔枝面仿石砖</t>
    </r>
  </si>
  <si>
    <t>售楼部后挡墙</t>
  </si>
  <si>
    <t>MU10页岩砖M7.5水泥砂浆砌筑</t>
  </si>
  <si>
    <t>间隔3米加强柱一个</t>
  </si>
  <si>
    <r>
      <rPr>
        <sz val="10"/>
        <rFont val="Arial"/>
        <charset val="1"/>
      </rPr>
      <t>c20</t>
    </r>
    <r>
      <rPr>
        <sz val="10"/>
        <rFont val="宋体"/>
        <charset val="1"/>
      </rPr>
      <t>钢筋混凝土压顶</t>
    </r>
  </si>
  <si>
    <r>
      <rPr>
        <sz val="10"/>
        <rFont val="宋体"/>
        <charset val="1"/>
      </rPr>
      <t>钢筋</t>
    </r>
    <r>
      <rPr>
        <sz val="10"/>
        <rFont val="Arial"/>
        <charset val="1"/>
      </rPr>
      <t xml:space="preserve">14 </t>
    </r>
  </si>
  <si>
    <t>钢筋8</t>
  </si>
  <si>
    <t>100厚C20混凝土垫层</t>
  </si>
  <si>
    <r>
      <rPr>
        <sz val="10"/>
        <rFont val="Arial"/>
        <charset val="1"/>
      </rPr>
      <t>100</t>
    </r>
    <r>
      <rPr>
        <sz val="10"/>
        <rFont val="宋体"/>
        <charset val="1"/>
      </rPr>
      <t>厚</t>
    </r>
    <r>
      <rPr>
        <sz val="10"/>
        <rFont val="Arial"/>
        <charset val="1"/>
      </rPr>
      <t>C20</t>
    </r>
    <r>
      <rPr>
        <sz val="10"/>
        <rFont val="宋体"/>
        <charset val="1"/>
      </rPr>
      <t>混凝土垫层（柱子）</t>
    </r>
  </si>
  <si>
    <t>100厚级配碎石垫层（密实度≥93%）</t>
  </si>
  <si>
    <r>
      <rPr>
        <sz val="10"/>
        <rFont val="Arial"/>
        <charset val="1"/>
      </rPr>
      <t>100</t>
    </r>
    <r>
      <rPr>
        <sz val="10"/>
        <rFont val="宋体"/>
        <charset val="1"/>
      </rPr>
      <t>厚级配碎石垫层（密实度</t>
    </r>
    <r>
      <rPr>
        <sz val="10"/>
        <rFont val="Arial"/>
        <charset val="1"/>
      </rPr>
      <t>≥93%</t>
    </r>
    <r>
      <rPr>
        <sz val="10"/>
        <rFont val="宋体"/>
        <charset val="1"/>
      </rPr>
      <t>）柱子</t>
    </r>
  </si>
  <si>
    <t>外喷深灰色水包砂仿石漆</t>
  </si>
  <si>
    <r>
      <rPr>
        <sz val="10"/>
        <rFont val="宋体"/>
        <charset val="1"/>
      </rPr>
      <t>挡土墙外墙粉刷</t>
    </r>
    <r>
      <rPr>
        <sz val="10"/>
        <rFont val="Arial"/>
        <charset val="1"/>
      </rPr>
      <t xml:space="preserve"> </t>
    </r>
  </si>
  <si>
    <t>30厚600x300 芝麻黑花岗石烧面 压顶</t>
  </si>
  <si>
    <t>售楼部侯踏步</t>
  </si>
  <si>
    <t xml:space="preserve"> 台阶石材  20厚220*600芝麻黑花岗岩烧面</t>
  </si>
  <si>
    <t>100*100  台阶石材</t>
  </si>
  <si>
    <t>m</t>
  </si>
  <si>
    <t>景观价格</t>
  </si>
  <si>
    <r>
      <rPr>
        <sz val="10"/>
        <rFont val="Arial"/>
        <charset val="1"/>
      </rPr>
      <t>100</t>
    </r>
    <r>
      <rPr>
        <sz val="10"/>
        <rFont val="宋体"/>
        <charset val="1"/>
      </rPr>
      <t>厚</t>
    </r>
    <r>
      <rPr>
        <sz val="10"/>
        <rFont val="Arial"/>
        <charset val="1"/>
      </rPr>
      <t>C20</t>
    </r>
    <r>
      <rPr>
        <sz val="10"/>
        <rFont val="宋体"/>
        <charset val="1"/>
      </rPr>
      <t>混凝土垫层</t>
    </r>
  </si>
  <si>
    <t>平台</t>
  </si>
  <si>
    <r>
      <rPr>
        <sz val="10"/>
        <rFont val="Arial"/>
        <charset val="1"/>
      </rPr>
      <t>18</t>
    </r>
    <r>
      <rPr>
        <sz val="10"/>
        <rFont val="宋体"/>
        <charset val="1"/>
      </rPr>
      <t>厚</t>
    </r>
    <r>
      <rPr>
        <sz val="10"/>
        <rFont val="Arial"/>
        <charset val="1"/>
      </rPr>
      <t xml:space="preserve">600x300 </t>
    </r>
    <r>
      <rPr>
        <sz val="10"/>
        <rFont val="宋体"/>
        <charset val="1"/>
      </rPr>
      <t>仿芝麻灰荔枝面石英砖（售楼部北侧）</t>
    </r>
  </si>
  <si>
    <t>18厚600x300 仿芝麻灰荔枝面石英砖 （西侧平台）</t>
  </si>
  <si>
    <r>
      <rPr>
        <sz val="10"/>
        <rFont val="宋体"/>
        <charset val="1"/>
      </rPr>
      <t>成品坐等</t>
    </r>
    <r>
      <rPr>
        <sz val="10"/>
        <rFont val="Arial"/>
        <charset val="1"/>
      </rPr>
      <t>1.8*0.4m</t>
    </r>
    <r>
      <rPr>
        <sz val="10"/>
        <rFont val="宋体"/>
        <charset val="1"/>
      </rPr>
      <t>宽</t>
    </r>
  </si>
  <si>
    <t>个</t>
  </si>
  <si>
    <t>协商价格</t>
  </si>
  <si>
    <t>排水沟盖板石材  开孔</t>
  </si>
  <si>
    <t>石材不计算了，pc砖不扣，仅计算开孔费，经协商20元/个</t>
  </si>
  <si>
    <t>道路加宽及售楼部北侧与道路交接处理土方</t>
  </si>
  <si>
    <t>汀步石材 芝麻灰300*600*30mm</t>
  </si>
  <si>
    <t>乔木配置表</t>
  </si>
  <si>
    <t>规格</t>
  </si>
  <si>
    <t>数量</t>
  </si>
  <si>
    <t>单
位</t>
  </si>
  <si>
    <t>合价</t>
  </si>
  <si>
    <t>胸径(cm)</t>
  </si>
  <si>
    <t>树高(m)</t>
  </si>
  <si>
    <t>冠径(m)</t>
  </si>
  <si>
    <t>分支点（m）</t>
  </si>
  <si>
    <t>日本晚樱CS-B</t>
  </si>
  <si>
    <t>∅12</t>
  </si>
  <si>
    <t>4-4.5</t>
  </si>
  <si>
    <t>3-3.5</t>
  </si>
  <si>
    <t>1.2-1.5</t>
  </si>
  <si>
    <t>株</t>
  </si>
  <si>
    <t>约谈记录</t>
  </si>
  <si>
    <t>大叶黄杨球 W1.5m</t>
  </si>
  <si>
    <t>1.5-1.6</t>
  </si>
  <si>
    <t>全冠假植苗，冠型均匀完整，枝繁叶茂，修剪成型</t>
  </si>
  <si>
    <t>红叶石楠球 W1.5m</t>
  </si>
  <si>
    <t>1.3-1.5</t>
  </si>
  <si>
    <t>特别说明：1、选苗胸径/基径的浮动范围应不小于标注胸径/基径，且修剪后苗木冠幅、高度不能小于以上设计规格标准，基径按照离地30公分处测量；</t>
  </si>
  <si>
    <t>2、三方选定乔木必须由甲方、设计方、施工方共同确定树形；3、所有乔木需保证全冠栽植，可在保全树形的前提下适当疏枝疏叶;</t>
  </si>
  <si>
    <t>4、特选斜飘丛生朴树、特选弯杆朴树、特选斜飘山杏、丛生鸡爪槭与水景边红梅、丛生乌桕等乔木的倾斜方向参照ZS-2.01植物配置图中的箭头方向</t>
  </si>
  <si>
    <t>灌木地被配置表</t>
  </si>
  <si>
    <t>序
号</t>
  </si>
  <si>
    <t>高度(m)</t>
  </si>
  <si>
    <t>种植密度</t>
  </si>
  <si>
    <t>蓬径(m)</t>
  </si>
  <si>
    <t>大叶黄杨</t>
  </si>
  <si>
    <t>0.5-0.6</t>
  </si>
  <si>
    <t>25株/㎡</t>
  </si>
  <si>
    <t>0.26-0.3</t>
  </si>
  <si>
    <t>㎡</t>
  </si>
  <si>
    <t>红叶石楠B</t>
  </si>
  <si>
    <t>0.4-0.5</t>
  </si>
  <si>
    <t>36株/㎡</t>
  </si>
  <si>
    <t>大叶黄杨柱</t>
  </si>
  <si>
    <t>棵</t>
  </si>
  <si>
    <t>市场询价，协商确定</t>
  </si>
  <si>
    <t>瓜子黄杨</t>
  </si>
  <si>
    <t>草坪（含地坪整理）</t>
  </si>
  <si>
    <t>栾川山水文苑S1地块商业街工程招标清单与计价表-水电</t>
  </si>
  <si>
    <t>工程项目名称</t>
  </si>
  <si>
    <t>工程内容</t>
  </si>
  <si>
    <t>工程量
g</t>
  </si>
  <si>
    <t>品牌</t>
  </si>
  <si>
    <t>管理费及利润
d=(a+b+c)*费率</t>
  </si>
  <si>
    <t>景观照明</t>
  </si>
  <si>
    <t>配电箱</t>
  </si>
  <si>
    <t>1、名称:配电箱 AL-2
2、规格:370*600*600
3、含预埋、接地、端子接线等
4、未详尽处满足图纸设计、相关规范要求</t>
  </si>
  <si>
    <t>台</t>
  </si>
  <si>
    <t>商业柱灯</t>
  </si>
  <si>
    <t>1、名称:商业柱灯
2、规格：220V/50W LED/3000k IP65,H=4m
3、含灯具基础、预埋基础螺栓、接地、调试等
4、详见景观详图
5、未详尽处满足图纸设计、相关规范要求</t>
  </si>
  <si>
    <t>套</t>
  </si>
  <si>
    <t>特色灯3</t>
  </si>
  <si>
    <t>1、名称:特色灯3
2、规格：220V/10W LED/3000k IP65
3、详见景观详图
4、未详尽处满足图纸设计、相关规范要求</t>
  </si>
  <si>
    <t>手孔井1</t>
  </si>
  <si>
    <t>1、名称:手孔井1
2、规格:400*400*500(净尺寸)
3、未详尽处满足图纸设计、相关规范要求</t>
  </si>
  <si>
    <t>座</t>
  </si>
  <si>
    <t>井筒φ450，深400</t>
  </si>
  <si>
    <t>配管</t>
  </si>
  <si>
    <t>1、名称：配管
2、规格：PVC32
3、敷设方式:埋地敷设
4、未详尽处满足图纸设计、相关规范要求</t>
  </si>
  <si>
    <t>合同约定中财、公元，实际是使用联塑。经协商给排水管费用不再计取，此项费用不再调减</t>
  </si>
  <si>
    <t>1、名称：配管
2、规格：PVC25
3、敷设方式:埋地敷设
4、未详尽处满足图纸设计、相关规范要求</t>
  </si>
  <si>
    <t>南侧景观照明箱进线电缆</t>
  </si>
  <si>
    <r>
      <rPr>
        <sz val="9"/>
        <color rgb="FF000000"/>
        <rFont val="宋体"/>
        <charset val="134"/>
      </rPr>
      <t>1、名称：景观照明箱进线电缆
2、规格：</t>
    </r>
    <r>
      <rPr>
        <sz val="9"/>
        <color rgb="FFFF0000"/>
        <rFont val="宋体"/>
        <charset val="134"/>
      </rPr>
      <t>WDZ-YJY</t>
    </r>
    <r>
      <rPr>
        <sz val="9"/>
        <color rgb="FF000000"/>
        <rFont val="宋体"/>
        <charset val="134"/>
      </rPr>
      <t>-0.6/1KV-5*6
3、敷设方式:穿桥架或管敷设
4、未详尽处满足图纸设计、相关规范要求</t>
    </r>
  </si>
  <si>
    <t>三缆、郑缆、恒天、金水</t>
  </si>
  <si>
    <t>电缆</t>
  </si>
  <si>
    <t>1、名称：电缆
2、规格：YJV-3*4
3、敷设方式:穿管敷设
4、未详尽处满足图纸设计、相关规范要求</t>
  </si>
  <si>
    <t>1、名称：电缆
2、规格：YJV-3*2.5
3、敷设方式:穿管敷设
4、未详尽处满足图纸设计、相关规范要求</t>
  </si>
  <si>
    <t>1、名称:土方的开挖
2、含穿线管、配电箱基础、灯具基础、手孔井及变压器井土方</t>
  </si>
  <si>
    <t>回填方</t>
  </si>
  <si>
    <t>1、名称:土方的回填
2、含穿线管、配电箱基础、灯具基础、手孔井及变压器井土方</t>
  </si>
  <si>
    <t>景观给水</t>
  </si>
  <si>
    <t>快速取水阀</t>
  </si>
  <si>
    <t>1、名称：快速取水阀
2、规格：DN25
3、含埋地式(铜质)快速取水阀配套闸阀、成品箱体、铰接管等附件
4、未详尽处满足图纸设计、相关规范要求</t>
  </si>
  <si>
    <t>给水管</t>
  </si>
  <si>
    <t>1、名称：PE给水管,S4系列
2、规格：De25
3、连接方式：热熔连接
4、压力等级:1.25Mpa
5、压力试验及吹、洗设计要求: 满足规范及设计要求
6、未详尽处满足图纸设计、相关规范要求</t>
  </si>
  <si>
    <t>合同约定中财、公元，实际是使用联塑。经协商给排水管费用不再计取，</t>
  </si>
  <si>
    <t>1、名称：PE给水管,S4系列
2、规格：De32
3、连接方式：热熔连接
4、压力等级:1.25Mpa
5、压力试验及吹、洗设计要求: 满足规范及设计要求
6、未详尽处满足图纸设计、相关规范要求</t>
  </si>
  <si>
    <t>1、名称：PE给水管,S4系列
2、规格：De40
3、连接方式：热熔连接
4、压力等级:1.25Mpa
5、压力试验及吹、洗设计要求: 满足规范及设计要求
6、未详尽处满足图纸设计、相关规范要求</t>
  </si>
  <si>
    <t>1、名称：PE给水管,S4系列
2、规格：De50
3、连接方式：热熔连接
4、压力等级:1.25Mpa
5、压力试验及吹、洗设计要求: 满足规范及设计要求
6、未详尽处满足图纸设计、相关规范要求</t>
  </si>
  <si>
    <t>1、名称:土方的开挖
2、未详尽处满足图纸设计、相关规范要求</t>
  </si>
  <si>
    <t>回填土</t>
  </si>
  <si>
    <t>1、名称:土方的回填
2、未详尽处满足图纸设计、相关规范要求</t>
  </si>
  <si>
    <t>注：1.综合单价包括且不限于人工、材料、机械、措施、检验检测、规费、管理费、利润、税金(增值税专用发票)、赶工措施、安全防护、现场文明施工措施、风险等全部费用。
 2.本工程清单，无论是否存在缺项、漏项、工程量偏差，均视为乙方已综合考虑在固定合同总价内。</t>
  </si>
  <si>
    <t>栾川S1大区南侧景观排水安装工程清单与计价表</t>
  </si>
  <si>
    <t>景观排水</t>
  </si>
  <si>
    <t>双壁波纹管</t>
  </si>
  <si>
    <t>1、安装部位:室外
2、介质:景观排水
3、材质、规格：双壁波纹管环刚度为SN8(≥8KN/㎡)De200
4、连接形式:承插连接
5、管道基础：详见SS-4.01图纸设计
6、未详尽处满足图纸设计、相关规范要求</t>
  </si>
  <si>
    <t>高科</t>
  </si>
  <si>
    <t>雨篦子</t>
  </si>
  <si>
    <t>1、名称：雨篦子
2、规格：雨篦子,道路边缘用,做法详土建B-1.01(1)
3、未详尽处满足图纸设计、相关规范要求</t>
  </si>
  <si>
    <t>井圈及井盖安装</t>
  </si>
  <si>
    <t>1、名称:塑料检查井井圈及井盖安装（铺装）
2、规格：φ450
3、未详尽处满足图纸设计、相关规范要求</t>
  </si>
  <si>
    <t>1、名称:塑料检查井井圈及井盖安装（铺装）
2、规格：φ630
3、未详尽处满足图纸设计、相关规范要求</t>
  </si>
  <si>
    <t>小计（元）</t>
  </si>
  <si>
    <t>外网雨水</t>
  </si>
  <si>
    <t>高密度聚乙烯HDPE双壁波纹管</t>
  </si>
  <si>
    <t>1、安装部位:室外
2、介质:雨水
3、材质、规格：高密度聚乙烯HDPE双壁波纹管，环刚度为≥SN8(8KN/m2) DN400
4、连接形式:承插接口,弹性密封圈连接
5、管道基础：做法详图CECS164:2004
6、未详尽处满足图纸设计、相关规范要求</t>
  </si>
  <si>
    <t>1、安装部位:室外
2、介质:雨水
3、材质、规格：高密度聚乙烯HDPE双壁波纹管，环刚度为≥SN8(8KN/m2) DN300
4、连接形式:承插接口,弹性密封圈连接
5、管道基础：做法详图CECS164:2004
6、未详尽处满足图纸设计、相关规范要求</t>
  </si>
  <si>
    <t>塑料检查井</t>
  </si>
  <si>
    <t>1、名称：塑料检查井（不含井圈及井盖）
2、规格：Φ450mm,具体做法参照图集08SS523全册
3、未详尽处满足图纸设计、相关规范要求</t>
  </si>
  <si>
    <t>1、名称：塑料检查井（不含井圈及井盖）
2、规格：Φ630mm,具体做法参照图集08SS523全册
3、未详尽处满足图纸设计、相关规范要求</t>
  </si>
  <si>
    <t>小计</t>
  </si>
  <si>
    <t>外网污水</t>
  </si>
  <si>
    <t>1、安装部位:室外
2、介质:污水
3、材质、规格：高密度聚乙烯HDPE双壁波纹管，环刚度为≥SN8(8KN/m2) De500
4、连接形式:承插接口,弹性密封圈连接
5、管道基础：做法详图CECS164:2004
6、未详尽处满足图纸设计、相关规范要求</t>
  </si>
  <si>
    <t>1、安装部位:室外
2、介质:污水
3、材质、规格：高密度聚乙烯HDPE双壁波纹管，环刚度为≥SN8(8KN/m2) De400
4、连接形式:承插接口,弹性密封圈连接
5、管道基础：做法详图CECS164:2004
6、未详尽处满足图纸设计、相关规范要求</t>
  </si>
  <si>
    <t>1、安装部位:室外
2、介质:污水
3、材质、规格：高密度聚乙烯HDPE双壁波纹管，环刚度为≥SN8(8KN/m2) De300
4、连接形式:承插接口,弹性密封圈连接
5、管道基础：做法详图CECS164:2004
6、未详尽处满足图纸设计、相关规范要求</t>
  </si>
  <si>
    <t>四、井盖</t>
  </si>
  <si>
    <t>硬质铺装内装饰井圈及井盖</t>
  </si>
  <si>
    <t xml:space="preserve">1、名称：硬质铺装内装饰井圈及井盖
2、规格：Φ450mm，铺装面层（与周边铺装材质一致，不锈钢井盖边框，详见景观详图
</t>
  </si>
  <si>
    <t>仅计主材费，费用不计入报价内，后期据实结算</t>
  </si>
  <si>
    <t xml:space="preserve">1、名称：硬质铺装内装饰井圈及井盖
2、规格：Φ630mm，铺装面层（与周边铺装材质一致，不锈钢井盖边框，详见景观详图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</si>
</sst>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.00_);[Red]\(0.00\)"/>
    <numFmt numFmtId="179" formatCode="#,##0.00&quot;元&quot;"/>
    <numFmt numFmtId="180" formatCode="[DBNum2][$RMB]General;[Red][DBNum2][$RMB]General"/>
  </numFmts>
  <fonts count="71">
    <font>
      <sz val="10"/>
      <name val="Arial"/>
      <charset val="1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color indexed="8"/>
      <name val="Arial"/>
      <charset val="0"/>
    </font>
    <font>
      <sz val="10"/>
      <color theme="1"/>
      <name val="Arial"/>
      <charset val="0"/>
    </font>
    <font>
      <sz val="10"/>
      <name val="宋体"/>
      <charset val="134"/>
    </font>
    <font>
      <sz val="12"/>
      <name val="宋体"/>
      <charset val="134"/>
      <scheme val="minor"/>
    </font>
    <font>
      <sz val="9"/>
      <name val="Arial"/>
      <charset val="134"/>
    </font>
    <font>
      <sz val="10"/>
      <name val="Arial"/>
      <charset val="134"/>
    </font>
    <font>
      <sz val="9"/>
      <name val="Arial"/>
      <charset val="1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.5"/>
      <color indexed="8"/>
      <name val="宋体"/>
      <charset val="134"/>
    </font>
    <font>
      <sz val="14"/>
      <name val="宋体"/>
      <charset val="1"/>
    </font>
    <font>
      <sz val="14"/>
      <name val="Arial"/>
      <charset val="1"/>
    </font>
    <font>
      <sz val="10"/>
      <color theme="1"/>
      <name val="宋体"/>
      <charset val="134"/>
    </font>
    <font>
      <sz val="10"/>
      <color theme="1"/>
      <name val="新宋体"/>
      <charset val="134"/>
    </font>
    <font>
      <sz val="11"/>
      <color theme="1"/>
      <name val="宋体"/>
      <charset val="134"/>
    </font>
    <font>
      <sz val="10"/>
      <name val="宋体"/>
      <charset val="1"/>
    </font>
    <font>
      <b/>
      <sz val="14"/>
      <color theme="1"/>
      <name val="宋体"/>
      <charset val="134"/>
    </font>
    <font>
      <sz val="10"/>
      <name val="新宋体"/>
      <charset val="134"/>
    </font>
    <font>
      <b/>
      <sz val="10"/>
      <name val="新宋体"/>
      <charset val="134"/>
    </font>
    <font>
      <b/>
      <sz val="11"/>
      <color theme="1"/>
      <name val="宋体"/>
      <charset val="134"/>
    </font>
    <font>
      <b/>
      <sz val="9"/>
      <color theme="1"/>
      <name val="新宋体"/>
      <charset val="134"/>
    </font>
    <font>
      <sz val="9"/>
      <color theme="1"/>
      <name val="新宋体"/>
      <charset val="134"/>
    </font>
    <font>
      <sz val="18"/>
      <name val="宋体"/>
      <charset val="1"/>
    </font>
    <font>
      <sz val="10"/>
      <color rgb="FFFF0000"/>
      <name val="宋体"/>
      <charset val="1"/>
    </font>
    <font>
      <sz val="10"/>
      <color rgb="FFFF0000"/>
      <name val="Arial"/>
      <charset val="1"/>
    </font>
    <font>
      <b/>
      <sz val="9"/>
      <name val="宋体"/>
      <charset val="134"/>
    </font>
    <font>
      <b/>
      <sz val="10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1"/>
      <color indexed="8"/>
      <name val="宋体"/>
      <charset val="134"/>
    </font>
    <font>
      <sz val="12"/>
      <name val="Times New Roman"/>
      <charset val="134"/>
    </font>
    <font>
      <sz val="9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47" fillId="0" borderId="0" applyFont="0" applyFill="0" applyBorder="0" applyAlignment="0" applyProtection="0">
      <alignment vertical="center"/>
    </xf>
    <xf numFmtId="44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2" fontId="4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6" borderId="33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34" applyNumberFormat="0" applyFill="0" applyAlignment="0" applyProtection="0">
      <alignment vertical="center"/>
    </xf>
    <xf numFmtId="0" fontId="54" fillId="0" borderId="34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7" borderId="36" applyNumberFormat="0" applyAlignment="0" applyProtection="0">
      <alignment vertical="center"/>
    </xf>
    <xf numFmtId="0" fontId="57" fillId="8" borderId="37" applyNumberFormat="0" applyAlignment="0" applyProtection="0">
      <alignment vertical="center"/>
    </xf>
    <xf numFmtId="0" fontId="58" fillId="8" borderId="36" applyNumberFormat="0" applyAlignment="0" applyProtection="0">
      <alignment vertical="center"/>
    </xf>
    <xf numFmtId="0" fontId="59" fillId="9" borderId="38" applyNumberFormat="0" applyAlignment="0" applyProtection="0">
      <alignment vertical="center"/>
    </xf>
    <xf numFmtId="0" fontId="60" fillId="0" borderId="39" applyNumberFormat="0" applyFill="0" applyAlignment="0" applyProtection="0">
      <alignment vertical="center"/>
    </xf>
    <xf numFmtId="0" fontId="61" fillId="0" borderId="40" applyNumberFormat="0" applyFill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8" fillId="0" borderId="0">
      <alignment vertical="center"/>
    </xf>
    <xf numFmtId="0" fontId="1" fillId="0" borderId="0">
      <alignment vertical="center"/>
    </xf>
    <xf numFmtId="0" fontId="69" fillId="0" borderId="0"/>
    <xf numFmtId="0" fontId="4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176" fontId="3" fillId="0" borderId="6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176" fontId="3" fillId="0" borderId="8" xfId="0" applyNumberFormat="1" applyFont="1" applyFill="1" applyBorder="1" applyAlignment="1" applyProtection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 applyProtection="1">
      <alignment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177" fontId="5" fillId="0" borderId="9" xfId="0" applyNumberFormat="1" applyFont="1" applyFill="1" applyBorder="1" applyAlignment="1">
      <alignment vertical="center"/>
    </xf>
    <xf numFmtId="177" fontId="6" fillId="0" borderId="9" xfId="0" applyNumberFormat="1" applyFont="1" applyFill="1" applyBorder="1" applyAlignment="1">
      <alignment vertical="center"/>
    </xf>
    <xf numFmtId="176" fontId="7" fillId="0" borderId="9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wrapText="1"/>
    </xf>
    <xf numFmtId="177" fontId="6" fillId="2" borderId="9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 wrapText="1"/>
    </xf>
    <xf numFmtId="176" fontId="3" fillId="0" borderId="9" xfId="53" applyNumberFormat="1" applyFont="1" applyFill="1" applyBorder="1" applyAlignment="1">
      <alignment horizontal="right" vertical="center"/>
    </xf>
    <xf numFmtId="176" fontId="3" fillId="0" borderId="9" xfId="0" applyNumberFormat="1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176" fontId="4" fillId="3" borderId="9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176" fontId="3" fillId="0" borderId="10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9" fillId="0" borderId="9" xfId="0" applyNumberFormat="1" applyFont="1" applyFill="1" applyBorder="1" applyAlignment="1" applyProtection="1">
      <alignment horizontal="center" vertical="center"/>
      <protection locked="0"/>
    </xf>
    <xf numFmtId="176" fontId="0" fillId="0" borderId="9" xfId="0" applyNumberFormat="1" applyFill="1" applyBorder="1" applyAlignment="1">
      <alignment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vertical="center"/>
    </xf>
    <xf numFmtId="176" fontId="11" fillId="0" borderId="9" xfId="0" applyNumberFormat="1" applyFont="1" applyFill="1" applyBorder="1" applyAlignment="1">
      <alignment vertical="center"/>
    </xf>
    <xf numFmtId="0" fontId="4" fillId="0" borderId="9" xfId="0" applyFont="1" applyFill="1" applyBorder="1" applyAlignment="1"/>
    <xf numFmtId="0" fontId="9" fillId="0" borderId="9" xfId="0" applyFont="1" applyFill="1" applyBorder="1" applyAlignment="1"/>
    <xf numFmtId="0" fontId="3" fillId="0" borderId="9" xfId="0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176" fontId="0" fillId="0" borderId="9" xfId="0" applyNumberFormat="1" applyFill="1" applyBorder="1" applyAlignment="1">
      <alignment horizontal="center" vertical="center"/>
    </xf>
    <xf numFmtId="176" fontId="0" fillId="3" borderId="9" xfId="0" applyNumberForma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center" vertical="center" wrapText="1"/>
    </xf>
    <xf numFmtId="176" fontId="12" fillId="0" borderId="9" xfId="0" applyNumberFormat="1" applyFont="1" applyFill="1" applyBorder="1" applyAlignment="1">
      <alignment horizontal="center" vertical="center" wrapText="1"/>
    </xf>
    <xf numFmtId="176" fontId="12" fillId="2" borderId="9" xfId="0" applyNumberFormat="1" applyFont="1" applyFill="1" applyBorder="1" applyAlignment="1">
      <alignment horizontal="center" vertical="center" wrapText="1"/>
    </xf>
    <xf numFmtId="176" fontId="4" fillId="4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left" vertical="center" wrapText="1"/>
    </xf>
    <xf numFmtId="176" fontId="15" fillId="0" borderId="11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Alignment="1">
      <alignment vertical="center"/>
    </xf>
    <xf numFmtId="0" fontId="3" fillId="0" borderId="9" xfId="0" applyFont="1" applyFill="1" applyBorder="1" applyAlignment="1">
      <alignment vertical="center" wrapText="1"/>
    </xf>
    <xf numFmtId="176" fontId="0" fillId="0" borderId="9" xfId="0" applyNumberFormat="1" applyBorder="1" applyAlignment="1">
      <alignment vertical="center"/>
    </xf>
    <xf numFmtId="176" fontId="3" fillId="0" borderId="9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9" xfId="54" applyFont="1" applyFill="1" applyBorder="1" applyAlignment="1">
      <alignment horizontal="center" vertical="center" wrapText="1"/>
    </xf>
    <xf numFmtId="0" fontId="18" fillId="0" borderId="9" xfId="54" applyFont="1" applyFill="1" applyBorder="1" applyAlignment="1">
      <alignment horizontal="left" vertical="center" wrapText="1"/>
    </xf>
    <xf numFmtId="49" fontId="18" fillId="0" borderId="9" xfId="54" applyNumberFormat="1" applyFont="1" applyFill="1" applyBorder="1" applyAlignment="1">
      <alignment horizontal="center" vertical="center"/>
    </xf>
    <xf numFmtId="0" fontId="18" fillId="0" borderId="2" xfId="54" applyFont="1" applyFill="1" applyBorder="1" applyAlignment="1">
      <alignment horizontal="center" vertical="center" wrapText="1"/>
    </xf>
    <xf numFmtId="49" fontId="18" fillId="0" borderId="9" xfId="54" applyNumberFormat="1" applyFont="1" applyFill="1" applyBorder="1" applyAlignment="1">
      <alignment horizontal="center" vertical="center" wrapText="1"/>
    </xf>
    <xf numFmtId="0" fontId="18" fillId="0" borderId="8" xfId="54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/>
    </xf>
    <xf numFmtId="0" fontId="18" fillId="0" borderId="9" xfId="55" applyFont="1" applyFill="1" applyBorder="1" applyAlignment="1" applyProtection="1">
      <alignment horizontal="left" vertical="center" wrapText="1"/>
    </xf>
    <xf numFmtId="0" fontId="18" fillId="0" borderId="9" xfId="55" applyFont="1" applyFill="1" applyBorder="1" applyAlignment="1" applyProtection="1">
      <alignment horizontal="center" vertical="center" wrapText="1"/>
    </xf>
    <xf numFmtId="0" fontId="18" fillId="0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20" fillId="0" borderId="9" xfId="0" applyFont="1" applyFill="1" applyBorder="1" applyAlignment="1">
      <alignment vertical="center"/>
    </xf>
    <xf numFmtId="0" fontId="20" fillId="0" borderId="9" xfId="0" applyFont="1" applyFill="1" applyBorder="1" applyAlignment="1">
      <alignment horizontal="center" vertical="center"/>
    </xf>
    <xf numFmtId="0" fontId="18" fillId="0" borderId="9" xfId="49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21" fillId="0" borderId="9" xfId="0" applyFont="1" applyBorder="1"/>
    <xf numFmtId="0" fontId="0" fillId="0" borderId="9" xfId="0" applyBorder="1"/>
    <xf numFmtId="0" fontId="21" fillId="0" borderId="9" xfId="0" applyFont="1" applyBorder="1" applyAlignment="1">
      <alignment wrapText="1"/>
    </xf>
    <xf numFmtId="176" fontId="0" fillId="0" borderId="9" xfId="0" applyNumberFormat="1" applyBorder="1"/>
    <xf numFmtId="0" fontId="22" fillId="0" borderId="9" xfId="0" applyFont="1" applyFill="1" applyBorder="1" applyAlignment="1">
      <alignment horizontal="center" vertical="center"/>
    </xf>
    <xf numFmtId="49" fontId="18" fillId="0" borderId="3" xfId="54" applyNumberFormat="1" applyFont="1" applyFill="1" applyBorder="1" applyAlignment="1">
      <alignment horizontal="center" vertical="center"/>
    </xf>
    <xf numFmtId="49" fontId="18" fillId="0" borderId="4" xfId="54" applyNumberFormat="1" applyFont="1" applyFill="1" applyBorder="1" applyAlignment="1">
      <alignment horizontal="center" vertical="center"/>
    </xf>
    <xf numFmtId="49" fontId="18" fillId="0" borderId="10" xfId="54" applyNumberFormat="1" applyFont="1" applyFill="1" applyBorder="1" applyAlignment="1">
      <alignment horizontal="center" vertical="center"/>
    </xf>
    <xf numFmtId="0" fontId="18" fillId="0" borderId="9" xfId="54" applyNumberFormat="1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left" vertical="center"/>
    </xf>
    <xf numFmtId="49" fontId="19" fillId="5" borderId="9" xfId="0" applyNumberFormat="1" applyFont="1" applyFill="1" applyBorder="1" applyAlignment="1">
      <alignment horizontal="center" vertical="center"/>
    </xf>
    <xf numFmtId="0" fontId="19" fillId="0" borderId="9" xfId="0" applyNumberFormat="1" applyFont="1" applyFill="1" applyBorder="1" applyAlignment="1">
      <alignment horizontal="center" vertical="center"/>
    </xf>
    <xf numFmtId="0" fontId="18" fillId="0" borderId="9" xfId="52" applyFont="1" applyFill="1" applyBorder="1" applyAlignment="1">
      <alignment horizontal="left" vertical="center"/>
    </xf>
    <xf numFmtId="0" fontId="18" fillId="0" borderId="9" xfId="52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left" vertical="center"/>
    </xf>
    <xf numFmtId="49" fontId="19" fillId="0" borderId="9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26" fillId="0" borderId="9" xfId="0" applyFont="1" applyFill="1" applyBorder="1" applyAlignment="1">
      <alignment vertical="center"/>
    </xf>
    <xf numFmtId="0" fontId="27" fillId="0" borderId="9" xfId="54" applyFont="1" applyFill="1" applyBorder="1" applyAlignment="1">
      <alignment horizontal="left" vertical="center" wrapText="1"/>
    </xf>
    <xf numFmtId="176" fontId="19" fillId="0" borderId="9" xfId="0" applyNumberFormat="1" applyFont="1" applyFill="1" applyBorder="1" applyAlignment="1">
      <alignment horizontal="center" vertical="center"/>
    </xf>
    <xf numFmtId="0" fontId="19" fillId="0" borderId="9" xfId="54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/>
    </xf>
    <xf numFmtId="176" fontId="21" fillId="0" borderId="9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/>
    </xf>
    <xf numFmtId="0" fontId="0" fillId="0" borderId="9" xfId="0" applyBorder="1" applyAlignment="1"/>
    <xf numFmtId="0" fontId="30" fillId="0" borderId="9" xfId="0" applyFont="1" applyBorder="1" applyAlignment="1">
      <alignment horizontal="left" vertical="center" wrapText="1"/>
    </xf>
    <xf numFmtId="176" fontId="0" fillId="0" borderId="9" xfId="0" applyNumberFormat="1" applyBorder="1" applyAlignment="1"/>
    <xf numFmtId="0" fontId="0" fillId="0" borderId="2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176" fontId="0" fillId="0" borderId="9" xfId="0" applyNumberFormat="1" applyBorder="1" applyAlignment="1">
      <alignment horizontal="center"/>
    </xf>
    <xf numFmtId="0" fontId="0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/>
    </xf>
    <xf numFmtId="0" fontId="21" fillId="0" borderId="9" xfId="0" applyFont="1" applyBorder="1" applyAlignment="1">
      <alignment horizontal="left" wrapText="1"/>
    </xf>
    <xf numFmtId="0" fontId="21" fillId="0" borderId="9" xfId="0" applyFont="1" applyBorder="1" applyAlignment="1">
      <alignment horizontal="left"/>
    </xf>
    <xf numFmtId="0" fontId="0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wrapText="1"/>
    </xf>
    <xf numFmtId="0" fontId="0" fillId="0" borderId="9" xfId="0" applyFont="1" applyBorder="1" applyAlignment="1">
      <alignment horizontal="left" wrapText="1"/>
    </xf>
    <xf numFmtId="0" fontId="11" fillId="5" borderId="0" xfId="0" applyFont="1" applyFill="1" applyProtection="1">
      <protection locked="0"/>
    </xf>
    <xf numFmtId="0" fontId="11" fillId="5" borderId="0" xfId="0" applyFont="1" applyFill="1" applyAlignment="1" applyProtection="1">
      <alignment vertical="center"/>
      <protection locked="0"/>
    </xf>
    <xf numFmtId="0" fontId="11" fillId="5" borderId="0" xfId="0" applyFont="1" applyFill="1" applyBorder="1" applyAlignment="1" applyProtection="1">
      <alignment horizontal="center"/>
    </xf>
    <xf numFmtId="0" fontId="11" fillId="5" borderId="0" xfId="0" applyFont="1" applyFill="1" applyBorder="1" applyProtection="1"/>
    <xf numFmtId="0" fontId="11" fillId="5" borderId="0" xfId="0" applyFont="1" applyFill="1" applyBorder="1" applyAlignment="1" applyProtection="1">
      <alignment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vertical="center"/>
    </xf>
    <xf numFmtId="0" fontId="11" fillId="5" borderId="0" xfId="0" applyFont="1" applyFill="1" applyBorder="1" applyProtection="1">
      <protection locked="0"/>
    </xf>
    <xf numFmtId="0" fontId="2" fillId="5" borderId="0" xfId="0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176" fontId="3" fillId="5" borderId="9" xfId="0" applyNumberFormat="1" applyFont="1" applyFill="1" applyBorder="1" applyAlignment="1">
      <alignment horizontal="center" vertical="center" wrapText="1"/>
    </xf>
    <xf numFmtId="0" fontId="3" fillId="5" borderId="6" xfId="0" applyFont="1" applyFill="1" applyBorder="1" applyAlignment="1" applyProtection="1">
      <alignment horizontal="center" vertical="center" wrapText="1"/>
    </xf>
    <xf numFmtId="176" fontId="3" fillId="5" borderId="2" xfId="0" applyNumberFormat="1" applyFont="1" applyFill="1" applyBorder="1" applyAlignment="1">
      <alignment horizontal="center" vertical="center" wrapText="1"/>
    </xf>
    <xf numFmtId="0" fontId="31" fillId="5" borderId="9" xfId="0" applyFont="1" applyFill="1" applyBorder="1" applyAlignment="1" applyProtection="1">
      <alignment horizontal="center" vertical="center" wrapText="1"/>
    </xf>
    <xf numFmtId="0" fontId="32" fillId="5" borderId="9" xfId="0" applyFont="1" applyFill="1" applyBorder="1" applyAlignment="1" applyProtection="1">
      <alignment horizontal="left" vertical="center" wrapText="1"/>
    </xf>
    <xf numFmtId="0" fontId="3" fillId="5" borderId="9" xfId="0" applyFont="1" applyFill="1" applyBorder="1" applyAlignment="1" applyProtection="1">
      <alignment horizontal="left" vertical="center" wrapText="1"/>
    </xf>
    <xf numFmtId="0" fontId="3" fillId="5" borderId="9" xfId="0" applyFont="1" applyFill="1" applyBorder="1" applyAlignment="1" applyProtection="1">
      <alignment horizontal="center" vertical="center" wrapText="1"/>
    </xf>
    <xf numFmtId="176" fontId="13" fillId="5" borderId="9" xfId="0" applyNumberFormat="1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176" fontId="3" fillId="5" borderId="9" xfId="0" applyNumberFormat="1" applyFont="1" applyFill="1" applyBorder="1" applyAlignment="1" applyProtection="1">
      <alignment horizontal="center" vertical="center" wrapText="1"/>
    </xf>
    <xf numFmtId="176" fontId="3" fillId="5" borderId="9" xfId="53" applyNumberFormat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176" fontId="4" fillId="5" borderId="9" xfId="0" applyNumberFormat="1" applyFont="1" applyFill="1" applyBorder="1" applyAlignment="1">
      <alignment horizontal="center" vertical="center" wrapText="1"/>
    </xf>
    <xf numFmtId="0" fontId="11" fillId="5" borderId="9" xfId="0" applyFont="1" applyFill="1" applyBorder="1" applyAlignment="1" applyProtection="1">
      <alignment horizontal="center" vertical="center"/>
      <protection locked="0"/>
    </xf>
    <xf numFmtId="176" fontId="3" fillId="2" borderId="9" xfId="0" applyNumberFormat="1" applyFont="1" applyFill="1" applyBorder="1" applyAlignment="1" applyProtection="1">
      <alignment horizontal="center" vertical="center" wrapText="1"/>
    </xf>
    <xf numFmtId="0" fontId="33" fillId="5" borderId="9" xfId="0" applyNumberFormat="1" applyFont="1" applyFill="1" applyBorder="1" applyAlignment="1" applyProtection="1">
      <alignment horizontal="center" vertical="center" wrapText="1"/>
    </xf>
    <xf numFmtId="0" fontId="34" fillId="5" borderId="9" xfId="0" applyNumberFormat="1" applyFont="1" applyFill="1" applyBorder="1" applyAlignment="1" applyProtection="1">
      <alignment horizontal="center" vertical="center" wrapText="1"/>
    </xf>
    <xf numFmtId="0" fontId="1" fillId="5" borderId="9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vertical="center"/>
    </xf>
    <xf numFmtId="0" fontId="21" fillId="5" borderId="0" xfId="0" applyFont="1" applyFill="1" applyBorder="1" applyAlignment="1" applyProtection="1">
      <alignment horizontal="left" vertical="center" wrapText="1"/>
    </xf>
    <xf numFmtId="0" fontId="0" fillId="5" borderId="0" xfId="0" applyFont="1" applyFill="1" applyBorder="1" applyAlignment="1" applyProtection="1">
      <alignment horizontal="left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vertical="center"/>
    </xf>
    <xf numFmtId="0" fontId="2" fillId="5" borderId="0" xfId="0" applyFont="1" applyFill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176" fontId="3" fillId="5" borderId="6" xfId="0" applyNumberFormat="1" applyFont="1" applyFill="1" applyBorder="1" applyAlignment="1">
      <alignment horizontal="center" vertical="center" wrapText="1"/>
    </xf>
    <xf numFmtId="0" fontId="3" fillId="5" borderId="6" xfId="0" applyFont="1" applyFill="1" applyBorder="1" applyAlignment="1" applyProtection="1">
      <alignment horizontal="center" vertical="center" wrapText="1"/>
      <protection locked="0"/>
    </xf>
    <xf numFmtId="0" fontId="13" fillId="5" borderId="9" xfId="0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 applyProtection="1">
      <alignment horizontal="center" vertical="center" wrapText="1"/>
      <protection locked="0"/>
    </xf>
    <xf numFmtId="176" fontId="11" fillId="5" borderId="9" xfId="0" applyNumberFormat="1" applyFont="1" applyFill="1" applyBorder="1" applyAlignment="1">
      <alignment vertical="center"/>
    </xf>
    <xf numFmtId="176" fontId="3" fillId="5" borderId="9" xfId="0" applyNumberFormat="1" applyFont="1" applyFill="1" applyBorder="1" applyAlignment="1">
      <alignment horizontal="center" vertical="center"/>
    </xf>
    <xf numFmtId="0" fontId="3" fillId="5" borderId="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vertical="center"/>
    </xf>
    <xf numFmtId="0" fontId="35" fillId="0" borderId="9" xfId="0" applyFont="1" applyFill="1" applyBorder="1" applyAlignment="1">
      <alignment horizontal="center" vertical="center"/>
    </xf>
    <xf numFmtId="176" fontId="36" fillId="0" borderId="9" xfId="0" applyNumberFormat="1" applyFont="1" applyFill="1" applyBorder="1" applyAlignment="1">
      <alignment horizontal="center" vertical="center" wrapText="1"/>
    </xf>
    <xf numFmtId="176" fontId="35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178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1" fillId="0" borderId="0" xfId="0" applyFont="1" applyAlignment="1">
      <alignment horizontal="right"/>
    </xf>
    <xf numFmtId="176" fontId="0" fillId="0" borderId="0" xfId="0" applyNumberFormat="1" applyAlignment="1">
      <alignment horizontal="center"/>
    </xf>
    <xf numFmtId="0" fontId="37" fillId="0" borderId="0" xfId="0" applyFont="1" applyFill="1" applyAlignment="1">
      <alignment horizontal="center" vertical="center" wrapText="1"/>
    </xf>
    <xf numFmtId="0" fontId="37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39" fillId="0" borderId="13" xfId="0" applyFont="1" applyFill="1" applyBorder="1" applyAlignment="1">
      <alignment horizontal="center" vertical="center" wrapText="1"/>
    </xf>
    <xf numFmtId="0" fontId="39" fillId="0" borderId="14" xfId="0" applyFont="1" applyFill="1" applyBorder="1" applyAlignment="1">
      <alignment horizontal="center" vertical="center" wrapText="1"/>
    </xf>
    <xf numFmtId="0" fontId="39" fillId="0" borderId="15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justify" vertical="top" wrapText="1"/>
    </xf>
    <xf numFmtId="0" fontId="40" fillId="0" borderId="14" xfId="0" applyFont="1" applyFill="1" applyBorder="1" applyAlignment="1">
      <alignment horizontal="justify" vertical="top" wrapText="1"/>
    </xf>
    <xf numFmtId="0" fontId="40" fillId="0" borderId="15" xfId="0" applyFont="1" applyFill="1" applyBorder="1" applyAlignment="1">
      <alignment horizontal="justify" vertical="top" wrapText="1"/>
    </xf>
    <xf numFmtId="0" fontId="41" fillId="0" borderId="17" xfId="0" applyFont="1" applyFill="1" applyBorder="1" applyAlignment="1">
      <alignment horizontal="center" vertical="top" wrapText="1"/>
    </xf>
    <xf numFmtId="176" fontId="41" fillId="0" borderId="17" xfId="0" applyNumberFormat="1" applyFont="1" applyFill="1" applyBorder="1" applyAlignment="1">
      <alignment horizontal="center" vertical="top" wrapText="1"/>
    </xf>
    <xf numFmtId="0" fontId="41" fillId="0" borderId="16" xfId="0" applyFont="1" applyFill="1" applyBorder="1" applyAlignment="1">
      <alignment horizontal="center" vertical="center" wrapText="1"/>
    </xf>
    <xf numFmtId="0" fontId="41" fillId="0" borderId="13" xfId="0" applyFont="1" applyFill="1" applyBorder="1" applyAlignment="1">
      <alignment horizontal="justify" vertical="top" wrapText="1"/>
    </xf>
    <xf numFmtId="0" fontId="41" fillId="0" borderId="14" xfId="0" applyFont="1" applyFill="1" applyBorder="1" applyAlignment="1">
      <alignment horizontal="justify" vertical="top" wrapText="1"/>
    </xf>
    <xf numFmtId="0" fontId="41" fillId="0" borderId="15" xfId="0" applyFont="1" applyFill="1" applyBorder="1" applyAlignment="1">
      <alignment horizontal="justify" vertical="top" wrapText="1"/>
    </xf>
    <xf numFmtId="0" fontId="41" fillId="0" borderId="18" xfId="0" applyFont="1" applyFill="1" applyBorder="1" applyAlignment="1">
      <alignment horizontal="center" vertical="top" wrapText="1"/>
    </xf>
    <xf numFmtId="0" fontId="41" fillId="0" borderId="13" xfId="0" applyFont="1" applyFill="1" applyBorder="1" applyAlignment="1">
      <alignment horizontal="center" vertical="top" wrapText="1"/>
    </xf>
    <xf numFmtId="0" fontId="41" fillId="0" borderId="15" xfId="0" applyFont="1" applyFill="1" applyBorder="1" applyAlignment="1">
      <alignment horizontal="center" vertical="top" wrapText="1"/>
    </xf>
    <xf numFmtId="0" fontId="40" fillId="0" borderId="19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justify" vertical="top" wrapText="1"/>
    </xf>
    <xf numFmtId="0" fontId="40" fillId="0" borderId="21" xfId="0" applyFont="1" applyFill="1" applyBorder="1" applyAlignment="1">
      <alignment horizontal="justify" vertical="top" wrapText="1"/>
    </xf>
    <xf numFmtId="0" fontId="41" fillId="0" borderId="17" xfId="0" applyFont="1" applyFill="1" applyBorder="1" applyAlignment="1">
      <alignment horizontal="justify" vertical="top" wrapText="1"/>
    </xf>
    <xf numFmtId="179" fontId="41" fillId="0" borderId="13" xfId="0" applyNumberFormat="1" applyFont="1" applyFill="1" applyBorder="1" applyAlignment="1">
      <alignment horizontal="left" vertical="top" wrapText="1"/>
    </xf>
    <xf numFmtId="179" fontId="41" fillId="0" borderId="14" xfId="0" applyNumberFormat="1" applyFont="1" applyFill="1" applyBorder="1" applyAlignment="1">
      <alignment horizontal="left" vertical="top" wrapText="1"/>
    </xf>
    <xf numFmtId="179" fontId="41" fillId="0" borderId="15" xfId="0" applyNumberFormat="1" applyFont="1" applyFill="1" applyBorder="1" applyAlignment="1">
      <alignment horizontal="left" vertical="top" wrapText="1"/>
    </xf>
    <xf numFmtId="0" fontId="40" fillId="0" borderId="22" xfId="0" applyFont="1" applyFill="1" applyBorder="1" applyAlignment="1">
      <alignment horizontal="justify" vertical="top" wrapText="1"/>
    </xf>
    <xf numFmtId="0" fontId="40" fillId="0" borderId="17" xfId="0" applyFont="1" applyFill="1" applyBorder="1" applyAlignment="1">
      <alignment horizontal="justify" vertical="top" wrapText="1"/>
    </xf>
    <xf numFmtId="180" fontId="38" fillId="0" borderId="13" xfId="0" applyNumberFormat="1" applyFont="1" applyFill="1" applyBorder="1" applyAlignment="1">
      <alignment horizontal="left" vertical="top" wrapText="1"/>
    </xf>
    <xf numFmtId="180" fontId="38" fillId="0" borderId="14" xfId="0" applyNumberFormat="1" applyFont="1" applyFill="1" applyBorder="1" applyAlignment="1">
      <alignment horizontal="left" vertical="top" wrapText="1"/>
    </xf>
    <xf numFmtId="180" fontId="38" fillId="0" borderId="15" xfId="0" applyNumberFormat="1" applyFont="1" applyFill="1" applyBorder="1" applyAlignment="1">
      <alignment horizontal="left" vertical="top" wrapText="1"/>
    </xf>
    <xf numFmtId="0" fontId="41" fillId="0" borderId="13" xfId="0" applyFont="1" applyFill="1" applyBorder="1" applyAlignment="1">
      <alignment horizontal="left" vertical="top" wrapText="1"/>
    </xf>
    <xf numFmtId="0" fontId="41" fillId="0" borderId="14" xfId="0" applyFont="1" applyFill="1" applyBorder="1" applyAlignment="1">
      <alignment horizontal="left" vertical="top" wrapText="1"/>
    </xf>
    <xf numFmtId="0" fontId="41" fillId="0" borderId="15" xfId="0" applyFont="1" applyFill="1" applyBorder="1" applyAlignment="1">
      <alignment horizontal="left" vertical="top" wrapText="1"/>
    </xf>
    <xf numFmtId="0" fontId="40" fillId="0" borderId="19" xfId="0" applyFont="1" applyFill="1" applyBorder="1" applyAlignment="1">
      <alignment horizontal="justify" vertical="top" wrapText="1"/>
    </xf>
    <xf numFmtId="0" fontId="40" fillId="0" borderId="16" xfId="0" applyFont="1" applyFill="1" applyBorder="1" applyAlignment="1">
      <alignment horizontal="justify" vertical="top" wrapText="1"/>
    </xf>
    <xf numFmtId="0" fontId="42" fillId="0" borderId="0" xfId="0" applyFont="1" applyFill="1" applyAlignment="1">
      <alignment vertical="center" wrapText="1"/>
    </xf>
    <xf numFmtId="0" fontId="42" fillId="0" borderId="0" xfId="0" applyFont="1" applyFill="1" applyAlignment="1">
      <alignment horizontal="center" vertical="center" wrapText="1"/>
    </xf>
    <xf numFmtId="0" fontId="43" fillId="0" borderId="0" xfId="0" applyFont="1" applyFill="1" applyAlignment="1">
      <alignment horizontal="left" vertical="center"/>
    </xf>
    <xf numFmtId="0" fontId="43" fillId="0" borderId="0" xfId="0" applyFont="1" applyFill="1" applyAlignment="1">
      <alignment horizontal="center" vertical="center"/>
    </xf>
    <xf numFmtId="0" fontId="40" fillId="0" borderId="0" xfId="0" applyFont="1" applyFill="1" applyAlignment="1">
      <alignment horizontal="justify" vertical="center"/>
    </xf>
    <xf numFmtId="0" fontId="40" fillId="0" borderId="0" xfId="0" applyFont="1" applyFill="1" applyAlignment="1">
      <alignment horizontal="left" vertical="center" wrapText="1"/>
    </xf>
    <xf numFmtId="0" fontId="40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44" fillId="0" borderId="0" xfId="0" applyFont="1" applyFill="1" applyBorder="1" applyAlignment="1">
      <alignment vertical="center"/>
    </xf>
    <xf numFmtId="0" fontId="44" fillId="0" borderId="0" xfId="0" applyFont="1" applyFill="1" applyAlignment="1">
      <alignment vertical="center"/>
    </xf>
    <xf numFmtId="0" fontId="45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6" fillId="0" borderId="0" xfId="0" applyFont="1" applyFill="1" applyAlignment="1">
      <alignment horizontal="center" vertical="center" wrapText="1"/>
    </xf>
    <xf numFmtId="0" fontId="46" fillId="0" borderId="0" xfId="0" applyFont="1" applyFill="1" applyAlignment="1">
      <alignment vertical="center" wrapText="1"/>
    </xf>
    <xf numFmtId="0" fontId="46" fillId="0" borderId="23" xfId="0" applyFont="1" applyFill="1" applyBorder="1" applyAlignment="1">
      <alignment horizontal="center" vertical="center" wrapText="1"/>
    </xf>
    <xf numFmtId="0" fontId="46" fillId="0" borderId="24" xfId="0" applyFont="1" applyFill="1" applyBorder="1" applyAlignment="1">
      <alignment horizontal="center" vertical="center" wrapText="1"/>
    </xf>
    <xf numFmtId="0" fontId="46" fillId="0" borderId="25" xfId="0" applyFont="1" applyFill="1" applyBorder="1" applyAlignment="1">
      <alignment horizontal="center" vertical="center" wrapText="1"/>
    </xf>
    <xf numFmtId="0" fontId="47" fillId="0" borderId="26" xfId="22" applyFont="1" applyFill="1" applyBorder="1" applyAlignment="1">
      <alignment horizontal="center" vertical="center" wrapText="1"/>
    </xf>
    <xf numFmtId="0" fontId="47" fillId="0" borderId="8" xfId="22" applyFont="1" applyFill="1" applyBorder="1" applyAlignment="1">
      <alignment vertical="center" wrapText="1"/>
    </xf>
    <xf numFmtId="0" fontId="47" fillId="0" borderId="8" xfId="22" applyFont="1" applyFill="1" applyBorder="1" applyAlignment="1">
      <alignment horizontal="center" vertical="center" wrapText="1"/>
    </xf>
    <xf numFmtId="0" fontId="47" fillId="0" borderId="27" xfId="22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45" fillId="0" borderId="0" xfId="0" applyFont="1" applyFill="1" applyBorder="1" applyAlignment="1">
      <alignment vertical="center" wrapText="1"/>
    </xf>
    <xf numFmtId="0" fontId="45" fillId="0" borderId="0" xfId="0" applyFont="1" applyFill="1" applyAlignment="1">
      <alignment vertical="center" wrapText="1"/>
    </xf>
    <xf numFmtId="0" fontId="1" fillId="0" borderId="2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29" xfId="0" applyFont="1" applyFill="1" applyBorder="1" applyAlignment="1">
      <alignment horizontal="left" vertical="top" wrapText="1"/>
    </xf>
    <xf numFmtId="0" fontId="1" fillId="0" borderId="30" xfId="0" applyFont="1" applyFill="1" applyBorder="1" applyAlignment="1">
      <alignment horizontal="left" vertical="top" wrapText="1"/>
    </xf>
    <xf numFmtId="0" fontId="1" fillId="0" borderId="31" xfId="0" applyFont="1" applyFill="1" applyBorder="1" applyAlignment="1">
      <alignment horizontal="left" vertical="top" wrapText="1"/>
    </xf>
    <xf numFmtId="0" fontId="1" fillId="0" borderId="32" xfId="0" applyFont="1" applyFill="1" applyBorder="1" applyAlignment="1">
      <alignment horizontal="left" vertical="top" wrapText="1"/>
    </xf>
    <xf numFmtId="0" fontId="44" fillId="0" borderId="0" xfId="0" applyFont="1" applyFill="1" applyBorder="1" applyAlignment="1">
      <alignment vertical="center" wrapText="1"/>
    </xf>
    <xf numFmtId="0" fontId="44" fillId="0" borderId="0" xfId="0" applyFont="1" applyFill="1" applyAlignment="1">
      <alignment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凯德·风尚三期景观工程植物造价估算" xfId="49"/>
    <cellStyle name="常规 53" xfId="50"/>
    <cellStyle name="常规 3 2" xfId="51"/>
    <cellStyle name="3232" xfId="52"/>
    <cellStyle name="常规 2" xfId="53"/>
    <cellStyle name="常规 3" xfId="54"/>
    <cellStyle name="常规_一、绿化清单1-广东、福建_2" xfId="55"/>
    <cellStyle name="常规 5" xfId="56"/>
    <cellStyle name="常规 7" xfId="57"/>
    <cellStyle name="常规_蓝湖郡调拨单统计" xfId="58"/>
  </cellStyles>
  <tableStyles count="0" defaultTableStyle="TableStyleMedium9"/>
  <colors>
    <mruColors>
      <color rgb="0000B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workbookViewId="0">
      <selection activeCell="J9" sqref="J9"/>
    </sheetView>
  </sheetViews>
  <sheetFormatPr defaultColWidth="10.2857142857143" defaultRowHeight="14.25"/>
  <cols>
    <col min="1" max="1" width="5.57142857142857" style="256" customWidth="1"/>
    <col min="2" max="2" width="40.5714285714286" style="68" customWidth="1"/>
    <col min="3" max="3" width="8.57142857142857" style="256" customWidth="1"/>
    <col min="4" max="4" width="12.8571428571429" style="256" customWidth="1"/>
    <col min="5" max="5" width="12.5714285714286" style="68" customWidth="1"/>
    <col min="6" max="6" width="7.42857142857143" style="257" customWidth="1"/>
    <col min="7" max="7" width="9.71428571428571" style="68" customWidth="1"/>
    <col min="8" max="12" width="10.2857142857143" style="68"/>
    <col min="13" max="16384" width="10.2857142857143" style="1"/>
  </cols>
  <sheetData>
    <row r="1" ht="38" customHeight="1" spans="1:9">
      <c r="A1" s="258" t="s">
        <v>0</v>
      </c>
      <c r="B1" s="258"/>
      <c r="C1" s="258"/>
      <c r="D1" s="258"/>
      <c r="E1" s="258"/>
      <c r="F1" s="258"/>
      <c r="G1" s="259"/>
      <c r="H1" s="259"/>
      <c r="I1" s="259"/>
    </row>
    <row r="2" ht="25" customHeight="1" spans="1:6">
      <c r="A2" s="260" t="s">
        <v>1</v>
      </c>
      <c r="B2" s="261" t="s">
        <v>2</v>
      </c>
      <c r="C2" s="261" t="s">
        <v>3</v>
      </c>
      <c r="D2" s="261" t="s">
        <v>4</v>
      </c>
      <c r="E2" s="261" t="s">
        <v>5</v>
      </c>
      <c r="F2" s="262" t="s">
        <v>6</v>
      </c>
    </row>
    <row r="3" s="252" customFormat="1" ht="28" customHeight="1" spans="1:12">
      <c r="A3" s="263">
        <v>1</v>
      </c>
      <c r="B3" s="264" t="s">
        <v>7</v>
      </c>
      <c r="C3" s="265" t="s">
        <v>8</v>
      </c>
      <c r="D3" s="265" t="s">
        <v>9</v>
      </c>
      <c r="E3" s="264" t="s">
        <v>10</v>
      </c>
      <c r="F3" s="266"/>
      <c r="G3" s="267"/>
      <c r="H3" s="267"/>
      <c r="I3" s="267"/>
      <c r="J3" s="267"/>
      <c r="K3" s="267"/>
      <c r="L3" s="267"/>
    </row>
    <row r="4" s="252" customFormat="1" ht="28" customHeight="1" spans="1:12">
      <c r="A4" s="263">
        <v>2</v>
      </c>
      <c r="B4" s="264" t="s">
        <v>11</v>
      </c>
      <c r="C4" s="265" t="s">
        <v>8</v>
      </c>
      <c r="D4" s="265" t="s">
        <v>12</v>
      </c>
      <c r="E4" s="264" t="s">
        <v>10</v>
      </c>
      <c r="F4" s="266"/>
      <c r="G4" s="267"/>
      <c r="H4" s="267"/>
      <c r="I4" s="267"/>
      <c r="J4" s="267"/>
      <c r="K4" s="267"/>
      <c r="L4" s="267"/>
    </row>
    <row r="5" s="252" customFormat="1" ht="28" customHeight="1" spans="1:12">
      <c r="A5" s="263">
        <v>3</v>
      </c>
      <c r="B5" s="264" t="s">
        <v>13</v>
      </c>
      <c r="C5" s="265" t="s">
        <v>8</v>
      </c>
      <c r="D5" s="265" t="s">
        <v>14</v>
      </c>
      <c r="E5" s="264" t="s">
        <v>10</v>
      </c>
      <c r="F5" s="266"/>
      <c r="G5" s="267"/>
      <c r="H5" s="267"/>
      <c r="I5" s="267"/>
      <c r="J5" s="267"/>
      <c r="K5" s="267"/>
      <c r="L5" s="267"/>
    </row>
    <row r="6" s="252" customFormat="1" ht="28" customHeight="1" spans="1:12">
      <c r="A6" s="263">
        <v>4</v>
      </c>
      <c r="B6" s="264" t="s">
        <v>15</v>
      </c>
      <c r="C6" s="265" t="s">
        <v>8</v>
      </c>
      <c r="D6" s="265" t="s">
        <v>16</v>
      </c>
      <c r="E6" s="264" t="s">
        <v>10</v>
      </c>
      <c r="F6" s="266"/>
      <c r="G6" s="267"/>
      <c r="H6" s="267"/>
      <c r="I6" s="267"/>
      <c r="J6" s="267"/>
      <c r="K6" s="267"/>
      <c r="L6" s="267"/>
    </row>
    <row r="7" s="252" customFormat="1" ht="28" customHeight="1" spans="1:12">
      <c r="A7" s="263">
        <v>5</v>
      </c>
      <c r="B7" s="264" t="s">
        <v>17</v>
      </c>
      <c r="C7" s="265" t="s">
        <v>18</v>
      </c>
      <c r="D7" s="265" t="s">
        <v>19</v>
      </c>
      <c r="E7" s="264" t="s">
        <v>10</v>
      </c>
      <c r="F7" s="266"/>
      <c r="G7" s="267"/>
      <c r="H7" s="267"/>
      <c r="I7" s="267"/>
      <c r="J7" s="267"/>
      <c r="K7" s="267"/>
      <c r="L7" s="267"/>
    </row>
    <row r="8" s="252" customFormat="1" ht="28" customHeight="1" spans="1:12">
      <c r="A8" s="263">
        <v>6</v>
      </c>
      <c r="B8" s="264" t="s">
        <v>20</v>
      </c>
      <c r="C8" s="265" t="s">
        <v>8</v>
      </c>
      <c r="D8" s="265" t="s">
        <v>21</v>
      </c>
      <c r="E8" s="264" t="s">
        <v>10</v>
      </c>
      <c r="F8" s="266"/>
      <c r="G8" s="268"/>
      <c r="H8" s="267"/>
      <c r="I8" s="267"/>
      <c r="J8" s="267"/>
      <c r="K8" s="267"/>
      <c r="L8" s="267"/>
    </row>
    <row r="9" s="252" customFormat="1" ht="28" customHeight="1" spans="1:12">
      <c r="A9" s="263">
        <v>7</v>
      </c>
      <c r="B9" s="264" t="s">
        <v>22</v>
      </c>
      <c r="C9" s="265" t="s">
        <v>8</v>
      </c>
      <c r="D9" s="265" t="s">
        <v>23</v>
      </c>
      <c r="E9" s="264" t="s">
        <v>10</v>
      </c>
      <c r="F9" s="266"/>
      <c r="G9" s="268"/>
      <c r="H9" s="267"/>
      <c r="I9" s="267"/>
      <c r="J9" s="267"/>
      <c r="K9" s="267"/>
      <c r="L9" s="267"/>
    </row>
    <row r="10" s="253" customFormat="1" ht="28" customHeight="1" spans="1:12">
      <c r="A10" s="263">
        <v>8</v>
      </c>
      <c r="B10" s="264" t="s">
        <v>24</v>
      </c>
      <c r="C10" s="265" t="s">
        <v>8</v>
      </c>
      <c r="D10" s="265" t="s">
        <v>25</v>
      </c>
      <c r="E10" s="264" t="s">
        <v>10</v>
      </c>
      <c r="F10" s="266"/>
      <c r="G10" s="269"/>
      <c r="H10" s="270"/>
      <c r="I10" s="278"/>
      <c r="J10" s="278"/>
      <c r="K10" s="278"/>
      <c r="L10" s="278"/>
    </row>
    <row r="11" s="254" customFormat="1" ht="28" customHeight="1" spans="1:12">
      <c r="A11" s="263">
        <v>9</v>
      </c>
      <c r="B11" s="264" t="s">
        <v>26</v>
      </c>
      <c r="C11" s="265" t="s">
        <v>8</v>
      </c>
      <c r="D11" s="265" t="s">
        <v>27</v>
      </c>
      <c r="E11" s="264" t="s">
        <v>10</v>
      </c>
      <c r="F11" s="266"/>
      <c r="G11" s="268"/>
      <c r="H11" s="271"/>
      <c r="I11" s="279"/>
      <c r="J11" s="279"/>
      <c r="K11" s="279"/>
      <c r="L11" s="279"/>
    </row>
    <row r="12" s="254" customFormat="1" ht="28" customHeight="1" spans="1:12">
      <c r="A12" s="263">
        <v>10</v>
      </c>
      <c r="B12" s="264" t="s">
        <v>28</v>
      </c>
      <c r="C12" s="265" t="s">
        <v>8</v>
      </c>
      <c r="D12" s="265" t="s">
        <v>29</v>
      </c>
      <c r="E12" s="264" t="s">
        <v>10</v>
      </c>
      <c r="F12" s="266"/>
      <c r="G12" s="268"/>
      <c r="H12" s="271"/>
      <c r="I12" s="279"/>
      <c r="J12" s="279"/>
      <c r="K12" s="279"/>
      <c r="L12" s="279"/>
    </row>
    <row r="13" s="254" customFormat="1" ht="28" customHeight="1" spans="1:12">
      <c r="A13" s="263">
        <v>11</v>
      </c>
      <c r="B13" s="264" t="s">
        <v>30</v>
      </c>
      <c r="C13" s="265" t="s">
        <v>31</v>
      </c>
      <c r="D13" s="265" t="s">
        <v>32</v>
      </c>
      <c r="E13" s="264" t="s">
        <v>10</v>
      </c>
      <c r="F13" s="266"/>
      <c r="G13" s="268"/>
      <c r="H13" s="271"/>
      <c r="I13" s="279"/>
      <c r="J13" s="279"/>
      <c r="K13" s="279"/>
      <c r="L13" s="279"/>
    </row>
    <row r="14" s="254" customFormat="1" ht="28" customHeight="1" spans="1:12">
      <c r="A14" s="263">
        <v>12</v>
      </c>
      <c r="B14" s="264" t="s">
        <v>33</v>
      </c>
      <c r="C14" s="265" t="s">
        <v>34</v>
      </c>
      <c r="D14" s="265" t="s">
        <v>35</v>
      </c>
      <c r="E14" s="264" t="s">
        <v>10</v>
      </c>
      <c r="F14" s="266"/>
      <c r="G14" s="268"/>
      <c r="H14" s="271"/>
      <c r="I14" s="279"/>
      <c r="J14" s="279"/>
      <c r="K14" s="279"/>
      <c r="L14" s="279"/>
    </row>
    <row r="15" s="254" customFormat="1" ht="28" customHeight="1" spans="1:12">
      <c r="A15" s="263">
        <v>13</v>
      </c>
      <c r="B15" s="264" t="s">
        <v>36</v>
      </c>
      <c r="C15" s="265" t="s">
        <v>37</v>
      </c>
      <c r="D15" s="265" t="s">
        <v>38</v>
      </c>
      <c r="E15" s="264" t="s">
        <v>10</v>
      </c>
      <c r="F15" s="266"/>
      <c r="G15" s="268"/>
      <c r="H15" s="271"/>
      <c r="I15" s="279"/>
      <c r="J15" s="279"/>
      <c r="K15" s="279"/>
      <c r="L15" s="279"/>
    </row>
    <row r="16" s="255" customFormat="1" ht="28" customHeight="1" spans="1:12">
      <c r="A16" s="263">
        <v>14</v>
      </c>
      <c r="B16" s="264" t="s">
        <v>39</v>
      </c>
      <c r="C16" s="265" t="s">
        <v>40</v>
      </c>
      <c r="D16" s="265" t="s">
        <v>41</v>
      </c>
      <c r="E16" s="264" t="s">
        <v>42</v>
      </c>
      <c r="F16" s="266"/>
      <c r="G16" s="268"/>
      <c r="H16" s="271"/>
      <c r="I16" s="271"/>
      <c r="J16" s="271"/>
      <c r="K16" s="271"/>
      <c r="L16" s="271"/>
    </row>
    <row r="17" s="255" customFormat="1" ht="28" customHeight="1" spans="1:12">
      <c r="A17" s="263">
        <v>15</v>
      </c>
      <c r="B17" s="264" t="s">
        <v>43</v>
      </c>
      <c r="C17" s="265" t="s">
        <v>40</v>
      </c>
      <c r="D17" s="265" t="s">
        <v>41</v>
      </c>
      <c r="E17" s="264" t="s">
        <v>44</v>
      </c>
      <c r="F17" s="266"/>
      <c r="G17" s="268"/>
      <c r="H17" s="271"/>
      <c r="I17" s="271"/>
      <c r="J17" s="271"/>
      <c r="K17" s="271"/>
      <c r="L17" s="271"/>
    </row>
    <row r="18" ht="34" customHeight="1" spans="1:6">
      <c r="A18" s="272" t="s">
        <v>45</v>
      </c>
      <c r="B18" s="273"/>
      <c r="C18" s="273" t="s">
        <v>46</v>
      </c>
      <c r="D18" s="273"/>
      <c r="E18" s="273"/>
      <c r="F18" s="274"/>
    </row>
    <row r="19" ht="26" customHeight="1" spans="1:6">
      <c r="A19" s="275"/>
      <c r="B19" s="276"/>
      <c r="C19" s="276"/>
      <c r="D19" s="276"/>
      <c r="E19" s="276"/>
      <c r="F19" s="277"/>
    </row>
    <row r="20" s="1" customFormat="1" spans="1:12">
      <c r="A20" s="256"/>
      <c r="B20" s="68"/>
      <c r="C20" s="256"/>
      <c r="D20" s="256"/>
      <c r="E20" s="68"/>
      <c r="F20" s="257"/>
      <c r="G20" s="68"/>
      <c r="H20" s="68"/>
      <c r="I20" s="68"/>
      <c r="J20" s="68"/>
      <c r="K20" s="68"/>
      <c r="L20" s="68"/>
    </row>
    <row r="21" s="1" customFormat="1" spans="1:12">
      <c r="A21" s="256"/>
      <c r="B21" s="68"/>
      <c r="C21" s="256"/>
      <c r="D21" s="256"/>
      <c r="E21" s="68"/>
      <c r="F21" s="257"/>
      <c r="G21" s="68"/>
      <c r="H21" s="68"/>
      <c r="I21" s="68"/>
      <c r="J21" s="68"/>
      <c r="K21" s="68"/>
      <c r="L21" s="68"/>
    </row>
    <row r="22" s="1" customFormat="1" spans="1:12">
      <c r="A22" s="256"/>
      <c r="B22" s="68"/>
      <c r="C22" s="256"/>
      <c r="D22" s="256"/>
      <c r="E22" s="68"/>
      <c r="F22" s="257"/>
      <c r="G22" s="68"/>
      <c r="H22" s="68"/>
      <c r="I22" s="68"/>
      <c r="J22" s="68"/>
      <c r="K22" s="68"/>
      <c r="L22" s="68"/>
    </row>
    <row r="23" s="1" customFormat="1" spans="1:12">
      <c r="A23" s="256"/>
      <c r="B23" s="68"/>
      <c r="C23" s="256"/>
      <c r="D23" s="256"/>
      <c r="E23" s="68"/>
      <c r="F23" s="257"/>
      <c r="G23" s="68"/>
      <c r="H23" s="68"/>
      <c r="I23" s="68"/>
      <c r="J23" s="68"/>
      <c r="K23" s="68"/>
      <c r="L23" s="68"/>
    </row>
    <row r="24" s="1" customFormat="1" spans="1:12">
      <c r="A24" s="256"/>
      <c r="B24" s="68"/>
      <c r="C24" s="256"/>
      <c r="D24" s="256"/>
      <c r="E24" s="68"/>
      <c r="F24" s="257"/>
      <c r="G24" s="68"/>
      <c r="H24" s="68"/>
      <c r="I24" s="68"/>
      <c r="J24" s="68"/>
      <c r="K24" s="68"/>
      <c r="L24" s="68"/>
    </row>
    <row r="25" s="1" customFormat="1" spans="1:12">
      <c r="A25" s="256"/>
      <c r="B25" s="68"/>
      <c r="C25" s="256"/>
      <c r="D25" s="256"/>
      <c r="E25" s="68"/>
      <c r="F25" s="257"/>
      <c r="G25" s="68"/>
      <c r="H25" s="68"/>
      <c r="I25" s="68"/>
      <c r="J25" s="68"/>
      <c r="K25" s="68"/>
      <c r="L25" s="68"/>
    </row>
    <row r="26" s="1" customFormat="1" spans="1:12">
      <c r="A26" s="256"/>
      <c r="B26" s="68"/>
      <c r="C26" s="256"/>
      <c r="D26" s="256"/>
      <c r="E26" s="68"/>
      <c r="F26" s="257"/>
      <c r="G26" s="68"/>
      <c r="H26" s="68"/>
      <c r="I26" s="68"/>
      <c r="J26" s="68"/>
      <c r="K26" s="68"/>
      <c r="L26" s="68"/>
    </row>
    <row r="27" s="1" customFormat="1" spans="1:12">
      <c r="A27" s="256"/>
      <c r="B27" s="68"/>
      <c r="C27" s="256"/>
      <c r="D27" s="256"/>
      <c r="E27" s="68"/>
      <c r="F27" s="257"/>
      <c r="G27" s="68"/>
      <c r="H27" s="68"/>
      <c r="I27" s="68"/>
      <c r="J27" s="68"/>
      <c r="K27" s="68"/>
      <c r="L27" s="68"/>
    </row>
    <row r="28" s="1" customFormat="1" spans="1:12">
      <c r="A28" s="256"/>
      <c r="B28" s="68"/>
      <c r="C28" s="256"/>
      <c r="D28" s="256"/>
      <c r="E28" s="68"/>
      <c r="F28" s="257"/>
      <c r="G28" s="68"/>
      <c r="H28" s="68"/>
      <c r="I28" s="68"/>
      <c r="J28" s="68"/>
      <c r="K28" s="68"/>
      <c r="L28" s="68"/>
    </row>
    <row r="29" s="1" customFormat="1" spans="1:12">
      <c r="A29" s="256"/>
      <c r="B29" s="68"/>
      <c r="C29" s="256"/>
      <c r="D29" s="256"/>
      <c r="E29" s="68"/>
      <c r="F29" s="257"/>
      <c r="G29" s="68"/>
      <c r="H29" s="68"/>
      <c r="I29" s="68"/>
      <c r="J29" s="68"/>
      <c r="K29" s="68"/>
      <c r="L29" s="68"/>
    </row>
    <row r="30" s="1" customFormat="1" spans="1:12">
      <c r="A30" s="256"/>
      <c r="B30" s="68"/>
      <c r="C30" s="256"/>
      <c r="D30" s="256"/>
      <c r="E30" s="68"/>
      <c r="F30" s="257"/>
      <c r="G30" s="68"/>
      <c r="H30" s="68"/>
      <c r="I30" s="68"/>
      <c r="J30" s="68"/>
      <c r="K30" s="68"/>
      <c r="L30" s="68"/>
    </row>
    <row r="31" s="1" customFormat="1" spans="1:12">
      <c r="A31" s="256"/>
      <c r="B31" s="68"/>
      <c r="C31" s="256"/>
      <c r="D31" s="256"/>
      <c r="E31" s="68"/>
      <c r="F31" s="257"/>
      <c r="G31" s="68"/>
      <c r="H31" s="68"/>
      <c r="I31" s="68"/>
      <c r="J31" s="68"/>
      <c r="K31" s="68"/>
      <c r="L31" s="68"/>
    </row>
    <row r="32" s="1" customFormat="1" spans="1:12">
      <c r="A32" s="256"/>
      <c r="B32" s="68"/>
      <c r="C32" s="256"/>
      <c r="D32" s="256"/>
      <c r="E32" s="68"/>
      <c r="F32" s="257"/>
      <c r="G32" s="68"/>
      <c r="H32" s="68"/>
      <c r="I32" s="68"/>
      <c r="J32" s="68"/>
      <c r="K32" s="68"/>
      <c r="L32" s="68"/>
    </row>
    <row r="33" s="1" customFormat="1" spans="1:12">
      <c r="A33" s="256"/>
      <c r="B33" s="68"/>
      <c r="C33" s="256"/>
      <c r="D33" s="256"/>
      <c r="E33" s="68"/>
      <c r="F33" s="257"/>
      <c r="G33" s="68"/>
      <c r="H33" s="68"/>
      <c r="I33" s="68"/>
      <c r="J33" s="68"/>
      <c r="K33" s="68"/>
      <c r="L33" s="68"/>
    </row>
    <row r="34" s="1" customFormat="1" ht="43.5" customHeight="1" spans="1:12">
      <c r="A34" s="256"/>
      <c r="B34" s="68"/>
      <c r="C34" s="256"/>
      <c r="D34" s="256"/>
      <c r="E34" s="68"/>
      <c r="F34" s="257"/>
      <c r="G34" s="68"/>
      <c r="H34" s="68"/>
      <c r="I34" s="68"/>
      <c r="J34" s="68"/>
      <c r="K34" s="68"/>
      <c r="L34" s="68"/>
    </row>
  </sheetData>
  <mergeCells count="3">
    <mergeCell ref="A1:F1"/>
    <mergeCell ref="A18:B19"/>
    <mergeCell ref="C18:F1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E18" sqref="E18:H18"/>
    </sheetView>
  </sheetViews>
  <sheetFormatPr defaultColWidth="10.2857142857143" defaultRowHeight="14.25" outlineLevelCol="7"/>
  <cols>
    <col min="1" max="2" width="10.2857142857143" style="1"/>
    <col min="3" max="3" width="3.65714285714286" style="1" customWidth="1"/>
    <col min="4" max="4" width="10.5142857142857" style="1" customWidth="1"/>
    <col min="5" max="5" width="12.1428571428571" style="2" customWidth="1"/>
    <col min="6" max="6" width="12.2857142857143" style="2" customWidth="1"/>
    <col min="7" max="7" width="13.4285714285714" style="2" customWidth="1"/>
    <col min="8" max="8" width="14.1428571428571" style="2" customWidth="1"/>
    <col min="9" max="16384" width="10.2857142857143" style="1"/>
  </cols>
  <sheetData>
    <row r="1" s="1" customFormat="1" ht="37.5" customHeight="1" spans="1:8">
      <c r="A1" s="205" t="s">
        <v>47</v>
      </c>
      <c r="B1" s="206"/>
      <c r="C1" s="206"/>
      <c r="D1" s="206"/>
      <c r="E1" s="206"/>
      <c r="F1" s="206"/>
      <c r="G1" s="206"/>
      <c r="H1" s="206"/>
    </row>
    <row r="2" s="1" customFormat="1" ht="31.8" customHeight="1" spans="1:8">
      <c r="A2" s="207" t="s">
        <v>48</v>
      </c>
      <c r="B2" s="207"/>
      <c r="C2" s="207"/>
      <c r="D2" s="207"/>
      <c r="E2" s="208"/>
      <c r="F2" s="208"/>
      <c r="G2" s="208"/>
      <c r="H2" s="208"/>
    </row>
    <row r="3" s="1" customFormat="1" ht="23.25" customHeight="1" spans="1:8">
      <c r="A3" s="207" t="s">
        <v>49</v>
      </c>
      <c r="B3" s="207"/>
      <c r="C3" s="207"/>
      <c r="D3" s="207"/>
      <c r="E3" s="208"/>
      <c r="F3" s="208"/>
      <c r="G3" s="208"/>
      <c r="H3" s="208"/>
    </row>
    <row r="4" s="1" customFormat="1" ht="25.5" customHeight="1" spans="1:8">
      <c r="A4" s="207" t="s">
        <v>50</v>
      </c>
      <c r="B4" s="207"/>
      <c r="C4" s="207"/>
      <c r="D4" s="207"/>
      <c r="E4" s="208"/>
      <c r="F4" s="208"/>
      <c r="G4" s="208"/>
      <c r="H4" s="208"/>
    </row>
    <row r="5" s="1" customFormat="1" ht="30" customHeight="1" spans="1:8">
      <c r="A5" s="209" t="s">
        <v>51</v>
      </c>
      <c r="B5" s="209"/>
      <c r="C5" s="209"/>
      <c r="D5" s="209"/>
      <c r="E5" s="210"/>
      <c r="F5" s="210"/>
      <c r="G5" s="210"/>
      <c r="H5" s="210"/>
    </row>
    <row r="6" s="2" customFormat="1" ht="36" customHeight="1" spans="1:8">
      <c r="A6" s="211" t="s">
        <v>1</v>
      </c>
      <c r="B6" s="212" t="s">
        <v>52</v>
      </c>
      <c r="C6" s="213"/>
      <c r="D6" s="214"/>
      <c r="E6" s="214" t="s">
        <v>53</v>
      </c>
      <c r="F6" s="214" t="s">
        <v>54</v>
      </c>
      <c r="G6" s="214" t="s">
        <v>55</v>
      </c>
      <c r="H6" s="214" t="s">
        <v>56</v>
      </c>
    </row>
    <row r="7" s="1" customFormat="1" ht="20.25" customHeight="1" spans="1:8">
      <c r="A7" s="215" t="s">
        <v>57</v>
      </c>
      <c r="B7" s="216" t="s">
        <v>58</v>
      </c>
      <c r="C7" s="217"/>
      <c r="D7" s="218"/>
      <c r="E7" s="219">
        <f>E8+E9+E10+E11</f>
        <v>0</v>
      </c>
      <c r="F7" s="219">
        <v>0</v>
      </c>
      <c r="G7" s="219">
        <f>G8+G9+G10+G11</f>
        <v>0</v>
      </c>
      <c r="H7" s="220">
        <f>H8+H11</f>
        <v>996000</v>
      </c>
    </row>
    <row r="8" s="1" customFormat="1" ht="20.25" customHeight="1" spans="1:8">
      <c r="A8" s="221">
        <v>1.1</v>
      </c>
      <c r="B8" s="222" t="s">
        <v>59</v>
      </c>
      <c r="C8" s="223"/>
      <c r="D8" s="224"/>
      <c r="E8" s="219">
        <v>0</v>
      </c>
      <c r="F8" s="219">
        <v>0</v>
      </c>
      <c r="G8" s="219">
        <v>0</v>
      </c>
      <c r="H8" s="220">
        <f>合同价汇总表!F10</f>
        <v>996112.921063447</v>
      </c>
    </row>
    <row r="9" s="1" customFormat="1" ht="20.25" customHeight="1" spans="1:8">
      <c r="A9" s="221">
        <v>1.2</v>
      </c>
      <c r="B9" s="222" t="s">
        <v>60</v>
      </c>
      <c r="C9" s="223"/>
      <c r="D9" s="224"/>
      <c r="E9" s="219">
        <v>0</v>
      </c>
      <c r="F9" s="219">
        <v>0</v>
      </c>
      <c r="G9" s="219">
        <v>0</v>
      </c>
      <c r="H9" s="219">
        <v>0</v>
      </c>
    </row>
    <row r="10" s="1" customFormat="1" ht="20.25" customHeight="1" spans="1:8">
      <c r="A10" s="221">
        <v>1.3</v>
      </c>
      <c r="B10" s="222" t="s">
        <v>61</v>
      </c>
      <c r="C10" s="223"/>
      <c r="D10" s="224"/>
      <c r="E10" s="219">
        <v>0</v>
      </c>
      <c r="F10" s="219">
        <v>0</v>
      </c>
      <c r="G10" s="219">
        <v>0</v>
      </c>
      <c r="H10" s="219">
        <v>0</v>
      </c>
    </row>
    <row r="11" s="1" customFormat="1" ht="20.25" customHeight="1" spans="1:8">
      <c r="A11" s="221">
        <v>1.4</v>
      </c>
      <c r="B11" s="222" t="s">
        <v>62</v>
      </c>
      <c r="C11" s="223"/>
      <c r="D11" s="224"/>
      <c r="E11" s="219">
        <v>0</v>
      </c>
      <c r="F11" s="219">
        <v>0</v>
      </c>
      <c r="G11" s="219">
        <v>0</v>
      </c>
      <c r="H11" s="220">
        <f>合同价汇总表!F11-合同价汇总表!F10</f>
        <v>-112.921063447371</v>
      </c>
    </row>
    <row r="12" s="1" customFormat="1" ht="20.25" customHeight="1" spans="1:8">
      <c r="A12" s="221">
        <v>1.5</v>
      </c>
      <c r="B12" s="222" t="s">
        <v>63</v>
      </c>
      <c r="C12" s="223"/>
      <c r="D12" s="224"/>
      <c r="E12" s="225"/>
      <c r="F12" s="219"/>
      <c r="G12" s="219"/>
      <c r="H12" s="220"/>
    </row>
    <row r="13" s="1" customFormat="1" ht="20.25" customHeight="1" spans="1:8">
      <c r="A13" s="215" t="s">
        <v>64</v>
      </c>
      <c r="B13" s="216" t="s">
        <v>65</v>
      </c>
      <c r="C13" s="217"/>
      <c r="D13" s="218"/>
      <c r="E13" s="226">
        <v>0</v>
      </c>
      <c r="F13" s="227"/>
      <c r="G13" s="219">
        <v>0</v>
      </c>
      <c r="H13" s="219">
        <v>0</v>
      </c>
    </row>
    <row r="14" s="1" customFormat="1" ht="20.25" customHeight="1" spans="1:8">
      <c r="A14" s="221">
        <v>2.1</v>
      </c>
      <c r="B14" s="222" t="s">
        <v>66</v>
      </c>
      <c r="C14" s="223"/>
      <c r="D14" s="224"/>
      <c r="E14" s="226">
        <v>0</v>
      </c>
      <c r="F14" s="227"/>
      <c r="G14" s="219">
        <v>0</v>
      </c>
      <c r="H14" s="219">
        <v>0</v>
      </c>
    </row>
    <row r="15" s="1" customFormat="1" ht="20.25" customHeight="1" spans="1:8">
      <c r="A15" s="221">
        <v>2.2</v>
      </c>
      <c r="B15" s="222" t="s">
        <v>66</v>
      </c>
      <c r="C15" s="223"/>
      <c r="D15" s="224"/>
      <c r="E15" s="226">
        <v>0</v>
      </c>
      <c r="F15" s="227"/>
      <c r="G15" s="219">
        <v>0</v>
      </c>
      <c r="H15" s="219">
        <v>0</v>
      </c>
    </row>
    <row r="16" s="1" customFormat="1" ht="21" customHeight="1" spans="1:8">
      <c r="A16" s="228" t="s">
        <v>67</v>
      </c>
      <c r="B16" s="229" t="s">
        <v>68</v>
      </c>
      <c r="C16" s="230"/>
      <c r="D16" s="231" t="s">
        <v>69</v>
      </c>
      <c r="E16" s="232">
        <f>H7</f>
        <v>996000</v>
      </c>
      <c r="F16" s="233"/>
      <c r="G16" s="233"/>
      <c r="H16" s="234"/>
    </row>
    <row r="17" s="1" customFormat="1" ht="20.25" customHeight="1" spans="1:8">
      <c r="A17" s="215"/>
      <c r="B17" s="235"/>
      <c r="C17" s="236"/>
      <c r="D17" s="231" t="s">
        <v>70</v>
      </c>
      <c r="E17" s="237">
        <f>E16</f>
        <v>996000</v>
      </c>
      <c r="F17" s="238"/>
      <c r="G17" s="238"/>
      <c r="H17" s="239"/>
    </row>
    <row r="18" s="1" customFormat="1" ht="20.25" customHeight="1" spans="1:8">
      <c r="A18" s="215" t="s">
        <v>71</v>
      </c>
      <c r="B18" s="216" t="s">
        <v>72</v>
      </c>
      <c r="C18" s="217"/>
      <c r="D18" s="218"/>
      <c r="E18" s="240">
        <v>0</v>
      </c>
      <c r="F18" s="241"/>
      <c r="G18" s="241"/>
      <c r="H18" s="242"/>
    </row>
    <row r="19" s="1" customFormat="1" ht="20.25" customHeight="1" spans="1:8">
      <c r="A19" s="221">
        <v>4.1</v>
      </c>
      <c r="B19" s="222" t="s">
        <v>73</v>
      </c>
      <c r="C19" s="223"/>
      <c r="D19" s="224"/>
      <c r="E19" s="240">
        <v>0</v>
      </c>
      <c r="F19" s="241"/>
      <c r="G19" s="241"/>
      <c r="H19" s="242"/>
    </row>
    <row r="20" s="1" customFormat="1" ht="20.25" customHeight="1" spans="1:8">
      <c r="A20" s="221">
        <v>4.2</v>
      </c>
      <c r="B20" s="222" t="s">
        <v>74</v>
      </c>
      <c r="C20" s="223"/>
      <c r="D20" s="224"/>
      <c r="E20" s="240">
        <v>0</v>
      </c>
      <c r="F20" s="241"/>
      <c r="G20" s="241"/>
      <c r="H20" s="242"/>
    </row>
    <row r="21" s="1" customFormat="1" ht="20.25" customHeight="1" spans="1:8">
      <c r="A21" s="215" t="s">
        <v>75</v>
      </c>
      <c r="B21" s="216" t="s">
        <v>76</v>
      </c>
      <c r="C21" s="217"/>
      <c r="D21" s="218"/>
      <c r="E21" s="240">
        <v>0</v>
      </c>
      <c r="F21" s="241"/>
      <c r="G21" s="241"/>
      <c r="H21" s="242"/>
    </row>
    <row r="22" s="1" customFormat="1" ht="20.25" customHeight="1" spans="1:8">
      <c r="A22" s="221">
        <v>5.1</v>
      </c>
      <c r="B22" s="222" t="s">
        <v>77</v>
      </c>
      <c r="C22" s="223"/>
      <c r="D22" s="224"/>
      <c r="E22" s="240" t="s">
        <v>78</v>
      </c>
      <c r="F22" s="241"/>
      <c r="G22" s="241"/>
      <c r="H22" s="242"/>
    </row>
    <row r="23" s="1" customFormat="1" ht="20.25" customHeight="1" spans="1:8">
      <c r="A23" s="221">
        <v>5.2</v>
      </c>
      <c r="B23" s="222" t="s">
        <v>79</v>
      </c>
      <c r="C23" s="223"/>
      <c r="D23" s="224"/>
      <c r="E23" s="240" t="s">
        <v>78</v>
      </c>
      <c r="F23" s="241"/>
      <c r="G23" s="241"/>
      <c r="H23" s="242"/>
    </row>
    <row r="24" s="1" customFormat="1" ht="20.25" customHeight="1" spans="1:8">
      <c r="A24" s="228" t="s">
        <v>80</v>
      </c>
      <c r="B24" s="243" t="s">
        <v>81</v>
      </c>
      <c r="C24" s="222" t="s">
        <v>69</v>
      </c>
      <c r="D24" s="224"/>
      <c r="E24" s="232">
        <f>E16</f>
        <v>996000</v>
      </c>
      <c r="F24" s="241"/>
      <c r="G24" s="241"/>
      <c r="H24" s="242"/>
    </row>
    <row r="25" s="1" customFormat="1" ht="20.25" customHeight="1" spans="1:8">
      <c r="A25" s="215"/>
      <c r="B25" s="244"/>
      <c r="C25" s="222" t="s">
        <v>70</v>
      </c>
      <c r="D25" s="224"/>
      <c r="E25" s="237">
        <f>E17</f>
        <v>996000</v>
      </c>
      <c r="F25" s="238"/>
      <c r="G25" s="238"/>
      <c r="H25" s="239"/>
    </row>
    <row r="26" s="1" customFormat="1" ht="20.25" customHeight="1" spans="1:8">
      <c r="A26" s="228" t="s">
        <v>82</v>
      </c>
      <c r="B26" s="243" t="s">
        <v>83</v>
      </c>
      <c r="C26" s="222" t="s">
        <v>69</v>
      </c>
      <c r="D26" s="224"/>
      <c r="E26" s="232">
        <f>E24</f>
        <v>996000</v>
      </c>
      <c r="F26" s="241"/>
      <c r="G26" s="241"/>
      <c r="H26" s="242"/>
    </row>
    <row r="27" s="1" customFormat="1" ht="20.25" customHeight="1" spans="1:8">
      <c r="A27" s="215"/>
      <c r="B27" s="244"/>
      <c r="C27" s="222" t="s">
        <v>70</v>
      </c>
      <c r="D27" s="224"/>
      <c r="E27" s="237">
        <f>E17</f>
        <v>996000</v>
      </c>
      <c r="F27" s="238"/>
      <c r="G27" s="238"/>
      <c r="H27" s="239"/>
    </row>
    <row r="28" s="1" customFormat="1" spans="1:8">
      <c r="A28" s="245"/>
      <c r="B28" s="245"/>
      <c r="C28" s="245"/>
      <c r="D28" s="245"/>
      <c r="E28" s="246"/>
      <c r="F28" s="246"/>
      <c r="G28" s="246"/>
      <c r="H28" s="246"/>
    </row>
    <row r="29" s="1" customFormat="1" spans="1:8">
      <c r="A29" s="247" t="s">
        <v>84</v>
      </c>
      <c r="B29" s="247"/>
      <c r="C29" s="247"/>
      <c r="D29" s="247"/>
      <c r="E29" s="248"/>
      <c r="F29" s="248"/>
      <c r="G29" s="248"/>
      <c r="H29" s="248"/>
    </row>
    <row r="30" s="1" customFormat="1" spans="1:8">
      <c r="A30" s="249"/>
      <c r="E30" s="2"/>
      <c r="F30" s="2"/>
      <c r="G30" s="2"/>
      <c r="H30" s="2"/>
    </row>
    <row r="31" s="1" customFormat="1" spans="1:8">
      <c r="A31" s="249"/>
      <c r="E31" s="2"/>
      <c r="F31" s="2"/>
      <c r="G31" s="2"/>
      <c r="H31" s="2"/>
    </row>
    <row r="32" s="1" customFormat="1" spans="1:8">
      <c r="A32" s="247" t="s">
        <v>85</v>
      </c>
      <c r="B32" s="247"/>
      <c r="C32" s="247"/>
      <c r="D32" s="247"/>
      <c r="E32" s="248"/>
      <c r="F32" s="248"/>
      <c r="G32" s="248"/>
      <c r="H32" s="248"/>
    </row>
    <row r="33" s="1" customFormat="1" spans="1:8">
      <c r="A33" s="249"/>
      <c r="E33" s="2"/>
      <c r="F33" s="2"/>
      <c r="G33" s="2"/>
      <c r="H33" s="2"/>
    </row>
    <row r="34" s="1" customFormat="1" ht="27" customHeight="1" spans="1:8">
      <c r="A34" s="250"/>
      <c r="B34" s="250"/>
      <c r="C34" s="250"/>
      <c r="D34" s="250"/>
      <c r="E34" s="251"/>
      <c r="F34" s="251"/>
      <c r="G34" s="251"/>
      <c r="H34" s="251"/>
    </row>
  </sheetData>
  <mergeCells count="49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M5" sqref="M5"/>
    </sheetView>
  </sheetViews>
  <sheetFormatPr defaultColWidth="8.88571428571429" defaultRowHeight="12.75" outlineLevelCol="6"/>
  <cols>
    <col min="1" max="1" width="7.57142857142857" customWidth="1"/>
    <col min="2" max="2" width="14.4285714285714" customWidth="1"/>
    <col min="3" max="3" width="8.57142857142857" style="82" customWidth="1"/>
    <col min="4" max="4" width="11.8571428571429" customWidth="1"/>
    <col min="5" max="5" width="14.5714285714286" customWidth="1"/>
    <col min="6" max="6" width="16.5714285714286" customWidth="1"/>
    <col min="7" max="7" width="11.7142857142857" customWidth="1"/>
    <col min="8" max="9" width="14.5714285714286"/>
  </cols>
  <sheetData>
    <row r="1" s="193" customFormat="1" ht="57" customHeight="1" spans="1:7">
      <c r="A1" s="3" t="s">
        <v>86</v>
      </c>
      <c r="B1" s="3"/>
      <c r="C1" s="3"/>
      <c r="D1" s="3"/>
      <c r="E1" s="3"/>
      <c r="F1" s="3"/>
      <c r="G1" s="3"/>
    </row>
    <row r="2" s="193" customFormat="1" ht="39" customHeight="1" spans="1:7">
      <c r="A2" s="194" t="s">
        <v>87</v>
      </c>
      <c r="B2" s="194" t="s">
        <v>52</v>
      </c>
      <c r="C2" s="194" t="s">
        <v>88</v>
      </c>
      <c r="D2" s="194" t="s">
        <v>89</v>
      </c>
      <c r="E2" s="195" t="s">
        <v>90</v>
      </c>
      <c r="F2" s="195" t="s">
        <v>91</v>
      </c>
      <c r="G2" s="196" t="s">
        <v>6</v>
      </c>
    </row>
    <row r="3" s="193" customFormat="1" ht="54" customHeight="1" spans="1:7">
      <c r="A3" s="197">
        <v>1</v>
      </c>
      <c r="B3" s="197" t="s">
        <v>92</v>
      </c>
      <c r="C3" s="197" t="s">
        <v>93</v>
      </c>
      <c r="D3" s="198">
        <v>1</v>
      </c>
      <c r="E3" s="199">
        <f>硬质铺装!L10</f>
        <v>610664.8921488</v>
      </c>
      <c r="F3" s="199">
        <f>E3*D3</f>
        <v>610664.8921488</v>
      </c>
      <c r="G3" s="46"/>
    </row>
    <row r="4" s="193" customFormat="1" ht="54" customHeight="1" spans="1:7">
      <c r="A4" s="197">
        <v>2</v>
      </c>
      <c r="B4" s="197" t="s">
        <v>94</v>
      </c>
      <c r="C4" s="197" t="s">
        <v>93</v>
      </c>
      <c r="D4" s="198">
        <v>1</v>
      </c>
      <c r="E4" s="199">
        <f>派发单!I41</f>
        <v>134959.182499994</v>
      </c>
      <c r="F4" s="199">
        <f>E4*D4</f>
        <v>134959.182499994</v>
      </c>
      <c r="G4" s="46"/>
    </row>
    <row r="5" s="193" customFormat="1" ht="54" customHeight="1" spans="1:7">
      <c r="A5" s="197">
        <v>2</v>
      </c>
      <c r="B5" s="197" t="s">
        <v>95</v>
      </c>
      <c r="C5" s="197" t="s">
        <v>93</v>
      </c>
      <c r="D5" s="198">
        <v>1</v>
      </c>
      <c r="E5" s="200">
        <f>绿植乔木!J7</f>
        <v>22950</v>
      </c>
      <c r="F5" s="199">
        <f>D5*E5</f>
        <v>22950</v>
      </c>
      <c r="G5" s="46"/>
    </row>
    <row r="6" s="193" customFormat="1" ht="54" customHeight="1" spans="1:7">
      <c r="A6" s="197">
        <v>3</v>
      </c>
      <c r="B6" s="197" t="s">
        <v>96</v>
      </c>
      <c r="C6" s="197" t="s">
        <v>93</v>
      </c>
      <c r="D6" s="198">
        <v>1</v>
      </c>
      <c r="E6" s="200">
        <f>绿植灌木!I9</f>
        <v>58647.629504</v>
      </c>
      <c r="F6" s="199">
        <f>D6*E6</f>
        <v>58647.629504</v>
      </c>
      <c r="G6" s="46"/>
    </row>
    <row r="7" s="193" customFormat="1" ht="54" customHeight="1" spans="1:7">
      <c r="A7" s="197">
        <v>4</v>
      </c>
      <c r="B7" s="197" t="s">
        <v>97</v>
      </c>
      <c r="C7" s="197" t="s">
        <v>93</v>
      </c>
      <c r="D7" s="198">
        <v>1</v>
      </c>
      <c r="E7" s="200">
        <f>景观水电!L26</f>
        <v>26155.6683186534</v>
      </c>
      <c r="F7" s="199">
        <f>D7*E7</f>
        <v>26155.6683186534</v>
      </c>
      <c r="G7" s="46"/>
    </row>
    <row r="8" s="193" customFormat="1" ht="54" customHeight="1" spans="1:7">
      <c r="A8" s="197">
        <v>5</v>
      </c>
      <c r="B8" s="197" t="s">
        <v>98</v>
      </c>
      <c r="C8" s="197" t="s">
        <v>93</v>
      </c>
      <c r="D8" s="198">
        <v>1</v>
      </c>
      <c r="E8" s="200">
        <f>补充协议!L34</f>
        <v>142835.548592</v>
      </c>
      <c r="F8" s="199">
        <f>D8*E8</f>
        <v>142835.548592</v>
      </c>
      <c r="G8" s="46"/>
    </row>
    <row r="9" s="193" customFormat="1" ht="54" customHeight="1" spans="1:7">
      <c r="A9" s="197">
        <v>6</v>
      </c>
      <c r="B9" s="197" t="s">
        <v>99</v>
      </c>
      <c r="C9" s="197" t="s">
        <v>93</v>
      </c>
      <c r="D9" s="198">
        <v>1</v>
      </c>
      <c r="E9" s="200">
        <v>-100</v>
      </c>
      <c r="F9" s="199">
        <f>D9*E9</f>
        <v>-100</v>
      </c>
      <c r="G9" s="46"/>
    </row>
    <row r="10" s="193" customFormat="1" ht="51" customHeight="1" spans="1:7">
      <c r="A10" s="197">
        <v>7</v>
      </c>
      <c r="B10" s="197" t="s">
        <v>100</v>
      </c>
      <c r="C10" s="197"/>
      <c r="D10" s="198"/>
      <c r="E10" s="200"/>
      <c r="F10" s="200">
        <f>SUM(F3:F9)</f>
        <v>996112.921063447</v>
      </c>
      <c r="G10" s="46"/>
    </row>
    <row r="11" ht="42" customHeight="1" spans="1:7">
      <c r="A11" s="197">
        <v>8</v>
      </c>
      <c r="B11" s="201" t="s">
        <v>101</v>
      </c>
      <c r="C11" s="100"/>
      <c r="D11" s="202"/>
      <c r="E11" s="202"/>
      <c r="F11" s="100">
        <v>996000</v>
      </c>
      <c r="G11" s="202"/>
    </row>
    <row r="12" spans="5:6">
      <c r="E12" s="203"/>
      <c r="F12" s="204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M11"/>
  <sheetViews>
    <sheetView workbookViewId="0">
      <pane ySplit="3" topLeftCell="A7" activePane="bottomLeft" state="frozen"/>
      <selection/>
      <selection pane="bottomLeft" activeCell="C10" sqref="C10"/>
    </sheetView>
  </sheetViews>
  <sheetFormatPr defaultColWidth="9.14285714285714" defaultRowHeight="14.25"/>
  <cols>
    <col min="1" max="1" width="8.14285714285714" style="151" customWidth="1"/>
    <col min="2" max="2" width="33.5714285714286" style="152" customWidth="1"/>
    <col min="3" max="3" width="46.1428571428571" style="152" customWidth="1"/>
    <col min="4" max="4" width="7.4" style="151" customWidth="1"/>
    <col min="5" max="5" width="13.0285714285714" style="153" customWidth="1"/>
    <col min="6" max="6" width="10.5714285714286" style="154"/>
    <col min="7" max="7" width="12" style="154" customWidth="1"/>
    <col min="8" max="8" width="11.5428571428571" style="155" customWidth="1"/>
    <col min="9" max="9" width="15.647619047619" style="155" customWidth="1"/>
    <col min="10" max="10" width="11.8571428571429" style="155" customWidth="1"/>
    <col min="11" max="11" width="10.2857142857143" style="154"/>
    <col min="12" max="12" width="14.5714285714286" style="155"/>
    <col min="13" max="13" width="9.85714285714286" style="156" customWidth="1"/>
    <col min="14" max="14" width="18.2857142857143" style="149" customWidth="1"/>
    <col min="15" max="15" width="12.8571428571429" style="149"/>
    <col min="16" max="16" width="9.14285714285714" style="149"/>
    <col min="17" max="17" width="9.57142857142857" style="149"/>
    <col min="18" max="16381" width="9.14285714285714" style="149"/>
    <col min="16382" max="16382" width="11.7142857142857" style="149"/>
    <col min="16383" max="16384" width="9.14285714285714" style="149"/>
  </cols>
  <sheetData>
    <row r="1" s="149" customFormat="1" ht="30" customHeight="1" spans="1:13">
      <c r="A1" s="157" t="s">
        <v>102</v>
      </c>
      <c r="B1" s="157"/>
      <c r="C1" s="157"/>
      <c r="D1" s="157"/>
      <c r="E1" s="157"/>
      <c r="F1" s="158"/>
      <c r="G1" s="158"/>
      <c r="H1" s="158"/>
      <c r="I1" s="158"/>
      <c r="J1" s="158"/>
      <c r="K1" s="154"/>
      <c r="L1" s="155"/>
      <c r="M1" s="183"/>
    </row>
    <row r="2" s="150" customFormat="1" ht="28" customHeight="1" spans="1:13">
      <c r="A2" s="159" t="s">
        <v>1</v>
      </c>
      <c r="B2" s="159" t="s">
        <v>52</v>
      </c>
      <c r="C2" s="159" t="s">
        <v>103</v>
      </c>
      <c r="D2" s="159" t="s">
        <v>104</v>
      </c>
      <c r="E2" s="159" t="s">
        <v>89</v>
      </c>
      <c r="F2" s="160" t="s">
        <v>105</v>
      </c>
      <c r="G2" s="160"/>
      <c r="H2" s="160"/>
      <c r="I2" s="160"/>
      <c r="J2" s="160"/>
      <c r="K2" s="162" t="s">
        <v>106</v>
      </c>
      <c r="L2" s="162" t="s">
        <v>107</v>
      </c>
      <c r="M2" s="184" t="s">
        <v>6</v>
      </c>
    </row>
    <row r="3" s="150" customFormat="1" ht="54" customHeight="1" spans="1:13">
      <c r="A3" s="161"/>
      <c r="B3" s="161"/>
      <c r="C3" s="161"/>
      <c r="D3" s="161"/>
      <c r="E3" s="161"/>
      <c r="F3" s="162" t="s">
        <v>108</v>
      </c>
      <c r="G3" s="162" t="s">
        <v>109</v>
      </c>
      <c r="H3" s="162" t="s">
        <v>110</v>
      </c>
      <c r="I3" s="160" t="s">
        <v>111</v>
      </c>
      <c r="J3" s="160" t="s">
        <v>112</v>
      </c>
      <c r="K3" s="185"/>
      <c r="L3" s="185"/>
      <c r="M3" s="186"/>
    </row>
    <row r="4" s="149" customFormat="1" ht="39" customHeight="1" spans="1:13">
      <c r="A4" s="163" t="s">
        <v>57</v>
      </c>
      <c r="B4" s="164" t="s">
        <v>113</v>
      </c>
      <c r="C4" s="165"/>
      <c r="D4" s="166"/>
      <c r="E4" s="166"/>
      <c r="F4" s="167"/>
      <c r="G4" s="168"/>
      <c r="H4" s="167"/>
      <c r="I4" s="187"/>
      <c r="J4" s="188"/>
      <c r="K4" s="177"/>
      <c r="L4" s="177"/>
      <c r="M4" s="189"/>
    </row>
    <row r="5" s="149" customFormat="1" ht="69" customHeight="1" spans="1:13">
      <c r="A5" s="166">
        <v>1</v>
      </c>
      <c r="B5" s="165" t="s">
        <v>114</v>
      </c>
      <c r="C5" s="165" t="s">
        <v>115</v>
      </c>
      <c r="D5" s="166" t="s">
        <v>116</v>
      </c>
      <c r="E5" s="169">
        <f>E7+E8</f>
        <v>700.632</v>
      </c>
      <c r="F5" s="170">
        <v>3</v>
      </c>
      <c r="G5" s="171"/>
      <c r="H5" s="169">
        <v>15</v>
      </c>
      <c r="I5" s="190">
        <f>(F5+H5)*0.12</f>
        <v>2.16</v>
      </c>
      <c r="J5" s="190">
        <f>SUM(F5:I5)*0.09</f>
        <v>1.8144</v>
      </c>
      <c r="K5" s="190">
        <f>SUM(F5:J5)</f>
        <v>21.9744</v>
      </c>
      <c r="L5" s="191">
        <f>E5*K5</f>
        <v>15395.9678208</v>
      </c>
      <c r="M5" s="184" t="s">
        <v>117</v>
      </c>
    </row>
    <row r="6" s="149" customFormat="1" ht="33" customHeight="1" spans="1:13">
      <c r="A6" s="166">
        <v>2</v>
      </c>
      <c r="B6" s="165" t="s">
        <v>118</v>
      </c>
      <c r="C6" s="165" t="s">
        <v>119</v>
      </c>
      <c r="D6" s="166" t="s">
        <v>120</v>
      </c>
      <c r="E6" s="169">
        <f>E9-70</f>
        <v>1751.58</v>
      </c>
      <c r="F6" s="172">
        <v>1</v>
      </c>
      <c r="G6" s="171"/>
      <c r="H6" s="169">
        <v>1</v>
      </c>
      <c r="I6" s="190">
        <f>(F6+H6)*0.12</f>
        <v>0.24</v>
      </c>
      <c r="J6" s="190">
        <f>SUM(F6:I6)*0.09</f>
        <v>0.2016</v>
      </c>
      <c r="K6" s="190">
        <f>SUM(F6:J6)</f>
        <v>2.4416</v>
      </c>
      <c r="L6" s="191">
        <f>E6*K6</f>
        <v>4276.657728</v>
      </c>
      <c r="M6" s="186"/>
    </row>
    <row r="7" s="149" customFormat="1" ht="38" customHeight="1" spans="1:13">
      <c r="A7" s="166">
        <v>3</v>
      </c>
      <c r="B7" s="165" t="s">
        <v>121</v>
      </c>
      <c r="C7" s="165" t="s">
        <v>122</v>
      </c>
      <c r="D7" s="166" t="s">
        <v>116</v>
      </c>
      <c r="E7" s="169">
        <f>(E9-70)*0.2</f>
        <v>350.316</v>
      </c>
      <c r="F7" s="173">
        <v>20</v>
      </c>
      <c r="G7" s="173">
        <v>80</v>
      </c>
      <c r="H7" s="173">
        <v>20</v>
      </c>
      <c r="I7" s="190">
        <f>(F7+H7)*0.12</f>
        <v>4.8</v>
      </c>
      <c r="J7" s="190">
        <f>SUM(F7:I7)*0.09</f>
        <v>11.232</v>
      </c>
      <c r="K7" s="190">
        <f>SUM(F7:J7)</f>
        <v>136.032</v>
      </c>
      <c r="L7" s="191">
        <f>E7*K7</f>
        <v>47654.186112</v>
      </c>
      <c r="M7" s="186"/>
    </row>
    <row r="8" s="149" customFormat="1" ht="54" customHeight="1" spans="1:13">
      <c r="A8" s="166">
        <v>4</v>
      </c>
      <c r="B8" s="165" t="s">
        <v>123</v>
      </c>
      <c r="C8" s="165" t="s">
        <v>124</v>
      </c>
      <c r="D8" s="166" t="s">
        <v>116</v>
      </c>
      <c r="E8" s="169">
        <f>(E9-70)*0.2</f>
        <v>350.316</v>
      </c>
      <c r="F8" s="172">
        <v>60</v>
      </c>
      <c r="G8" s="171">
        <v>400</v>
      </c>
      <c r="H8" s="169">
        <v>50</v>
      </c>
      <c r="I8" s="190">
        <f>(F8+G8+H8)*0.12</f>
        <v>61.2</v>
      </c>
      <c r="J8" s="190">
        <f>SUM(F8:I8)*0.09</f>
        <v>51.408</v>
      </c>
      <c r="K8" s="190">
        <f>SUM(F8:J8)</f>
        <v>622.608</v>
      </c>
      <c r="L8" s="191">
        <f>E8*K8</f>
        <v>218109.544128</v>
      </c>
      <c r="M8" s="192"/>
    </row>
    <row r="9" s="149" customFormat="1" ht="50" customHeight="1" spans="1:13">
      <c r="A9" s="166">
        <v>7</v>
      </c>
      <c r="B9" s="165" t="s">
        <v>125</v>
      </c>
      <c r="C9" s="165" t="s">
        <v>126</v>
      </c>
      <c r="D9" s="166" t="s">
        <v>120</v>
      </c>
      <c r="E9" s="174">
        <f>1845.58-0.6*0.6*40-0.8*0.8*15</f>
        <v>1821.58</v>
      </c>
      <c r="F9" s="172">
        <v>40</v>
      </c>
      <c r="G9" s="171">
        <v>85</v>
      </c>
      <c r="H9" s="169">
        <f>G9*0.25</f>
        <v>21.25</v>
      </c>
      <c r="I9" s="190">
        <f>(F9+G9+H9)*0.12</f>
        <v>17.55</v>
      </c>
      <c r="J9" s="190">
        <f>SUM(F9:I9)*0.09</f>
        <v>14.742</v>
      </c>
      <c r="K9" s="190">
        <f>SUM(F9:J9)</f>
        <v>178.542</v>
      </c>
      <c r="L9" s="191">
        <f>E9*K9</f>
        <v>325228.53636</v>
      </c>
      <c r="M9" s="189" t="s">
        <v>127</v>
      </c>
    </row>
    <row r="10" s="149" customFormat="1" ht="48" customHeight="1" spans="1:13">
      <c r="A10" s="175" t="s">
        <v>91</v>
      </c>
      <c r="B10" s="176"/>
      <c r="C10" s="166"/>
      <c r="D10" s="166" t="s">
        <v>128</v>
      </c>
      <c r="E10" s="163"/>
      <c r="F10" s="177"/>
      <c r="G10" s="177"/>
      <c r="H10" s="178"/>
      <c r="I10" s="178"/>
      <c r="J10" s="178"/>
      <c r="K10" s="177"/>
      <c r="L10" s="191">
        <f>SUM(L5:L9)</f>
        <v>610664.8921488</v>
      </c>
      <c r="M10" s="189"/>
    </row>
    <row r="11" s="149" customFormat="1" ht="39" customHeight="1" spans="1:13">
      <c r="A11" s="179" t="s">
        <v>129</v>
      </c>
      <c r="B11" s="180"/>
      <c r="C11" s="180"/>
      <c r="D11" s="180"/>
      <c r="E11" s="180"/>
      <c r="F11" s="181"/>
      <c r="G11" s="181"/>
      <c r="H11" s="182"/>
      <c r="I11" s="182"/>
      <c r="J11" s="182"/>
      <c r="K11" s="181"/>
      <c r="L11" s="182"/>
      <c r="M11" s="180"/>
    </row>
  </sheetData>
  <sheetProtection selectLockedCells="1"/>
  <autoFilter xmlns:etc="http://www.wps.cn/officeDocument/2017/etCustomData" ref="A3:XFD11" etc:filterBottomFollowUsedRange="0">
    <extLst/>
  </autoFilter>
  <mergeCells count="13">
    <mergeCell ref="A1:M1"/>
    <mergeCell ref="F2:J2"/>
    <mergeCell ref="A10:B10"/>
    <mergeCell ref="A11:M11"/>
    <mergeCell ref="A2:A3"/>
    <mergeCell ref="B2:B3"/>
    <mergeCell ref="C2:C3"/>
    <mergeCell ref="D2:D3"/>
    <mergeCell ref="E2:E3"/>
    <mergeCell ref="K2:K3"/>
    <mergeCell ref="L2:L3"/>
    <mergeCell ref="M2:M3"/>
    <mergeCell ref="M5:M8"/>
  </mergeCells>
  <pageMargins left="0.786805555555556" right="0.196527777777778" top="0.786805555555556" bottom="0.393055555555556" header="0" footer="0"/>
  <pageSetup paperSize="9" scale="68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workbookViewId="0">
      <selection activeCell="F12" sqref="F12"/>
    </sheetView>
  </sheetViews>
  <sheetFormatPr defaultColWidth="9.14285714285714" defaultRowHeight="12.75"/>
  <cols>
    <col min="1" max="1" width="9.14285714285714" style="82"/>
    <col min="2" max="2" width="33.7142857142857" style="82" customWidth="1"/>
    <col min="4" max="4" width="10.1428571428571" style="82" customWidth="1"/>
    <col min="5" max="5" width="9.42857142857143" style="82" customWidth="1"/>
    <col min="6" max="6" width="9.85714285714286" style="82" customWidth="1"/>
    <col min="7" max="7" width="10.5714285714286" style="82" customWidth="1"/>
    <col min="8" max="8" width="11.4285714285714" customWidth="1"/>
    <col min="9" max="9" width="13.4285714285714" customWidth="1"/>
    <col min="10" max="10" width="14" customWidth="1"/>
    <col min="12" max="12" width="12.8571428571429"/>
    <col min="14" max="14" width="16.1428571428571" customWidth="1"/>
    <col min="23" max="23" width="12.8571428571429"/>
  </cols>
  <sheetData>
    <row r="1" ht="45" customHeight="1" spans="1:9">
      <c r="A1" s="127" t="s">
        <v>130</v>
      </c>
      <c r="B1" s="127"/>
      <c r="C1" s="127"/>
      <c r="D1" s="127"/>
      <c r="E1" s="127"/>
      <c r="F1" s="127"/>
      <c r="G1" s="127"/>
      <c r="H1" s="127"/>
      <c r="I1" s="127"/>
    </row>
    <row r="2" s="126" customFormat="1" ht="34" customHeight="1" spans="1:10">
      <c r="A2" s="128" t="s">
        <v>1</v>
      </c>
      <c r="B2" s="128" t="s">
        <v>52</v>
      </c>
      <c r="C2" s="128" t="s">
        <v>88</v>
      </c>
      <c r="D2" s="128" t="s">
        <v>131</v>
      </c>
      <c r="E2" s="128" t="s">
        <v>132</v>
      </c>
      <c r="F2" s="128" t="s">
        <v>133</v>
      </c>
      <c r="G2" s="128" t="s">
        <v>91</v>
      </c>
      <c r="H2" s="128" t="s">
        <v>134</v>
      </c>
      <c r="I2" s="128" t="s">
        <v>55</v>
      </c>
      <c r="J2" s="128" t="s">
        <v>6</v>
      </c>
    </row>
    <row r="3" s="126" customFormat="1" ht="34" customHeight="1" spans="1:10">
      <c r="A3" s="100">
        <v>1</v>
      </c>
      <c r="B3" s="129" t="s">
        <v>135</v>
      </c>
      <c r="C3" s="100" t="s">
        <v>116</v>
      </c>
      <c r="D3" s="100">
        <f>8.7+2+21.98+6.39</f>
        <v>39.07</v>
      </c>
      <c r="E3" s="100">
        <v>0.24</v>
      </c>
      <c r="F3" s="100">
        <v>0.4</v>
      </c>
      <c r="G3" s="130">
        <f>F3*E3*D3</f>
        <v>3.75072</v>
      </c>
      <c r="H3" s="95">
        <v>559.1264</v>
      </c>
      <c r="I3" s="95">
        <f t="shared" ref="I3:I12" si="0">H3*G3</f>
        <v>2097.126571008</v>
      </c>
      <c r="J3" s="128" t="s">
        <v>136</v>
      </c>
    </row>
    <row r="4" s="126" customFormat="1" ht="34" customHeight="1" spans="1:10">
      <c r="A4" s="100">
        <v>2</v>
      </c>
      <c r="B4" s="131" t="s">
        <v>137</v>
      </c>
      <c r="C4" s="100" t="s">
        <v>120</v>
      </c>
      <c r="D4" s="100">
        <f>D3</f>
        <v>39.07</v>
      </c>
      <c r="E4" s="100"/>
      <c r="F4" s="100">
        <f>F3</f>
        <v>0.4</v>
      </c>
      <c r="G4" s="130">
        <f t="shared" ref="G4:G8" si="1">F4*D4</f>
        <v>15.628</v>
      </c>
      <c r="H4" s="80">
        <v>52</v>
      </c>
      <c r="I4" s="95">
        <f t="shared" si="0"/>
        <v>812.656</v>
      </c>
      <c r="J4" s="128" t="s">
        <v>138</v>
      </c>
    </row>
    <row r="5" s="126" customFormat="1" ht="36" customHeight="1" spans="1:10">
      <c r="A5" s="100">
        <v>3</v>
      </c>
      <c r="B5" s="132" t="s">
        <v>139</v>
      </c>
      <c r="C5" s="100" t="s">
        <v>116</v>
      </c>
      <c r="D5" s="100">
        <f>D9</f>
        <v>37.66</v>
      </c>
      <c r="E5" s="100">
        <v>0.24</v>
      </c>
      <c r="F5" s="100">
        <v>1.2</v>
      </c>
      <c r="G5" s="130">
        <f t="shared" si="1"/>
        <v>45.192</v>
      </c>
      <c r="H5" s="95">
        <v>559.1264</v>
      </c>
      <c r="I5" s="95">
        <f t="shared" si="0"/>
        <v>25268.0402688</v>
      </c>
      <c r="J5" s="128"/>
    </row>
    <row r="6" s="126" customFormat="1" ht="36" customHeight="1" spans="1:10">
      <c r="A6" s="100">
        <v>4</v>
      </c>
      <c r="B6" s="132" t="s">
        <v>140</v>
      </c>
      <c r="C6" s="100" t="s">
        <v>116</v>
      </c>
      <c r="D6" s="100">
        <v>13</v>
      </c>
      <c r="E6" s="100">
        <v>0.12</v>
      </c>
      <c r="F6" s="100">
        <v>1.2</v>
      </c>
      <c r="G6" s="130">
        <f t="shared" si="1"/>
        <v>15.6</v>
      </c>
      <c r="H6" s="95">
        <v>559.1264</v>
      </c>
      <c r="I6" s="95">
        <f t="shared" si="0"/>
        <v>8722.37184</v>
      </c>
      <c r="J6" s="128"/>
    </row>
    <row r="7" s="126" customFormat="1" ht="36" customHeight="1" spans="1:10">
      <c r="A7" s="100">
        <v>5</v>
      </c>
      <c r="B7" s="132" t="s">
        <v>141</v>
      </c>
      <c r="C7" s="100" t="s">
        <v>142</v>
      </c>
      <c r="D7" s="101">
        <f>D5*4</f>
        <v>150.64</v>
      </c>
      <c r="E7" s="101">
        <v>0.395</v>
      </c>
      <c r="F7" s="101"/>
      <c r="G7" s="101">
        <f>E7*D7</f>
        <v>59.5028</v>
      </c>
      <c r="H7" s="133">
        <v>5</v>
      </c>
      <c r="I7" s="95">
        <f t="shared" si="0"/>
        <v>297.514</v>
      </c>
      <c r="J7" s="102" t="s">
        <v>143</v>
      </c>
    </row>
    <row r="8" s="126" customFormat="1" ht="36" customHeight="1" spans="1:10">
      <c r="A8" s="100">
        <v>6</v>
      </c>
      <c r="B8" s="134" t="s">
        <v>144</v>
      </c>
      <c r="C8" s="100" t="s">
        <v>120</v>
      </c>
      <c r="D8" s="101">
        <f>D5</f>
        <v>37.66</v>
      </c>
      <c r="E8" s="101">
        <v>0.5</v>
      </c>
      <c r="F8" s="101">
        <v>0.1</v>
      </c>
      <c r="G8" s="130">
        <f>F8*D8*E8</f>
        <v>1.883</v>
      </c>
      <c r="H8" s="133">
        <v>622.608</v>
      </c>
      <c r="I8" s="95">
        <f t="shared" si="0"/>
        <v>1172.370864</v>
      </c>
      <c r="J8" s="102"/>
    </row>
    <row r="9" ht="27" customHeight="1" spans="1:10">
      <c r="A9" s="100">
        <v>7</v>
      </c>
      <c r="B9" s="129" t="s">
        <v>145</v>
      </c>
      <c r="C9" s="100" t="s">
        <v>120</v>
      </c>
      <c r="D9" s="100">
        <f>37.2+0.46</f>
        <v>37.66</v>
      </c>
      <c r="E9" s="100"/>
      <c r="F9" s="100">
        <v>1.2</v>
      </c>
      <c r="G9" s="130">
        <f>F9*D9</f>
        <v>45.192</v>
      </c>
      <c r="H9" s="135">
        <v>22</v>
      </c>
      <c r="I9" s="95">
        <f t="shared" si="0"/>
        <v>994.224</v>
      </c>
      <c r="J9" s="103"/>
    </row>
    <row r="10" ht="27" customHeight="1" spans="1:10">
      <c r="A10" s="100">
        <v>8</v>
      </c>
      <c r="B10" s="129" t="s">
        <v>146</v>
      </c>
      <c r="C10" s="100" t="s">
        <v>120</v>
      </c>
      <c r="D10" s="100">
        <f>D9</f>
        <v>37.66</v>
      </c>
      <c r="E10" s="100"/>
      <c r="F10" s="100">
        <f>1.2+0.24</f>
        <v>1.44</v>
      </c>
      <c r="G10" s="130">
        <f>F10+D10</f>
        <v>39.1</v>
      </c>
      <c r="H10" s="80">
        <v>52</v>
      </c>
      <c r="I10" s="95">
        <f t="shared" si="0"/>
        <v>2033.2</v>
      </c>
      <c r="J10" s="128" t="s">
        <v>138</v>
      </c>
    </row>
    <row r="11" ht="25" customHeight="1" spans="1:10">
      <c r="A11" s="100">
        <v>9</v>
      </c>
      <c r="B11" s="136" t="s">
        <v>147</v>
      </c>
      <c r="C11" s="100" t="s">
        <v>120</v>
      </c>
      <c r="D11" s="100">
        <f>1.2+1.26</f>
        <v>2.46</v>
      </c>
      <c r="E11" s="100"/>
      <c r="F11" s="100">
        <v>1.2</v>
      </c>
      <c r="G11" s="130">
        <f>F11*D11</f>
        <v>2.952</v>
      </c>
      <c r="H11" s="135">
        <v>178.542</v>
      </c>
      <c r="I11" s="95">
        <f t="shared" si="0"/>
        <v>527.055984</v>
      </c>
      <c r="J11" s="103"/>
    </row>
    <row r="12" ht="27" customHeight="1" spans="1:10">
      <c r="A12" s="100">
        <v>10</v>
      </c>
      <c r="B12" s="137"/>
      <c r="C12" s="100" t="s">
        <v>120</v>
      </c>
      <c r="D12" s="100">
        <f>D11</f>
        <v>2.46</v>
      </c>
      <c r="E12" s="100">
        <v>0.2</v>
      </c>
      <c r="F12" s="100"/>
      <c r="G12" s="130">
        <f>D12*E12</f>
        <v>0.492</v>
      </c>
      <c r="H12" s="135">
        <f>H11</f>
        <v>178.542</v>
      </c>
      <c r="I12" s="95">
        <f t="shared" si="0"/>
        <v>87.842664</v>
      </c>
      <c r="J12" s="103"/>
    </row>
    <row r="13" ht="34" customHeight="1" spans="1:10">
      <c r="A13" s="100">
        <v>11</v>
      </c>
      <c r="B13" s="129" t="s">
        <v>148</v>
      </c>
      <c r="C13" s="133"/>
      <c r="D13" s="101"/>
      <c r="E13" s="101"/>
      <c r="G13" s="101"/>
      <c r="H13" s="133"/>
      <c r="I13" s="95"/>
      <c r="J13" s="103"/>
    </row>
    <row r="14" ht="34" customHeight="1" spans="1:10">
      <c r="A14" s="100">
        <v>12</v>
      </c>
      <c r="B14" s="138" t="s">
        <v>149</v>
      </c>
      <c r="C14" s="100" t="s">
        <v>116</v>
      </c>
      <c r="D14" s="101">
        <f>12.36+27+11.76</f>
        <v>51.12</v>
      </c>
      <c r="E14" s="101">
        <v>0.24</v>
      </c>
      <c r="F14" s="101">
        <f>(0.771+0.069)</f>
        <v>0.84</v>
      </c>
      <c r="G14" s="139">
        <f>F14*E14*D14</f>
        <v>10.305792</v>
      </c>
      <c r="H14" s="133">
        <f>H3</f>
        <v>559.1264</v>
      </c>
      <c r="I14" s="95">
        <f>H14*G14</f>
        <v>5762.2403801088</v>
      </c>
      <c r="J14" s="103"/>
    </row>
    <row r="15" ht="34" customHeight="1" spans="1:10">
      <c r="A15" s="100">
        <v>13</v>
      </c>
      <c r="B15" s="138" t="s">
        <v>150</v>
      </c>
      <c r="C15" s="100" t="s">
        <v>116</v>
      </c>
      <c r="D15" s="101">
        <f>0.37*17</f>
        <v>6.29</v>
      </c>
      <c r="E15" s="101">
        <v>0.12</v>
      </c>
      <c r="F15" s="101">
        <v>0.84</v>
      </c>
      <c r="G15" s="139">
        <f>F15*E15*D15</f>
        <v>0.634032</v>
      </c>
      <c r="H15" s="133">
        <f>H14</f>
        <v>559.1264</v>
      </c>
      <c r="I15" s="95">
        <f>H15*G15</f>
        <v>354.5040296448</v>
      </c>
      <c r="J15" s="103"/>
    </row>
    <row r="16" ht="34" customHeight="1" spans="1:10">
      <c r="A16" s="100">
        <v>14</v>
      </c>
      <c r="B16" s="140" t="s">
        <v>151</v>
      </c>
      <c r="C16" s="100" t="s">
        <v>116</v>
      </c>
      <c r="D16" s="101">
        <f>D14</f>
        <v>51.12</v>
      </c>
      <c r="E16" s="101">
        <v>0.24</v>
      </c>
      <c r="F16" s="101">
        <v>0.1</v>
      </c>
      <c r="G16" s="139">
        <f>F16*E16*D16</f>
        <v>1.22688</v>
      </c>
      <c r="H16" s="133">
        <f>H15</f>
        <v>559.1264</v>
      </c>
      <c r="I16" s="95">
        <f>H16*G16</f>
        <v>685.980997632</v>
      </c>
      <c r="J16" s="103"/>
    </row>
    <row r="17" ht="34" customHeight="1" spans="1:10">
      <c r="A17" s="100">
        <v>15</v>
      </c>
      <c r="B17" s="141" t="s">
        <v>152</v>
      </c>
      <c r="C17" s="100" t="s">
        <v>142</v>
      </c>
      <c r="D17" s="101">
        <f>D16*2</f>
        <v>102.24</v>
      </c>
      <c r="E17" s="101">
        <v>1.21</v>
      </c>
      <c r="F17" s="101"/>
      <c r="G17" s="139">
        <f>D17*E17</f>
        <v>123.7104</v>
      </c>
      <c r="H17" s="133">
        <v>5</v>
      </c>
      <c r="I17" s="95">
        <f>H17*G17</f>
        <v>618.552</v>
      </c>
      <c r="J17" s="103"/>
    </row>
    <row r="18" ht="34" customHeight="1" spans="1:10">
      <c r="A18" s="100">
        <v>16</v>
      </c>
      <c r="B18" s="141" t="s">
        <v>153</v>
      </c>
      <c r="C18" s="100" t="s">
        <v>142</v>
      </c>
      <c r="D18" s="101">
        <f>0.24*340</f>
        <v>81.6</v>
      </c>
      <c r="E18" s="101">
        <v>0.395</v>
      </c>
      <c r="F18" s="101"/>
      <c r="G18" s="139">
        <f>D18*E18</f>
        <v>32.232</v>
      </c>
      <c r="H18" s="133">
        <v>5</v>
      </c>
      <c r="I18" s="95">
        <f>H18*G18</f>
        <v>161.16</v>
      </c>
      <c r="J18" s="103"/>
    </row>
    <row r="19" ht="34" customHeight="1" spans="1:10">
      <c r="A19" s="100">
        <v>17</v>
      </c>
      <c r="B19" s="138" t="s">
        <v>154</v>
      </c>
      <c r="C19" s="100" t="s">
        <v>116</v>
      </c>
      <c r="D19" s="101">
        <f>D14</f>
        <v>51.12</v>
      </c>
      <c r="E19" s="101">
        <v>0.5</v>
      </c>
      <c r="F19" s="101">
        <v>0.1</v>
      </c>
      <c r="G19" s="139">
        <f>F19*E19*D19</f>
        <v>2.556</v>
      </c>
      <c r="H19" s="133">
        <v>622.608</v>
      </c>
      <c r="I19" s="95">
        <f t="shared" ref="I19:I26" si="2">H19*G19</f>
        <v>1591.386048</v>
      </c>
      <c r="J19" s="103"/>
    </row>
    <row r="20" ht="34" customHeight="1" spans="1:10">
      <c r="A20" s="100">
        <v>18</v>
      </c>
      <c r="B20" s="140" t="s">
        <v>155</v>
      </c>
      <c r="C20" s="100" t="s">
        <v>116</v>
      </c>
      <c r="D20" s="101">
        <f>D15</f>
        <v>6.29</v>
      </c>
      <c r="E20" s="101">
        <v>0.12</v>
      </c>
      <c r="F20" s="101">
        <v>0.1</v>
      </c>
      <c r="G20" s="139">
        <f>F20*E20*D20</f>
        <v>0.07548</v>
      </c>
      <c r="H20" s="133">
        <f>H19</f>
        <v>622.608</v>
      </c>
      <c r="I20" s="95">
        <f t="shared" si="2"/>
        <v>46.99445184</v>
      </c>
      <c r="J20" s="103"/>
    </row>
    <row r="21" ht="34" customHeight="1" spans="1:10">
      <c r="A21" s="100">
        <v>19</v>
      </c>
      <c r="B21" s="138" t="s">
        <v>156</v>
      </c>
      <c r="C21" s="100" t="s">
        <v>116</v>
      </c>
      <c r="D21" s="101">
        <f>D19</f>
        <v>51.12</v>
      </c>
      <c r="E21" s="101">
        <v>0.5</v>
      </c>
      <c r="F21" s="101">
        <v>0.1</v>
      </c>
      <c r="G21" s="139">
        <f>F21*E21*D21</f>
        <v>2.556</v>
      </c>
      <c r="H21" s="133">
        <v>136.032</v>
      </c>
      <c r="I21" s="95">
        <f t="shared" si="2"/>
        <v>347.697792</v>
      </c>
      <c r="J21" s="103"/>
    </row>
    <row r="22" ht="34" customHeight="1" spans="1:10">
      <c r="A22" s="100">
        <v>20</v>
      </c>
      <c r="B22" s="140" t="s">
        <v>157</v>
      </c>
      <c r="C22" s="100" t="s">
        <v>116</v>
      </c>
      <c r="D22" s="101">
        <f>D20</f>
        <v>6.29</v>
      </c>
      <c r="E22" s="101">
        <v>0.12</v>
      </c>
      <c r="F22" s="101">
        <v>0.1</v>
      </c>
      <c r="G22" s="139">
        <f>F22*E22*D22</f>
        <v>0.07548</v>
      </c>
      <c r="H22" s="133">
        <f>H21</f>
        <v>136.032</v>
      </c>
      <c r="I22" s="95">
        <f t="shared" si="2"/>
        <v>10.26769536</v>
      </c>
      <c r="J22" s="103"/>
    </row>
    <row r="23" ht="34" customHeight="1" spans="1:10">
      <c r="A23" s="100">
        <v>21</v>
      </c>
      <c r="B23" s="128" t="s">
        <v>158</v>
      </c>
      <c r="C23" s="100" t="s">
        <v>120</v>
      </c>
      <c r="D23" s="101">
        <f>D14</f>
        <v>51.12</v>
      </c>
      <c r="E23" s="101"/>
      <c r="F23" s="101">
        <v>0.93</v>
      </c>
      <c r="G23" s="139">
        <f>F23*D23</f>
        <v>47.5416</v>
      </c>
      <c r="H23" s="133">
        <v>52</v>
      </c>
      <c r="I23" s="95">
        <f t="shared" si="2"/>
        <v>2472.1632</v>
      </c>
      <c r="J23" s="103"/>
    </row>
    <row r="24" ht="34" customHeight="1" spans="1:10">
      <c r="A24" s="100">
        <v>22</v>
      </c>
      <c r="B24" s="128" t="s">
        <v>159</v>
      </c>
      <c r="C24" s="100" t="s">
        <v>120</v>
      </c>
      <c r="D24" s="101"/>
      <c r="E24" s="101"/>
      <c r="F24" s="101"/>
      <c r="G24" s="101">
        <f>G23</f>
        <v>47.5416</v>
      </c>
      <c r="H24" s="133">
        <v>52</v>
      </c>
      <c r="I24" s="95">
        <f t="shared" si="2"/>
        <v>2472.1632</v>
      </c>
      <c r="J24" s="103"/>
    </row>
    <row r="25" ht="34" customHeight="1" spans="1:10">
      <c r="A25" s="100">
        <v>23</v>
      </c>
      <c r="B25" s="141" t="s">
        <v>160</v>
      </c>
      <c r="C25" s="100" t="s">
        <v>120</v>
      </c>
      <c r="D25" s="101">
        <f>D23+1.5*4</f>
        <v>57.12</v>
      </c>
      <c r="E25" s="101">
        <v>0.3</v>
      </c>
      <c r="F25" s="101"/>
      <c r="G25" s="101">
        <f>E25*D25</f>
        <v>17.136</v>
      </c>
      <c r="H25" s="133">
        <f>451.696/5*3</f>
        <v>271.0176</v>
      </c>
      <c r="I25" s="95">
        <f t="shared" si="2"/>
        <v>4644.1575936</v>
      </c>
      <c r="J25" s="103"/>
    </row>
    <row r="26" ht="22" customHeight="1" spans="1:10">
      <c r="A26" s="100">
        <v>24</v>
      </c>
      <c r="B26" s="128" t="s">
        <v>141</v>
      </c>
      <c r="C26" s="100" t="s">
        <v>142</v>
      </c>
      <c r="D26" s="101">
        <f>D23*2</f>
        <v>102.24</v>
      </c>
      <c r="E26" s="101">
        <v>0.395</v>
      </c>
      <c r="F26" s="101"/>
      <c r="G26" s="101">
        <f>E26*D26</f>
        <v>40.3848</v>
      </c>
      <c r="H26" s="133">
        <v>5</v>
      </c>
      <c r="I26" s="95">
        <f t="shared" si="2"/>
        <v>201.924</v>
      </c>
      <c r="J26" s="102" t="s">
        <v>143</v>
      </c>
    </row>
    <row r="27" ht="34" customHeight="1" spans="1:10">
      <c r="A27" s="100">
        <v>25</v>
      </c>
      <c r="B27" s="142" t="s">
        <v>161</v>
      </c>
      <c r="C27" s="133"/>
      <c r="D27" s="101"/>
      <c r="E27" s="101"/>
      <c r="F27" s="101"/>
      <c r="G27" s="101"/>
      <c r="H27" s="133"/>
      <c r="I27" s="95"/>
      <c r="J27" s="103"/>
    </row>
    <row r="28" ht="34" customHeight="1" spans="1:10">
      <c r="A28" s="100">
        <v>26</v>
      </c>
      <c r="B28" s="143" t="s">
        <v>162</v>
      </c>
      <c r="C28" s="101" t="s">
        <v>120</v>
      </c>
      <c r="D28" s="101"/>
      <c r="E28" s="101"/>
      <c r="F28" s="101"/>
      <c r="G28" s="101">
        <f>8.1*2-G29*0.1</f>
        <v>10.8</v>
      </c>
      <c r="H28" s="133">
        <v>400.4224</v>
      </c>
      <c r="I28" s="95">
        <f>H28*G28</f>
        <v>4324.56192</v>
      </c>
      <c r="J28" s="103"/>
    </row>
    <row r="29" ht="34" customHeight="1" spans="1:10">
      <c r="A29" s="100">
        <v>27</v>
      </c>
      <c r="B29" s="144" t="s">
        <v>163</v>
      </c>
      <c r="C29" s="101" t="s">
        <v>164</v>
      </c>
      <c r="D29" s="101"/>
      <c r="E29" s="101"/>
      <c r="F29" s="101"/>
      <c r="G29" s="101">
        <f>4.5*6*2</f>
        <v>54</v>
      </c>
      <c r="H29" s="54">
        <v>262.472</v>
      </c>
      <c r="I29" s="95">
        <f>H29*G29</f>
        <v>14173.488</v>
      </c>
      <c r="J29" s="102" t="s">
        <v>165</v>
      </c>
    </row>
    <row r="30" ht="34" customHeight="1" spans="1:10">
      <c r="A30" s="100">
        <v>28</v>
      </c>
      <c r="B30" s="145" t="s">
        <v>166</v>
      </c>
      <c r="C30" s="101" t="s">
        <v>116</v>
      </c>
      <c r="D30" s="101"/>
      <c r="E30" s="101"/>
      <c r="F30" s="101"/>
      <c r="G30" s="101">
        <f>31*2*0.1</f>
        <v>6.2</v>
      </c>
      <c r="H30" s="133">
        <f>H20</f>
        <v>622.608</v>
      </c>
      <c r="I30" s="95">
        <f>H30*G30</f>
        <v>3860.1696</v>
      </c>
      <c r="J30" s="103"/>
    </row>
    <row r="31" ht="34" customHeight="1" spans="1:10">
      <c r="A31" s="100">
        <v>29</v>
      </c>
      <c r="B31" s="146" t="s">
        <v>156</v>
      </c>
      <c r="C31" s="101" t="s">
        <v>116</v>
      </c>
      <c r="D31" s="101"/>
      <c r="E31" s="101"/>
      <c r="F31" s="101"/>
      <c r="G31" s="101">
        <f>G30</f>
        <v>6.2</v>
      </c>
      <c r="H31" s="147">
        <f>H21</f>
        <v>136.032</v>
      </c>
      <c r="I31" s="95">
        <f>H31*G31</f>
        <v>843.3984</v>
      </c>
      <c r="J31" s="103"/>
    </row>
    <row r="32" ht="32" customHeight="1" spans="1:10">
      <c r="A32" s="100">
        <v>30</v>
      </c>
      <c r="B32" s="144" t="s">
        <v>167</v>
      </c>
      <c r="C32" s="103"/>
      <c r="D32" s="101"/>
      <c r="E32" s="101"/>
      <c r="F32" s="101"/>
      <c r="G32" s="101"/>
      <c r="H32" s="103"/>
      <c r="I32" s="95"/>
      <c r="J32" s="103"/>
    </row>
    <row r="33" ht="36" customHeight="1" spans="1:10">
      <c r="A33" s="100">
        <v>31</v>
      </c>
      <c r="B33" s="148" t="s">
        <v>168</v>
      </c>
      <c r="C33" s="101" t="s">
        <v>120</v>
      </c>
      <c r="D33" s="101"/>
      <c r="E33" s="101"/>
      <c r="F33" s="101"/>
      <c r="G33" s="101">
        <f>31*2--G28</f>
        <v>72.8</v>
      </c>
      <c r="H33" s="103">
        <f>H12</f>
        <v>178.542</v>
      </c>
      <c r="I33" s="95">
        <f>H33*G33</f>
        <v>12997.8576</v>
      </c>
      <c r="J33" s="103"/>
    </row>
    <row r="34" ht="36" customHeight="1" spans="1:10">
      <c r="A34" s="100">
        <v>32</v>
      </c>
      <c r="B34" s="143" t="s">
        <v>169</v>
      </c>
      <c r="C34" s="101" t="s">
        <v>120</v>
      </c>
      <c r="D34" s="101"/>
      <c r="E34" s="101"/>
      <c r="F34" s="101"/>
      <c r="G34" s="101">
        <f>4.2*20.5</f>
        <v>86.1</v>
      </c>
      <c r="H34" s="103">
        <f>H33</f>
        <v>178.542</v>
      </c>
      <c r="I34" s="95">
        <f>H34*G34</f>
        <v>15372.4662</v>
      </c>
      <c r="J34" s="103"/>
    </row>
    <row r="35" ht="23" customHeight="1" spans="1:10">
      <c r="A35" s="100">
        <v>33</v>
      </c>
      <c r="B35" s="145" t="s">
        <v>166</v>
      </c>
      <c r="C35" s="101" t="s">
        <v>116</v>
      </c>
      <c r="D35" s="101"/>
      <c r="E35" s="101"/>
      <c r="F35" s="101"/>
      <c r="G35" s="101">
        <f>(G34+G33)*0.1</f>
        <v>15.89</v>
      </c>
      <c r="H35" s="103">
        <f>H30</f>
        <v>622.608</v>
      </c>
      <c r="I35" s="95">
        <f>H35*G35</f>
        <v>9893.24112</v>
      </c>
      <c r="J35" s="103"/>
    </row>
    <row r="36" ht="23" customHeight="1" spans="1:10">
      <c r="A36" s="100">
        <v>34</v>
      </c>
      <c r="B36" s="146" t="s">
        <v>156</v>
      </c>
      <c r="C36" s="101" t="s">
        <v>116</v>
      </c>
      <c r="D36" s="101"/>
      <c r="E36" s="101"/>
      <c r="F36" s="101"/>
      <c r="G36" s="101">
        <f>G35</f>
        <v>15.89</v>
      </c>
      <c r="H36" s="103">
        <f>H31</f>
        <v>136.032</v>
      </c>
      <c r="I36" s="95">
        <f>H36*G36</f>
        <v>2161.54848</v>
      </c>
      <c r="J36" s="103"/>
    </row>
    <row r="37" ht="23" customHeight="1" spans="1:10">
      <c r="A37" s="100">
        <v>35</v>
      </c>
      <c r="B37" s="131" t="s">
        <v>170</v>
      </c>
      <c r="C37" s="142" t="s">
        <v>171</v>
      </c>
      <c r="D37" s="101"/>
      <c r="E37" s="101"/>
      <c r="F37" s="101"/>
      <c r="G37" s="101">
        <v>2</v>
      </c>
      <c r="H37" s="103">
        <v>220</v>
      </c>
      <c r="I37" s="95">
        <f>H37*G37</f>
        <v>440</v>
      </c>
      <c r="J37" s="102" t="s">
        <v>172</v>
      </c>
    </row>
    <row r="38" ht="51" customHeight="1" spans="1:10">
      <c r="A38" s="100">
        <v>36</v>
      </c>
      <c r="B38" s="131" t="s">
        <v>173</v>
      </c>
      <c r="C38" s="142" t="s">
        <v>171</v>
      </c>
      <c r="D38" s="101">
        <f>31*4</f>
        <v>124</v>
      </c>
      <c r="E38" s="101"/>
      <c r="F38" s="101"/>
      <c r="G38" s="101"/>
      <c r="H38" s="103">
        <v>20</v>
      </c>
      <c r="I38" s="95">
        <f>D38*H38</f>
        <v>2480</v>
      </c>
      <c r="J38" s="104" t="s">
        <v>174</v>
      </c>
    </row>
    <row r="39" ht="51" customHeight="1" spans="1:10">
      <c r="A39" s="100">
        <v>37</v>
      </c>
      <c r="B39" s="131" t="s">
        <v>175</v>
      </c>
      <c r="C39" s="128" t="s">
        <v>116</v>
      </c>
      <c r="D39" s="100">
        <f>31*12*0.75</f>
        <v>279</v>
      </c>
      <c r="E39" s="100"/>
      <c r="F39" s="100"/>
      <c r="G39" s="100"/>
      <c r="H39" s="100">
        <v>21.9744</v>
      </c>
      <c r="I39" s="95">
        <f>D39*H39</f>
        <v>6130.8576</v>
      </c>
      <c r="J39" s="104"/>
    </row>
    <row r="40" ht="51" customHeight="1" spans="1:10">
      <c r="A40" s="100">
        <v>38</v>
      </c>
      <c r="B40" s="131" t="s">
        <v>176</v>
      </c>
      <c r="C40" s="128" t="s">
        <v>120</v>
      </c>
      <c r="D40" s="100"/>
      <c r="E40" s="100"/>
      <c r="F40" s="100"/>
      <c r="G40" s="100">
        <f>25*0.3*0.6</f>
        <v>4.5</v>
      </c>
      <c r="H40" s="100">
        <v>200</v>
      </c>
      <c r="I40" s="95">
        <f>H40*G40</f>
        <v>900</v>
      </c>
      <c r="J40" s="104"/>
    </row>
    <row r="41" ht="35" customHeight="1" spans="1:10">
      <c r="A41" s="100">
        <v>39</v>
      </c>
      <c r="B41" s="142" t="s">
        <v>91</v>
      </c>
      <c r="C41" s="103"/>
      <c r="D41" s="101"/>
      <c r="E41" s="101"/>
      <c r="F41" s="101"/>
      <c r="G41" s="101"/>
      <c r="H41" s="103"/>
      <c r="I41" s="103">
        <f>SUM(I3:I40)</f>
        <v>134959.182499994</v>
      </c>
      <c r="J41" s="103"/>
    </row>
  </sheetData>
  <mergeCells count="2">
    <mergeCell ref="A1:I1"/>
    <mergeCell ref="B11:B1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zoomScale="130" zoomScaleNormal="130" workbookViewId="0">
      <selection activeCell="I5" sqref="I5"/>
    </sheetView>
  </sheetViews>
  <sheetFormatPr defaultColWidth="8.88571428571429" defaultRowHeight="12.75"/>
  <cols>
    <col min="2" max="2" width="17.7142857142857" customWidth="1"/>
    <col min="5" max="5" width="8.68571428571429" customWidth="1"/>
    <col min="6" max="6" width="9.22857142857143" customWidth="1"/>
    <col min="9" max="9" width="10.7809523809524"/>
    <col min="10" max="10" width="13"/>
    <col min="11" max="11" width="26.9238095238095" customWidth="1"/>
  </cols>
  <sheetData>
    <row r="1" ht="28" customHeight="1" spans="1:11">
      <c r="A1" s="106" t="s">
        <v>177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ht="21" customHeight="1" spans="1:11">
      <c r="A2" s="85" t="s">
        <v>1</v>
      </c>
      <c r="B2" s="85" t="s">
        <v>2</v>
      </c>
      <c r="C2" s="107" t="s">
        <v>178</v>
      </c>
      <c r="D2" s="108"/>
      <c r="E2" s="108"/>
      <c r="F2" s="109"/>
      <c r="G2" s="110" t="s">
        <v>179</v>
      </c>
      <c r="H2" s="110" t="s">
        <v>180</v>
      </c>
      <c r="I2" s="88" t="s">
        <v>134</v>
      </c>
      <c r="J2" s="88" t="s">
        <v>181</v>
      </c>
      <c r="K2" s="94" t="s">
        <v>6</v>
      </c>
    </row>
    <row r="3" ht="23" customHeight="1" spans="1:11">
      <c r="A3" s="85"/>
      <c r="B3" s="85"/>
      <c r="C3" s="89" t="s">
        <v>182</v>
      </c>
      <c r="D3" s="89" t="s">
        <v>183</v>
      </c>
      <c r="E3" s="89" t="s">
        <v>184</v>
      </c>
      <c r="F3" s="87" t="s">
        <v>185</v>
      </c>
      <c r="G3" s="110"/>
      <c r="H3" s="110"/>
      <c r="I3" s="90"/>
      <c r="J3" s="90"/>
      <c r="K3" s="94"/>
    </row>
    <row r="4" ht="33" customHeight="1" spans="1:11">
      <c r="A4" s="91">
        <v>1</v>
      </c>
      <c r="B4" s="111" t="s">
        <v>186</v>
      </c>
      <c r="C4" s="112" t="s">
        <v>187</v>
      </c>
      <c r="D4" s="113" t="s">
        <v>188</v>
      </c>
      <c r="E4" s="113" t="s">
        <v>189</v>
      </c>
      <c r="F4" s="113" t="s">
        <v>190</v>
      </c>
      <c r="G4" s="91">
        <v>6</v>
      </c>
      <c r="H4" s="91" t="s">
        <v>191</v>
      </c>
      <c r="I4" s="91">
        <v>1450</v>
      </c>
      <c r="J4" s="91">
        <f>I4*G4</f>
        <v>8700</v>
      </c>
      <c r="K4" s="122" t="s">
        <v>192</v>
      </c>
    </row>
    <row r="5" ht="33" customHeight="1" spans="1:11">
      <c r="A5" s="91">
        <v>2</v>
      </c>
      <c r="B5" s="114" t="s">
        <v>193</v>
      </c>
      <c r="C5" s="115">
        <v>1.5</v>
      </c>
      <c r="D5" s="115"/>
      <c r="E5" s="115" t="s">
        <v>194</v>
      </c>
      <c r="F5" s="115"/>
      <c r="G5" s="98">
        <v>9</v>
      </c>
      <c r="H5" s="116" t="s">
        <v>191</v>
      </c>
      <c r="I5" s="91">
        <v>950</v>
      </c>
      <c r="J5" s="52">
        <f>G5*I5</f>
        <v>8550</v>
      </c>
      <c r="K5" s="123" t="s">
        <v>195</v>
      </c>
    </row>
    <row r="6" ht="33" customHeight="1" spans="1:11">
      <c r="A6" s="91">
        <v>3</v>
      </c>
      <c r="B6" s="114" t="s">
        <v>196</v>
      </c>
      <c r="C6" s="115" t="s">
        <v>197</v>
      </c>
      <c r="D6" s="115"/>
      <c r="E6" s="115" t="s">
        <v>194</v>
      </c>
      <c r="F6" s="115"/>
      <c r="G6" s="98">
        <v>6</v>
      </c>
      <c r="H6" s="116" t="s">
        <v>191</v>
      </c>
      <c r="I6" s="91">
        <v>950</v>
      </c>
      <c r="J6" s="52">
        <f>G6*I6</f>
        <v>5700</v>
      </c>
      <c r="K6" s="122" t="s">
        <v>192</v>
      </c>
    </row>
    <row r="7" ht="33" customHeight="1" spans="1:11">
      <c r="A7" s="91" t="s">
        <v>67</v>
      </c>
      <c r="B7" s="117" t="s">
        <v>91</v>
      </c>
      <c r="C7" s="118"/>
      <c r="D7" s="113"/>
      <c r="E7" s="113"/>
      <c r="F7" s="113"/>
      <c r="G7" s="91"/>
      <c r="H7" s="91"/>
      <c r="I7" s="124"/>
      <c r="J7" s="124">
        <f>SUM(J4:J6)</f>
        <v>22950</v>
      </c>
      <c r="K7" s="125"/>
    </row>
    <row r="8" ht="13.5" spans="1:11">
      <c r="A8" s="119" t="s">
        <v>198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</row>
    <row r="9" ht="13.5" spans="1:11">
      <c r="A9" s="119" t="s">
        <v>199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</row>
    <row r="10" ht="13.5" spans="1:11">
      <c r="A10" s="120" t="s">
        <v>200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</row>
  </sheetData>
  <mergeCells count="12">
    <mergeCell ref="A1:K1"/>
    <mergeCell ref="C2:F2"/>
    <mergeCell ref="A8:K8"/>
    <mergeCell ref="A9:K9"/>
    <mergeCell ref="A10:K10"/>
    <mergeCell ref="A2:A3"/>
    <mergeCell ref="B2:B3"/>
    <mergeCell ref="G2:G3"/>
    <mergeCell ref="H2:H3"/>
    <mergeCell ref="I2:I3"/>
    <mergeCell ref="J2:J3"/>
    <mergeCell ref="K2:K3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L5" sqref="L5"/>
    </sheetView>
  </sheetViews>
  <sheetFormatPr defaultColWidth="8.88571428571429" defaultRowHeight="12.75"/>
  <cols>
    <col min="2" max="2" width="15.2857142857143" customWidth="1"/>
    <col min="3" max="3" width="12.4285714285714" style="82" customWidth="1"/>
    <col min="4" max="4" width="12.2857142857143" customWidth="1"/>
    <col min="5" max="5" width="12" customWidth="1"/>
    <col min="6" max="6" width="9.71428571428571" customWidth="1"/>
    <col min="7" max="7" width="5.42857142857143" customWidth="1"/>
    <col min="8" max="8" width="14.1428571428571" customWidth="1"/>
    <col min="9" max="9" width="16.7142857142857" customWidth="1"/>
    <col min="10" max="10" width="17.2857142857143" customWidth="1"/>
  </cols>
  <sheetData>
    <row r="1" ht="45" customHeight="1" spans="1:7">
      <c r="A1" s="83" t="s">
        <v>201</v>
      </c>
      <c r="B1" s="84"/>
      <c r="C1" s="84"/>
      <c r="D1" s="84"/>
      <c r="E1" s="84"/>
      <c r="F1" s="84"/>
      <c r="G1" s="84"/>
    </row>
    <row r="2" ht="24" customHeight="1" spans="1:10">
      <c r="A2" s="85" t="s">
        <v>202</v>
      </c>
      <c r="B2" s="86" t="s">
        <v>2</v>
      </c>
      <c r="C2" s="87" t="s">
        <v>178</v>
      </c>
      <c r="D2" s="87"/>
      <c r="E2" s="87"/>
      <c r="F2" s="85" t="s">
        <v>89</v>
      </c>
      <c r="G2" s="85" t="s">
        <v>88</v>
      </c>
      <c r="H2" s="88" t="s">
        <v>134</v>
      </c>
      <c r="I2" s="88" t="s">
        <v>181</v>
      </c>
      <c r="J2" s="94" t="s">
        <v>6</v>
      </c>
    </row>
    <row r="3" ht="33" customHeight="1" spans="1:10">
      <c r="A3" s="85"/>
      <c r="B3" s="86"/>
      <c r="C3" s="89" t="s">
        <v>203</v>
      </c>
      <c r="D3" s="89" t="s">
        <v>204</v>
      </c>
      <c r="E3" s="89" t="s">
        <v>205</v>
      </c>
      <c r="F3" s="85"/>
      <c r="G3" s="85"/>
      <c r="H3" s="90"/>
      <c r="I3" s="90"/>
      <c r="J3" s="94"/>
    </row>
    <row r="4" ht="37" customHeight="1" spans="1:10">
      <c r="A4" s="91">
        <v>1</v>
      </c>
      <c r="B4" s="92" t="s">
        <v>206</v>
      </c>
      <c r="C4" s="93" t="s">
        <v>207</v>
      </c>
      <c r="D4" s="93" t="s">
        <v>208</v>
      </c>
      <c r="E4" s="93" t="s">
        <v>209</v>
      </c>
      <c r="F4" s="94">
        <v>80.09</v>
      </c>
      <c r="G4" s="93" t="s">
        <v>210</v>
      </c>
      <c r="H4" s="95">
        <v>180.6784</v>
      </c>
      <c r="I4" s="95">
        <f>H4*F4</f>
        <v>14470.533056</v>
      </c>
      <c r="J4" s="103"/>
    </row>
    <row r="5" ht="37" customHeight="1" spans="1:10">
      <c r="A5" s="91">
        <v>2</v>
      </c>
      <c r="B5" s="92" t="s">
        <v>211</v>
      </c>
      <c r="C5" s="93" t="s">
        <v>212</v>
      </c>
      <c r="D5" s="93" t="s">
        <v>213</v>
      </c>
      <c r="E5" s="93" t="s">
        <v>209</v>
      </c>
      <c r="F5" s="93">
        <v>52.7</v>
      </c>
      <c r="G5" s="93" t="s">
        <v>210</v>
      </c>
      <c r="H5" s="95">
        <f>H4</f>
        <v>180.6784</v>
      </c>
      <c r="I5" s="95">
        <f>H5*F5</f>
        <v>9521.75168</v>
      </c>
      <c r="J5" s="103"/>
    </row>
    <row r="6" ht="33" customHeight="1" spans="1:10">
      <c r="A6" s="91">
        <v>3</v>
      </c>
      <c r="B6" s="96" t="s">
        <v>214</v>
      </c>
      <c r="C6" s="97">
        <v>1.8</v>
      </c>
      <c r="D6" s="96"/>
      <c r="E6" s="97">
        <v>0.4</v>
      </c>
      <c r="F6" s="97">
        <v>100</v>
      </c>
      <c r="G6" s="97" t="s">
        <v>215</v>
      </c>
      <c r="H6" s="95">
        <v>80</v>
      </c>
      <c r="I6" s="95">
        <f>H6*F6</f>
        <v>8000</v>
      </c>
      <c r="J6" s="104" t="s">
        <v>216</v>
      </c>
    </row>
    <row r="7" ht="28" customHeight="1" spans="1:10">
      <c r="A7" s="91">
        <v>4</v>
      </c>
      <c r="B7" s="92" t="s">
        <v>217</v>
      </c>
      <c r="C7" s="98">
        <v>0.4</v>
      </c>
      <c r="D7" s="99" t="s">
        <v>213</v>
      </c>
      <c r="E7" s="98">
        <v>0.3</v>
      </c>
      <c r="F7" s="93">
        <v>5.52</v>
      </c>
      <c r="G7" s="93" t="s">
        <v>210</v>
      </c>
      <c r="H7" s="95">
        <f>H5</f>
        <v>180.6784</v>
      </c>
      <c r="I7" s="95">
        <f>H7*F7</f>
        <v>997.344768</v>
      </c>
      <c r="J7" s="103"/>
    </row>
    <row r="8" ht="37" customHeight="1" spans="1:10">
      <c r="A8" s="91">
        <v>5</v>
      </c>
      <c r="B8" s="92" t="s">
        <v>218</v>
      </c>
      <c r="C8" s="93"/>
      <c r="D8" s="93"/>
      <c r="E8" s="93"/>
      <c r="F8" s="93">
        <v>641.45</v>
      </c>
      <c r="G8" s="93" t="s">
        <v>210</v>
      </c>
      <c r="H8" s="100">
        <v>40</v>
      </c>
      <c r="I8" s="95">
        <f>H8*F8</f>
        <v>25658</v>
      </c>
      <c r="J8" s="102" t="s">
        <v>192</v>
      </c>
    </row>
    <row r="9" ht="24" customHeight="1" spans="1:10">
      <c r="A9" s="101">
        <v>6</v>
      </c>
      <c r="B9" s="102" t="s">
        <v>91</v>
      </c>
      <c r="C9" s="101"/>
      <c r="D9" s="103"/>
      <c r="E9" s="103"/>
      <c r="F9" s="103"/>
      <c r="G9" s="103"/>
      <c r="H9" s="103"/>
      <c r="I9" s="105">
        <f>SUM(I4:I8)</f>
        <v>58647.629504</v>
      </c>
      <c r="J9" s="103"/>
    </row>
  </sheetData>
  <mergeCells count="9">
    <mergeCell ref="A1:G1"/>
    <mergeCell ref="C2:E2"/>
    <mergeCell ref="A2:A3"/>
    <mergeCell ref="B2:B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zoomScaleSheetLayoutView="130" workbookViewId="0">
      <pane xSplit="1" ySplit="1" topLeftCell="B17" activePane="bottomRight" state="frozen"/>
      <selection/>
      <selection pane="topRight"/>
      <selection pane="bottomLeft"/>
      <selection pane="bottomRight" activeCell="F25" sqref="F25"/>
    </sheetView>
  </sheetViews>
  <sheetFormatPr defaultColWidth="10.2857142857143" defaultRowHeight="14.25"/>
  <cols>
    <col min="1" max="1" width="4.42857142857143" style="1" customWidth="1"/>
    <col min="2" max="2" width="12.8571428571429" style="1" customWidth="1"/>
    <col min="3" max="3" width="30.4285714285714" style="1" customWidth="1"/>
    <col min="4" max="4" width="4.42857142857143" style="1" customWidth="1"/>
    <col min="5" max="5" width="8.57142857142857" style="1" customWidth="1"/>
    <col min="6" max="6" width="10.5714285714286" style="1"/>
    <col min="7" max="7" width="8.71428571428571" style="1" customWidth="1"/>
    <col min="8" max="8" width="11.5714285714286" style="1" customWidth="1"/>
    <col min="9" max="9" width="15.7142857142857" style="1" customWidth="1"/>
    <col min="10" max="10" width="11.8571428571429" style="1" customWidth="1"/>
    <col min="11" max="11" width="10.2857142857143" style="2"/>
    <col min="12" max="12" width="10.2857142857143" style="1"/>
    <col min="13" max="13" width="13" style="68" customWidth="1"/>
    <col min="14" max="16384" width="10.2857142857143" style="1"/>
  </cols>
  <sheetData>
    <row r="1" s="1" customFormat="1" ht="33.95" customHeight="1" spans="1:13">
      <c r="A1" s="3" t="s">
        <v>219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2.95" customHeight="1" spans="1:13">
      <c r="A2" s="4" t="s">
        <v>1</v>
      </c>
      <c r="B2" s="5" t="s">
        <v>220</v>
      </c>
      <c r="C2" s="5" t="s">
        <v>221</v>
      </c>
      <c r="D2" s="5" t="s">
        <v>88</v>
      </c>
      <c r="E2" s="6" t="s">
        <v>222</v>
      </c>
      <c r="F2" s="7" t="s">
        <v>105</v>
      </c>
      <c r="G2" s="8"/>
      <c r="H2" s="8"/>
      <c r="I2" s="8"/>
      <c r="J2" s="48"/>
      <c r="K2" s="12" t="s">
        <v>106</v>
      </c>
      <c r="L2" s="12" t="s">
        <v>107</v>
      </c>
      <c r="M2" s="12" t="s">
        <v>223</v>
      </c>
    </row>
    <row r="3" s="1" customFormat="1" ht="24.95" customHeight="1" spans="1:13">
      <c r="A3" s="9"/>
      <c r="B3" s="10"/>
      <c r="C3" s="10"/>
      <c r="D3" s="10"/>
      <c r="E3" s="11"/>
      <c r="F3" s="12" t="s">
        <v>108</v>
      </c>
      <c r="G3" s="12" t="s">
        <v>109</v>
      </c>
      <c r="H3" s="12" t="s">
        <v>110</v>
      </c>
      <c r="I3" s="35" t="s">
        <v>224</v>
      </c>
      <c r="J3" s="35" t="s">
        <v>112</v>
      </c>
      <c r="K3" s="49"/>
      <c r="L3" s="49"/>
      <c r="M3" s="49"/>
    </row>
    <row r="4" s="1" customFormat="1" ht="9.95" customHeight="1" spans="1:13">
      <c r="A4" s="13"/>
      <c r="B4" s="14"/>
      <c r="C4" s="14"/>
      <c r="D4" s="14"/>
      <c r="E4" s="15"/>
      <c r="F4" s="16"/>
      <c r="G4" s="16"/>
      <c r="H4" s="16"/>
      <c r="I4" s="35"/>
      <c r="J4" s="35"/>
      <c r="K4" s="16"/>
      <c r="L4" s="16"/>
      <c r="M4" s="16"/>
    </row>
    <row r="5" s="1" customFormat="1" spans="1:13">
      <c r="A5" s="17" t="s">
        <v>57</v>
      </c>
      <c r="B5" s="18" t="s">
        <v>225</v>
      </c>
      <c r="C5" s="18"/>
      <c r="D5" s="17"/>
      <c r="E5" s="17"/>
      <c r="F5" s="19"/>
      <c r="G5" s="23"/>
      <c r="H5" s="19"/>
      <c r="I5" s="55"/>
      <c r="J5" s="56"/>
      <c r="K5" s="57"/>
      <c r="L5" s="59"/>
      <c r="M5" s="79"/>
    </row>
    <row r="6" s="1" customFormat="1" ht="56.25" spans="1:13">
      <c r="A6" s="17">
        <v>1</v>
      </c>
      <c r="B6" s="69" t="s">
        <v>226</v>
      </c>
      <c r="C6" s="69" t="s">
        <v>227</v>
      </c>
      <c r="D6" s="70" t="s">
        <v>228</v>
      </c>
      <c r="E6" s="71">
        <v>1</v>
      </c>
      <c r="F6" s="19">
        <v>250</v>
      </c>
      <c r="G6" s="35">
        <v>1800</v>
      </c>
      <c r="H6" s="19">
        <f t="shared" ref="H6:H9" si="0">G6*0.13</f>
        <v>234</v>
      </c>
      <c r="I6" s="80">
        <f t="shared" ref="I6:I9" si="1">(F6+G6+H6)*0.12</f>
        <v>274.08</v>
      </c>
      <c r="J6" s="80">
        <f t="shared" ref="J6:J9" si="2">SUM(F6:I6)*0.09</f>
        <v>230.2272</v>
      </c>
      <c r="K6" s="51">
        <f t="shared" ref="K6:K9" si="3">SUM(F6:J6)</f>
        <v>2788.3072</v>
      </c>
      <c r="L6" s="52">
        <f t="shared" ref="L6:L9" si="4">K6*E6</f>
        <v>2788.3072</v>
      </c>
      <c r="M6" s="81"/>
    </row>
    <row r="7" s="1" customFormat="1" ht="123" customHeight="1" spans="1:13">
      <c r="A7" s="17">
        <v>2</v>
      </c>
      <c r="B7" s="69" t="s">
        <v>229</v>
      </c>
      <c r="C7" s="69" t="s">
        <v>230</v>
      </c>
      <c r="D7" s="70" t="s">
        <v>231</v>
      </c>
      <c r="E7" s="72">
        <f>13*0+8</f>
        <v>8</v>
      </c>
      <c r="F7" s="19">
        <v>212</v>
      </c>
      <c r="G7" s="35"/>
      <c r="H7" s="19">
        <f t="shared" si="0"/>
        <v>0</v>
      </c>
      <c r="I7" s="80">
        <f t="shared" si="1"/>
        <v>25.44</v>
      </c>
      <c r="J7" s="80">
        <f t="shared" si="2"/>
        <v>21.3696</v>
      </c>
      <c r="K7" s="51">
        <f t="shared" si="3"/>
        <v>258.8096</v>
      </c>
      <c r="L7" s="52">
        <f t="shared" si="4"/>
        <v>2070.4768</v>
      </c>
      <c r="M7" s="81"/>
    </row>
    <row r="8" s="1" customFormat="1" ht="56.25" spans="1:13">
      <c r="A8" s="17">
        <v>3</v>
      </c>
      <c r="B8" s="69" t="s">
        <v>232</v>
      </c>
      <c r="C8" s="69" t="s">
        <v>233</v>
      </c>
      <c r="D8" s="70" t="s">
        <v>231</v>
      </c>
      <c r="E8" s="36">
        <f>6*0</f>
        <v>0</v>
      </c>
      <c r="F8" s="20">
        <v>250</v>
      </c>
      <c r="G8" s="21">
        <v>1300</v>
      </c>
      <c r="H8" s="19">
        <v>100</v>
      </c>
      <c r="I8" s="80">
        <f t="shared" si="1"/>
        <v>198</v>
      </c>
      <c r="J8" s="80">
        <f t="shared" si="2"/>
        <v>166.32</v>
      </c>
      <c r="K8" s="51">
        <f t="shared" si="3"/>
        <v>2014.32</v>
      </c>
      <c r="L8" s="52">
        <f t="shared" si="4"/>
        <v>0</v>
      </c>
      <c r="M8" s="81"/>
    </row>
    <row r="9" s="1" customFormat="1" ht="45" spans="1:13">
      <c r="A9" s="17">
        <v>4</v>
      </c>
      <c r="B9" s="18" t="s">
        <v>234</v>
      </c>
      <c r="C9" s="69" t="s">
        <v>235</v>
      </c>
      <c r="D9" s="17" t="s">
        <v>236</v>
      </c>
      <c r="E9" s="36">
        <f>6*0</f>
        <v>0</v>
      </c>
      <c r="F9" s="20">
        <v>112</v>
      </c>
      <c r="G9" s="21">
        <v>450</v>
      </c>
      <c r="H9" s="19">
        <f t="shared" si="0"/>
        <v>58.5</v>
      </c>
      <c r="I9" s="80">
        <f t="shared" si="1"/>
        <v>74.46</v>
      </c>
      <c r="J9" s="80">
        <f t="shared" si="2"/>
        <v>62.5464</v>
      </c>
      <c r="K9" s="51">
        <f t="shared" si="3"/>
        <v>757.5064</v>
      </c>
      <c r="L9" s="52">
        <f t="shared" si="4"/>
        <v>0</v>
      </c>
      <c r="M9" s="81"/>
    </row>
    <row r="10" s="1" customFormat="1" ht="37" customHeight="1" spans="1:13">
      <c r="A10" s="17"/>
      <c r="B10" s="18" t="s">
        <v>234</v>
      </c>
      <c r="C10" s="69" t="s">
        <v>237</v>
      </c>
      <c r="D10" s="17" t="s">
        <v>236</v>
      </c>
      <c r="E10" s="36">
        <v>1</v>
      </c>
      <c r="F10" s="20"/>
      <c r="G10" s="21"/>
      <c r="H10" s="19"/>
      <c r="I10" s="80"/>
      <c r="J10" s="80"/>
      <c r="K10" s="51"/>
      <c r="L10" s="52"/>
      <c r="M10" s="81"/>
    </row>
    <row r="11" s="1" customFormat="1" ht="56.25" spans="1:13">
      <c r="A11" s="17">
        <v>5</v>
      </c>
      <c r="B11" s="69" t="s">
        <v>238</v>
      </c>
      <c r="C11" s="69" t="s">
        <v>239</v>
      </c>
      <c r="D11" s="70" t="s">
        <v>164</v>
      </c>
      <c r="E11" s="19">
        <f>5.47+0.6*2</f>
        <v>6.67</v>
      </c>
      <c r="F11" s="20">
        <v>1.13</v>
      </c>
      <c r="G11" s="20">
        <v>4.5</v>
      </c>
      <c r="H11" s="19">
        <f t="shared" ref="H11:H15" si="5">G11*0.13</f>
        <v>0.585</v>
      </c>
      <c r="I11" s="80">
        <f t="shared" ref="I11:I17" si="6">(F11+G11+H11)*0.12</f>
        <v>0.7458</v>
      </c>
      <c r="J11" s="80">
        <f t="shared" ref="J11:J17" si="7">SUM(F11:I11)*0.09</f>
        <v>0.626472</v>
      </c>
      <c r="K11" s="51">
        <f t="shared" ref="K11:K17" si="8">SUM(F11:J11)</f>
        <v>7.587272</v>
      </c>
      <c r="L11" s="52">
        <f t="shared" ref="L11:L17" si="9">K11*E11</f>
        <v>50.60710424</v>
      </c>
      <c r="M11" s="12" t="s">
        <v>240</v>
      </c>
    </row>
    <row r="12" s="1" customFormat="1" ht="56.25" spans="1:13">
      <c r="A12" s="17">
        <v>6</v>
      </c>
      <c r="B12" s="69" t="s">
        <v>238</v>
      </c>
      <c r="C12" s="69" t="s">
        <v>241</v>
      </c>
      <c r="D12" s="70" t="s">
        <v>164</v>
      </c>
      <c r="E12" s="73">
        <f>134.65+121.41+113.85+101.28+13*0.4*2+8.61+4.44+86.62+65.36+6*0.4*2+3.8+68.63+57.55</f>
        <v>781.4</v>
      </c>
      <c r="F12" s="20">
        <v>0.78</v>
      </c>
      <c r="G12" s="20">
        <v>3.12</v>
      </c>
      <c r="H12" s="19">
        <f t="shared" si="5"/>
        <v>0.4056</v>
      </c>
      <c r="I12" s="80">
        <f t="shared" si="6"/>
        <v>0.516672</v>
      </c>
      <c r="J12" s="80">
        <f t="shared" si="7"/>
        <v>0.43400448</v>
      </c>
      <c r="K12" s="51">
        <f t="shared" si="8"/>
        <v>5.25627648</v>
      </c>
      <c r="L12" s="52">
        <f t="shared" si="9"/>
        <v>4107.254441472</v>
      </c>
      <c r="M12" s="16"/>
    </row>
    <row r="13" s="1" customFormat="1" ht="65" customHeight="1" spans="1:13">
      <c r="A13" s="17">
        <v>7</v>
      </c>
      <c r="B13" s="69" t="s">
        <v>242</v>
      </c>
      <c r="C13" s="69" t="s">
        <v>243</v>
      </c>
      <c r="D13" s="70" t="s">
        <v>164</v>
      </c>
      <c r="E13" s="19">
        <v>100</v>
      </c>
      <c r="F13" s="20">
        <v>3.58</v>
      </c>
      <c r="G13" s="20">
        <v>30</v>
      </c>
      <c r="H13" s="19">
        <f t="shared" si="5"/>
        <v>3.9</v>
      </c>
      <c r="I13" s="80">
        <f t="shared" si="6"/>
        <v>4.4976</v>
      </c>
      <c r="J13" s="80">
        <f t="shared" si="7"/>
        <v>3.777984</v>
      </c>
      <c r="K13" s="51">
        <f t="shared" si="8"/>
        <v>45.755584</v>
      </c>
      <c r="L13" s="52">
        <f t="shared" si="9"/>
        <v>4575.5584</v>
      </c>
      <c r="M13" s="81" t="s">
        <v>244</v>
      </c>
    </row>
    <row r="14" s="1" customFormat="1" ht="63" customHeight="1" spans="1:13">
      <c r="A14" s="17">
        <v>8</v>
      </c>
      <c r="B14" s="69" t="s">
        <v>245</v>
      </c>
      <c r="C14" s="69" t="s">
        <v>246</v>
      </c>
      <c r="D14" s="70" t="s">
        <v>164</v>
      </c>
      <c r="E14" s="73">
        <f>(134.65+121.41+113.85+101.28+13*0.4*2)*1.025</f>
        <v>493.62975</v>
      </c>
      <c r="F14" s="20">
        <v>2.39</v>
      </c>
      <c r="G14" s="20">
        <v>10.76</v>
      </c>
      <c r="H14" s="19">
        <f t="shared" si="5"/>
        <v>1.3988</v>
      </c>
      <c r="I14" s="80">
        <f t="shared" si="6"/>
        <v>1.745856</v>
      </c>
      <c r="J14" s="80">
        <f t="shared" si="7"/>
        <v>1.46651904</v>
      </c>
      <c r="K14" s="51">
        <f t="shared" si="8"/>
        <v>17.76117504</v>
      </c>
      <c r="L14" s="52">
        <f t="shared" si="9"/>
        <v>8767.44439470144</v>
      </c>
      <c r="M14" s="81" t="s">
        <v>244</v>
      </c>
    </row>
    <row r="15" s="1" customFormat="1" ht="56.25" spans="1:13">
      <c r="A15" s="17">
        <v>9</v>
      </c>
      <c r="B15" s="69" t="s">
        <v>245</v>
      </c>
      <c r="C15" s="69" t="s">
        <v>247</v>
      </c>
      <c r="D15" s="70" t="s">
        <v>164</v>
      </c>
      <c r="E15" s="36">
        <f>((8.61+4.44+86.62+65.36+6*0.4*2)*1.025)*0</f>
        <v>0</v>
      </c>
      <c r="F15" s="20">
        <v>2</v>
      </c>
      <c r="G15" s="20">
        <v>7.48</v>
      </c>
      <c r="H15" s="19">
        <f t="shared" si="5"/>
        <v>0.9724</v>
      </c>
      <c r="I15" s="80">
        <f t="shared" si="6"/>
        <v>1.254288</v>
      </c>
      <c r="J15" s="80">
        <f t="shared" si="7"/>
        <v>1.05360192</v>
      </c>
      <c r="K15" s="51">
        <f t="shared" si="8"/>
        <v>12.76028992</v>
      </c>
      <c r="L15" s="52">
        <f t="shared" si="9"/>
        <v>0</v>
      </c>
      <c r="M15" s="81" t="s">
        <v>244</v>
      </c>
    </row>
    <row r="16" s="1" customFormat="1" ht="36" spans="1:13">
      <c r="A16" s="17">
        <v>10</v>
      </c>
      <c r="B16" s="74" t="s">
        <v>114</v>
      </c>
      <c r="C16" s="74" t="s">
        <v>248</v>
      </c>
      <c r="D16" s="75" t="s">
        <v>116</v>
      </c>
      <c r="E16" s="19">
        <f>(6.81+250+13.08+4.97+8.2)*0.4*0.4</f>
        <v>45.2896</v>
      </c>
      <c r="F16" s="31">
        <v>3</v>
      </c>
      <c r="G16" s="28"/>
      <c r="H16" s="32">
        <v>15</v>
      </c>
      <c r="I16" s="80">
        <f t="shared" si="6"/>
        <v>2.16</v>
      </c>
      <c r="J16" s="80">
        <f t="shared" si="7"/>
        <v>1.8144</v>
      </c>
      <c r="K16" s="51">
        <f t="shared" si="8"/>
        <v>21.9744</v>
      </c>
      <c r="L16" s="52">
        <f t="shared" si="9"/>
        <v>995.21178624</v>
      </c>
      <c r="M16" s="81"/>
    </row>
    <row r="17" s="1" customFormat="1" ht="36" spans="1:13">
      <c r="A17" s="17">
        <v>11</v>
      </c>
      <c r="B17" s="74" t="s">
        <v>249</v>
      </c>
      <c r="C17" s="74" t="s">
        <v>250</v>
      </c>
      <c r="D17" s="75" t="s">
        <v>116</v>
      </c>
      <c r="E17" s="19">
        <f>(6.81+250+13.08+4.97+8.2)*0.4*0.4</f>
        <v>45.2896</v>
      </c>
      <c r="F17" s="20">
        <v>5</v>
      </c>
      <c r="G17" s="21"/>
      <c r="H17" s="19">
        <v>20</v>
      </c>
      <c r="I17" s="80">
        <f t="shared" si="6"/>
        <v>3</v>
      </c>
      <c r="J17" s="80">
        <f t="shared" si="7"/>
        <v>2.52</v>
      </c>
      <c r="K17" s="51">
        <f t="shared" si="8"/>
        <v>30.52</v>
      </c>
      <c r="L17" s="52">
        <f t="shared" si="9"/>
        <v>1382.238592</v>
      </c>
      <c r="M17" s="81"/>
    </row>
    <row r="18" s="1" customFormat="1" spans="1:13">
      <c r="A18" s="17" t="s">
        <v>64</v>
      </c>
      <c r="B18" s="18" t="s">
        <v>251</v>
      </c>
      <c r="C18" s="18"/>
      <c r="D18" s="17"/>
      <c r="E18" s="19"/>
      <c r="F18" s="20"/>
      <c r="G18" s="21"/>
      <c r="H18" s="19"/>
      <c r="I18" s="80"/>
      <c r="J18" s="80"/>
      <c r="K18" s="52"/>
      <c r="L18" s="52"/>
      <c r="M18" s="81"/>
    </row>
    <row r="19" s="1" customFormat="1" ht="72" spans="1:13">
      <c r="A19" s="17">
        <v>1</v>
      </c>
      <c r="B19" s="27" t="s">
        <v>252</v>
      </c>
      <c r="C19" s="76" t="s">
        <v>253</v>
      </c>
      <c r="D19" s="28" t="s">
        <v>236</v>
      </c>
      <c r="E19" s="36">
        <v>7</v>
      </c>
      <c r="F19" s="77">
        <v>46</v>
      </c>
      <c r="G19" s="77">
        <v>100</v>
      </c>
      <c r="H19" s="19">
        <v>20</v>
      </c>
      <c r="I19" s="80">
        <f t="shared" ref="I19:I25" si="10">(F19+G19+H19)*0.12</f>
        <v>19.92</v>
      </c>
      <c r="J19" s="80">
        <f t="shared" ref="J19:J25" si="11">SUM(F19:I19)*0.09</f>
        <v>16.7328</v>
      </c>
      <c r="K19" s="51">
        <f t="shared" ref="K19:K25" si="12">SUM(F19:J19)</f>
        <v>202.6528</v>
      </c>
      <c r="L19" s="52">
        <f t="shared" ref="L19:L25" si="13">K19*E19</f>
        <v>1418.5696</v>
      </c>
      <c r="M19" s="81"/>
    </row>
    <row r="20" s="1" customFormat="1" ht="90" spans="1:13">
      <c r="A20" s="17">
        <v>2</v>
      </c>
      <c r="B20" s="30" t="s">
        <v>254</v>
      </c>
      <c r="C20" s="30" t="s">
        <v>255</v>
      </c>
      <c r="D20" s="23" t="s">
        <v>164</v>
      </c>
      <c r="E20" s="36">
        <v>0</v>
      </c>
      <c r="F20" s="77">
        <v>1.6</v>
      </c>
      <c r="G20" s="77">
        <v>5</v>
      </c>
      <c r="H20" s="19">
        <f t="shared" ref="H20:H23" si="14">G20*0.13</f>
        <v>0.65</v>
      </c>
      <c r="I20" s="80">
        <f t="shared" si="10"/>
        <v>0.87</v>
      </c>
      <c r="J20" s="80">
        <f t="shared" si="11"/>
        <v>0.7308</v>
      </c>
      <c r="K20" s="51">
        <f t="shared" si="12"/>
        <v>8.8508</v>
      </c>
      <c r="L20" s="52">
        <f t="shared" si="13"/>
        <v>0</v>
      </c>
      <c r="M20" s="12" t="s">
        <v>256</v>
      </c>
    </row>
    <row r="21" s="1" customFormat="1" ht="90" spans="1:13">
      <c r="A21" s="17">
        <v>3</v>
      </c>
      <c r="B21" s="30" t="s">
        <v>254</v>
      </c>
      <c r="C21" s="30" t="s">
        <v>257</v>
      </c>
      <c r="D21" s="23" t="s">
        <v>164</v>
      </c>
      <c r="E21" s="36">
        <v>0</v>
      </c>
      <c r="F21" s="77">
        <v>1.6</v>
      </c>
      <c r="G21" s="77">
        <v>6.4</v>
      </c>
      <c r="H21" s="19">
        <f t="shared" si="14"/>
        <v>0.832</v>
      </c>
      <c r="I21" s="80">
        <f t="shared" si="10"/>
        <v>1.05984</v>
      </c>
      <c r="J21" s="80">
        <f t="shared" si="11"/>
        <v>0.8902656</v>
      </c>
      <c r="K21" s="51">
        <f t="shared" si="12"/>
        <v>10.7821056</v>
      </c>
      <c r="L21" s="52">
        <f t="shared" si="13"/>
        <v>0</v>
      </c>
      <c r="M21" s="49"/>
    </row>
    <row r="22" s="1" customFormat="1" ht="90" spans="1:13">
      <c r="A22" s="17">
        <v>4</v>
      </c>
      <c r="B22" s="30" t="s">
        <v>254</v>
      </c>
      <c r="C22" s="30" t="s">
        <v>258</v>
      </c>
      <c r="D22" s="23" t="s">
        <v>164</v>
      </c>
      <c r="E22" s="36">
        <v>0</v>
      </c>
      <c r="F22" s="77">
        <v>3.77</v>
      </c>
      <c r="G22" s="77">
        <v>15.08</v>
      </c>
      <c r="H22" s="19">
        <f t="shared" si="14"/>
        <v>1.9604</v>
      </c>
      <c r="I22" s="80">
        <f t="shared" si="10"/>
        <v>2.497248</v>
      </c>
      <c r="J22" s="80">
        <f t="shared" si="11"/>
        <v>2.09768832</v>
      </c>
      <c r="K22" s="51">
        <f t="shared" si="12"/>
        <v>25.40533632</v>
      </c>
      <c r="L22" s="52">
        <f t="shared" si="13"/>
        <v>0</v>
      </c>
      <c r="M22" s="49"/>
    </row>
    <row r="23" s="1" customFormat="1" ht="90" spans="1:13">
      <c r="A23" s="17">
        <v>5</v>
      </c>
      <c r="B23" s="30" t="s">
        <v>254</v>
      </c>
      <c r="C23" s="30" t="s">
        <v>259</v>
      </c>
      <c r="D23" s="23" t="s">
        <v>164</v>
      </c>
      <c r="E23" s="36">
        <v>0</v>
      </c>
      <c r="F23" s="77">
        <v>5.83</v>
      </c>
      <c r="G23" s="77">
        <v>23.32</v>
      </c>
      <c r="H23" s="19">
        <f t="shared" si="14"/>
        <v>3.0316</v>
      </c>
      <c r="I23" s="80">
        <f t="shared" si="10"/>
        <v>3.861792</v>
      </c>
      <c r="J23" s="80">
        <f t="shared" si="11"/>
        <v>3.24390528</v>
      </c>
      <c r="K23" s="51">
        <f t="shared" si="12"/>
        <v>39.28729728</v>
      </c>
      <c r="L23" s="52">
        <f t="shared" si="13"/>
        <v>0</v>
      </c>
      <c r="M23" s="16"/>
    </row>
    <row r="24" s="1" customFormat="1" ht="33.75" spans="1:13">
      <c r="A24" s="17">
        <v>6</v>
      </c>
      <c r="B24" s="30" t="s">
        <v>114</v>
      </c>
      <c r="C24" s="30" t="s">
        <v>260</v>
      </c>
      <c r="D24" s="30" t="s">
        <v>116</v>
      </c>
      <c r="E24" s="36">
        <v>0</v>
      </c>
      <c r="F24" s="31">
        <v>3</v>
      </c>
      <c r="G24" s="28"/>
      <c r="H24" s="32">
        <v>15</v>
      </c>
      <c r="I24" s="80">
        <f t="shared" si="10"/>
        <v>2.16</v>
      </c>
      <c r="J24" s="80">
        <f t="shared" si="11"/>
        <v>1.8144</v>
      </c>
      <c r="K24" s="51">
        <f t="shared" si="12"/>
        <v>21.9744</v>
      </c>
      <c r="L24" s="52">
        <f t="shared" si="13"/>
        <v>0</v>
      </c>
      <c r="M24" s="81"/>
    </row>
    <row r="25" s="1" customFormat="1" ht="33.75" spans="1:13">
      <c r="A25" s="17">
        <v>7</v>
      </c>
      <c r="B25" s="30" t="s">
        <v>261</v>
      </c>
      <c r="C25" s="30" t="s">
        <v>262</v>
      </c>
      <c r="D25" s="30" t="s">
        <v>116</v>
      </c>
      <c r="E25" s="36">
        <v>0</v>
      </c>
      <c r="F25" s="20">
        <v>5</v>
      </c>
      <c r="G25" s="21"/>
      <c r="H25" s="19">
        <v>20</v>
      </c>
      <c r="I25" s="80">
        <f t="shared" si="10"/>
        <v>3</v>
      </c>
      <c r="J25" s="80">
        <f t="shared" si="11"/>
        <v>2.52</v>
      </c>
      <c r="K25" s="51">
        <f t="shared" si="12"/>
        <v>30.52</v>
      </c>
      <c r="L25" s="52">
        <f t="shared" si="13"/>
        <v>0</v>
      </c>
      <c r="M25" s="81"/>
    </row>
    <row r="26" s="1" customFormat="1" ht="33" customHeight="1" spans="1:13">
      <c r="A26" s="33" t="s">
        <v>55</v>
      </c>
      <c r="B26" s="33"/>
      <c r="C26" s="33"/>
      <c r="D26" s="33"/>
      <c r="E26" s="33"/>
      <c r="F26" s="33"/>
      <c r="G26" s="33"/>
      <c r="H26" s="19"/>
      <c r="I26" s="55"/>
      <c r="J26" s="56"/>
      <c r="K26" s="57"/>
      <c r="L26" s="52">
        <f>SUM(L6:L25)</f>
        <v>26155.6683186534</v>
      </c>
      <c r="M26" s="79"/>
    </row>
    <row r="27" s="1" customFormat="1" ht="27" customHeight="1" spans="1:13">
      <c r="A27" s="47" t="s">
        <v>263</v>
      </c>
      <c r="B27" s="47"/>
      <c r="C27" s="47"/>
      <c r="D27" s="47"/>
      <c r="E27" s="47"/>
      <c r="F27" s="47"/>
      <c r="G27" s="47"/>
      <c r="H27" s="47"/>
      <c r="I27" s="47"/>
      <c r="J27" s="47"/>
      <c r="K27" s="67"/>
      <c r="L27" s="47"/>
      <c r="M27" s="47"/>
    </row>
    <row r="28" s="1" customFormat="1" spans="11:13">
      <c r="K28" s="2"/>
      <c r="M28" s="68"/>
    </row>
    <row r="29" s="1" customFormat="1" spans="11:13">
      <c r="K29" s="2"/>
      <c r="M29" s="68"/>
    </row>
    <row r="30" s="1" customFormat="1" spans="11:13">
      <c r="K30" s="2"/>
      <c r="M30" s="68"/>
    </row>
    <row r="31" s="1" customFormat="1" spans="11:13">
      <c r="K31" s="2"/>
      <c r="M31" s="68"/>
    </row>
    <row r="32" s="1" customFormat="1" spans="11:13">
      <c r="K32" s="2"/>
      <c r="M32" s="68"/>
    </row>
    <row r="33" s="1" customFormat="1" spans="11:13">
      <c r="K33" s="2"/>
      <c r="M33" s="68"/>
    </row>
    <row r="34" s="1" customFormat="1" spans="5:13">
      <c r="E34" s="78"/>
      <c r="K34" s="2"/>
      <c r="M34" s="68"/>
    </row>
    <row r="35" s="1" customFormat="1" spans="5:13">
      <c r="E35" s="78"/>
      <c r="K35" s="2"/>
      <c r="M35" s="68"/>
    </row>
    <row r="36" s="1" customFormat="1" spans="5:13">
      <c r="E36" s="78"/>
      <c r="K36" s="2"/>
      <c r="M36" s="68"/>
    </row>
  </sheetData>
  <mergeCells count="19">
    <mergeCell ref="A1:M1"/>
    <mergeCell ref="F2:J2"/>
    <mergeCell ref="B5:C5"/>
    <mergeCell ref="B18:C18"/>
    <mergeCell ref="A26:G26"/>
    <mergeCell ref="A27:M27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M2:M4"/>
    <mergeCell ref="M11:M12"/>
    <mergeCell ref="M20:M23"/>
  </mergeCells>
  <pageMargins left="0.75" right="0.75" top="1" bottom="1" header="0.5" footer="0.5"/>
  <pageSetup paperSize="9" scale="6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opLeftCell="A19" workbookViewId="0">
      <selection activeCell="K25" sqref="K25"/>
    </sheetView>
  </sheetViews>
  <sheetFormatPr defaultColWidth="10.2857142857143" defaultRowHeight="14.25"/>
  <cols>
    <col min="1" max="1" width="4.42857142857143" style="1" customWidth="1"/>
    <col min="2" max="2" width="12.8571428571429" style="1" customWidth="1"/>
    <col min="3" max="3" width="30.4285714285714" style="1" customWidth="1"/>
    <col min="4" max="4" width="6.57142857142857" style="1" customWidth="1"/>
    <col min="5" max="5" width="8.57142857142857" style="1" customWidth="1"/>
    <col min="6" max="6" width="7.57142857142857" style="1" customWidth="1"/>
    <col min="7" max="7" width="8.71428571428571" style="1" customWidth="1"/>
    <col min="8" max="8" width="9.42857142857143" style="1" customWidth="1"/>
    <col min="9" max="9" width="11.7142857142857" style="1" customWidth="1"/>
    <col min="10" max="10" width="9.57142857142857" style="1" customWidth="1"/>
    <col min="11" max="11" width="8.28571428571429" style="2" customWidth="1"/>
    <col min="12" max="12" width="9.57142857142857" style="1" customWidth="1"/>
    <col min="13" max="13" width="12" style="1" customWidth="1"/>
    <col min="14" max="14" width="14.5714285714286" style="1"/>
    <col min="15" max="15" width="10.2857142857143" style="1"/>
    <col min="16" max="16" width="14.5714285714286" style="1"/>
    <col min="17" max="16384" width="10.2857142857143" style="1"/>
  </cols>
  <sheetData>
    <row r="1" s="1" customFormat="1" ht="33.95" customHeight="1" spans="1:13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2.95" customHeight="1" spans="1:13">
      <c r="A2" s="4" t="s">
        <v>1</v>
      </c>
      <c r="B2" s="5" t="s">
        <v>220</v>
      </c>
      <c r="C2" s="5" t="s">
        <v>221</v>
      </c>
      <c r="D2" s="5" t="s">
        <v>88</v>
      </c>
      <c r="E2" s="6" t="s">
        <v>222</v>
      </c>
      <c r="F2" s="7" t="s">
        <v>105</v>
      </c>
      <c r="G2" s="8"/>
      <c r="H2" s="8"/>
      <c r="I2" s="8"/>
      <c r="J2" s="48"/>
      <c r="K2" s="12" t="s">
        <v>106</v>
      </c>
      <c r="L2" s="12" t="s">
        <v>107</v>
      </c>
      <c r="M2" s="12" t="s">
        <v>223</v>
      </c>
    </row>
    <row r="3" s="1" customFormat="1" ht="39" customHeight="1" spans="1:13">
      <c r="A3" s="9"/>
      <c r="B3" s="10"/>
      <c r="C3" s="10"/>
      <c r="D3" s="10"/>
      <c r="E3" s="11"/>
      <c r="F3" s="12" t="s">
        <v>108</v>
      </c>
      <c r="G3" s="12" t="s">
        <v>109</v>
      </c>
      <c r="H3" s="12" t="s">
        <v>110</v>
      </c>
      <c r="I3" s="35" t="s">
        <v>224</v>
      </c>
      <c r="J3" s="35" t="s">
        <v>112</v>
      </c>
      <c r="K3" s="49"/>
      <c r="L3" s="49"/>
      <c r="M3" s="49"/>
    </row>
    <row r="4" s="1" customFormat="1" ht="9.95" customHeight="1" spans="1:13">
      <c r="A4" s="13"/>
      <c r="B4" s="14"/>
      <c r="C4" s="14"/>
      <c r="D4" s="14"/>
      <c r="E4" s="15"/>
      <c r="F4" s="16"/>
      <c r="G4" s="16"/>
      <c r="H4" s="16"/>
      <c r="I4" s="35"/>
      <c r="J4" s="35"/>
      <c r="K4" s="16"/>
      <c r="L4" s="16"/>
      <c r="M4" s="16"/>
    </row>
    <row r="5" s="1" customFormat="1" spans="1:13">
      <c r="A5" s="17" t="s">
        <v>57</v>
      </c>
      <c r="B5" s="18" t="s">
        <v>265</v>
      </c>
      <c r="C5" s="18"/>
      <c r="D5" s="17"/>
      <c r="E5" s="19"/>
      <c r="F5" s="20"/>
      <c r="G5" s="21"/>
      <c r="H5" s="19"/>
      <c r="I5" s="50"/>
      <c r="J5" s="51"/>
      <c r="K5" s="52"/>
      <c r="L5" s="52"/>
      <c r="M5" s="53"/>
    </row>
    <row r="6" s="1" customFormat="1" ht="99" customHeight="1" spans="1:13">
      <c r="A6" s="17">
        <v>1</v>
      </c>
      <c r="B6" s="17" t="s">
        <v>266</v>
      </c>
      <c r="C6" s="22" t="s">
        <v>267</v>
      </c>
      <c r="D6" s="23" t="s">
        <v>164</v>
      </c>
      <c r="E6" s="19">
        <v>43.97</v>
      </c>
      <c r="F6" s="24">
        <f>G6*0.25</f>
        <v>13.75</v>
      </c>
      <c r="G6" s="24">
        <v>55</v>
      </c>
      <c r="H6" s="19">
        <v>3</v>
      </c>
      <c r="I6" s="54">
        <f t="shared" ref="I6:I10" si="0">(F6+H6)*0.12</f>
        <v>2.01</v>
      </c>
      <c r="J6" s="54">
        <f t="shared" ref="J6:J11" si="1">SUM(F6:I6)*0.09</f>
        <v>6.6384</v>
      </c>
      <c r="K6" s="52">
        <f t="shared" ref="K6:K9" si="2">F6+G6+H6+I6+J6</f>
        <v>80.3984</v>
      </c>
      <c r="L6" s="52">
        <f t="shared" ref="L6:L11" si="3">K6*E6</f>
        <v>3535.117648</v>
      </c>
      <c r="M6" s="53" t="s">
        <v>268</v>
      </c>
    </row>
    <row r="7" s="1" customFormat="1" ht="56.25" spans="1:13">
      <c r="A7" s="17">
        <v>2</v>
      </c>
      <c r="B7" s="18" t="s">
        <v>269</v>
      </c>
      <c r="C7" s="22" t="s">
        <v>270</v>
      </c>
      <c r="D7" s="23" t="s">
        <v>236</v>
      </c>
      <c r="E7" s="19">
        <v>14</v>
      </c>
      <c r="F7" s="24">
        <v>180</v>
      </c>
      <c r="G7" s="25">
        <v>356.5</v>
      </c>
      <c r="H7" s="26">
        <v>50</v>
      </c>
      <c r="I7" s="54">
        <f t="shared" si="0"/>
        <v>27.6</v>
      </c>
      <c r="J7" s="54">
        <f t="shared" si="1"/>
        <v>55.269</v>
      </c>
      <c r="K7" s="52">
        <f t="shared" si="2"/>
        <v>669.369</v>
      </c>
      <c r="L7" s="52">
        <f t="shared" si="3"/>
        <v>9371.166</v>
      </c>
      <c r="M7" s="53"/>
    </row>
    <row r="8" s="1" customFormat="1" ht="60" spans="1:13">
      <c r="A8" s="17">
        <v>3</v>
      </c>
      <c r="B8" s="27" t="s">
        <v>271</v>
      </c>
      <c r="C8" s="27" t="s">
        <v>272</v>
      </c>
      <c r="D8" s="28" t="s">
        <v>171</v>
      </c>
      <c r="E8" s="19">
        <v>0</v>
      </c>
      <c r="F8" s="24">
        <v>75</v>
      </c>
      <c r="G8" s="29">
        <v>650</v>
      </c>
      <c r="H8" s="26">
        <f>G8*0.1</f>
        <v>65</v>
      </c>
      <c r="I8" s="54">
        <f t="shared" si="0"/>
        <v>16.8</v>
      </c>
      <c r="J8" s="54">
        <f t="shared" si="1"/>
        <v>72.612</v>
      </c>
      <c r="K8" s="52">
        <f t="shared" si="2"/>
        <v>879.412</v>
      </c>
      <c r="L8" s="52">
        <f t="shared" si="3"/>
        <v>0</v>
      </c>
      <c r="M8" s="53"/>
    </row>
    <row r="9" s="1" customFormat="1" ht="60" spans="1:13">
      <c r="A9" s="17">
        <v>4</v>
      </c>
      <c r="B9" s="27" t="s">
        <v>271</v>
      </c>
      <c r="C9" s="27" t="s">
        <v>273</v>
      </c>
      <c r="D9" s="28" t="s">
        <v>171</v>
      </c>
      <c r="E9" s="19">
        <v>0</v>
      </c>
      <c r="F9" s="24">
        <v>75</v>
      </c>
      <c r="G9" s="29">
        <v>1000</v>
      </c>
      <c r="H9" s="26">
        <f>G9*0.1</f>
        <v>100</v>
      </c>
      <c r="I9" s="54">
        <f t="shared" si="0"/>
        <v>21</v>
      </c>
      <c r="J9" s="54">
        <f t="shared" si="1"/>
        <v>107.64</v>
      </c>
      <c r="K9" s="52">
        <f t="shared" si="2"/>
        <v>1303.64</v>
      </c>
      <c r="L9" s="52">
        <f t="shared" si="3"/>
        <v>0</v>
      </c>
      <c r="M9" s="53"/>
    </row>
    <row r="10" s="1" customFormat="1" ht="33.75" spans="1:13">
      <c r="A10" s="17">
        <v>5</v>
      </c>
      <c r="B10" s="30" t="s">
        <v>114</v>
      </c>
      <c r="C10" s="30" t="s">
        <v>260</v>
      </c>
      <c r="D10" s="23" t="s">
        <v>116</v>
      </c>
      <c r="E10" s="19">
        <v>10.33</v>
      </c>
      <c r="F10" s="31">
        <v>3</v>
      </c>
      <c r="G10" s="23"/>
      <c r="H10" s="32">
        <v>20</v>
      </c>
      <c r="I10" s="54">
        <f t="shared" si="0"/>
        <v>2.76</v>
      </c>
      <c r="J10" s="54">
        <f t="shared" si="1"/>
        <v>2.3184</v>
      </c>
      <c r="K10" s="54">
        <f>SUM(F10:J10)</f>
        <v>28.0784</v>
      </c>
      <c r="L10" s="52">
        <f t="shared" si="3"/>
        <v>290.049872</v>
      </c>
      <c r="M10" s="53"/>
    </row>
    <row r="11" s="1" customFormat="1" ht="33.75" spans="1:13">
      <c r="A11" s="17">
        <v>6</v>
      </c>
      <c r="B11" s="30" t="s">
        <v>261</v>
      </c>
      <c r="C11" s="30" t="s">
        <v>262</v>
      </c>
      <c r="D11" s="23" t="s">
        <v>116</v>
      </c>
      <c r="E11" s="19">
        <v>10.33</v>
      </c>
      <c r="F11" s="20">
        <v>3</v>
      </c>
      <c r="G11" s="21"/>
      <c r="H11" s="19">
        <v>20</v>
      </c>
      <c r="I11" s="51">
        <f>(F11+G11+H11)*0.12</f>
        <v>2.76</v>
      </c>
      <c r="J11" s="51">
        <f t="shared" si="1"/>
        <v>2.3184</v>
      </c>
      <c r="K11" s="51">
        <f>SUM(F11:J11)</f>
        <v>28.0784</v>
      </c>
      <c r="L11" s="52">
        <f t="shared" si="3"/>
        <v>290.049872</v>
      </c>
      <c r="M11" s="53"/>
    </row>
    <row r="12" s="1" customFormat="1" spans="1:13">
      <c r="A12" s="33" t="s">
        <v>274</v>
      </c>
      <c r="B12" s="33"/>
      <c r="C12" s="33"/>
      <c r="D12" s="33"/>
      <c r="E12" s="33"/>
      <c r="F12" s="33"/>
      <c r="G12" s="33"/>
      <c r="H12" s="19"/>
      <c r="I12" s="55"/>
      <c r="J12" s="56"/>
      <c r="K12" s="57"/>
      <c r="L12" s="58">
        <f>SUM(L5:L11)</f>
        <v>13486.383392</v>
      </c>
      <c r="M12" s="59"/>
    </row>
    <row r="13" s="1" customFormat="1" ht="32" customHeight="1" spans="1:13">
      <c r="A13" s="17" t="s">
        <v>64</v>
      </c>
      <c r="B13" s="18" t="s">
        <v>275</v>
      </c>
      <c r="C13" s="18"/>
      <c r="D13" s="17"/>
      <c r="E13" s="17"/>
      <c r="F13" s="19"/>
      <c r="G13" s="23"/>
      <c r="H13" s="19"/>
      <c r="I13" s="33"/>
      <c r="J13" s="60"/>
      <c r="K13" s="57"/>
      <c r="L13" s="59"/>
      <c r="M13" s="59"/>
    </row>
    <row r="14" s="1" customFormat="1" ht="112.5" spans="1:13">
      <c r="A14" s="17">
        <v>1</v>
      </c>
      <c r="B14" s="17" t="s">
        <v>276</v>
      </c>
      <c r="C14" s="22" t="s">
        <v>277</v>
      </c>
      <c r="D14" s="30" t="s">
        <v>164</v>
      </c>
      <c r="E14" s="19">
        <v>58.58</v>
      </c>
      <c r="F14" s="24">
        <f>G14*0.25</f>
        <v>20</v>
      </c>
      <c r="G14" s="24">
        <v>80</v>
      </c>
      <c r="H14" s="26">
        <v>15</v>
      </c>
      <c r="I14" s="54">
        <f t="shared" ref="I14:I18" si="4">(F14+H14)*0.12</f>
        <v>4.2</v>
      </c>
      <c r="J14" s="54">
        <f t="shared" ref="J14:J19" si="5">SUM(F14:I14)*0.09</f>
        <v>10.728</v>
      </c>
      <c r="K14" s="61">
        <f t="shared" ref="K13:K19" si="6">SUM(F14:J14)</f>
        <v>129.928</v>
      </c>
      <c r="L14" s="61">
        <f t="shared" ref="L14:L19" si="7">K14*E14</f>
        <v>7611.18224</v>
      </c>
      <c r="M14" s="53" t="s">
        <v>268</v>
      </c>
    </row>
    <row r="15" s="1" customFormat="1" ht="112.5" spans="1:13">
      <c r="A15" s="17">
        <v>2</v>
      </c>
      <c r="B15" s="17" t="s">
        <v>276</v>
      </c>
      <c r="C15" s="22" t="s">
        <v>278</v>
      </c>
      <c r="D15" s="30" t="s">
        <v>164</v>
      </c>
      <c r="E15" s="19">
        <v>183.895</v>
      </c>
      <c r="F15" s="24">
        <f>G15*0.25</f>
        <v>13.75</v>
      </c>
      <c r="G15" s="24">
        <v>55</v>
      </c>
      <c r="H15" s="26">
        <v>10</v>
      </c>
      <c r="I15" s="54">
        <f t="shared" si="4"/>
        <v>2.85</v>
      </c>
      <c r="J15" s="54">
        <f t="shared" si="5"/>
        <v>7.344</v>
      </c>
      <c r="K15" s="61">
        <f t="shared" si="6"/>
        <v>88.944</v>
      </c>
      <c r="L15" s="61">
        <f t="shared" si="7"/>
        <v>16356.35688</v>
      </c>
      <c r="M15" s="53" t="s">
        <v>268</v>
      </c>
    </row>
    <row r="16" s="1" customFormat="1" ht="67.5" spans="1:13">
      <c r="A16" s="17">
        <v>3</v>
      </c>
      <c r="B16" s="18" t="s">
        <v>279</v>
      </c>
      <c r="C16" s="22" t="s">
        <v>280</v>
      </c>
      <c r="D16" s="30" t="s">
        <v>236</v>
      </c>
      <c r="E16" s="34">
        <v>19</v>
      </c>
      <c r="F16" s="24">
        <v>160</v>
      </c>
      <c r="G16" s="25">
        <v>431</v>
      </c>
      <c r="H16" s="26">
        <f>G16*0.1</f>
        <v>43.1</v>
      </c>
      <c r="I16" s="54">
        <f t="shared" si="4"/>
        <v>24.372</v>
      </c>
      <c r="J16" s="54">
        <f t="shared" si="5"/>
        <v>59.26248</v>
      </c>
      <c r="K16" s="61">
        <f t="shared" si="6"/>
        <v>717.73448</v>
      </c>
      <c r="L16" s="61">
        <f t="shared" si="7"/>
        <v>13636.95512</v>
      </c>
      <c r="M16" s="53"/>
    </row>
    <row r="17" s="1" customFormat="1" ht="67.5" spans="1:13">
      <c r="A17" s="17">
        <v>4</v>
      </c>
      <c r="B17" s="18" t="s">
        <v>279</v>
      </c>
      <c r="C17" s="22" t="s">
        <v>281</v>
      </c>
      <c r="D17" s="30" t="s">
        <v>236</v>
      </c>
      <c r="E17" s="19">
        <v>8</v>
      </c>
      <c r="F17" s="24">
        <v>160</v>
      </c>
      <c r="G17" s="25">
        <v>500</v>
      </c>
      <c r="H17" s="26">
        <f>G17*0.1</f>
        <v>50</v>
      </c>
      <c r="I17" s="54">
        <f t="shared" si="4"/>
        <v>25.2</v>
      </c>
      <c r="J17" s="54">
        <f t="shared" si="5"/>
        <v>66.168</v>
      </c>
      <c r="K17" s="61">
        <f t="shared" si="6"/>
        <v>801.368</v>
      </c>
      <c r="L17" s="61">
        <f t="shared" si="7"/>
        <v>6410.944</v>
      </c>
      <c r="M17" s="53"/>
    </row>
    <row r="18" s="1" customFormat="1" ht="33.75" spans="1:13">
      <c r="A18" s="17">
        <v>5</v>
      </c>
      <c r="B18" s="30" t="s">
        <v>114</v>
      </c>
      <c r="C18" s="30" t="s">
        <v>260</v>
      </c>
      <c r="D18" s="30" t="s">
        <v>116</v>
      </c>
      <c r="E18" s="19">
        <v>58.08</v>
      </c>
      <c r="F18" s="31">
        <v>3</v>
      </c>
      <c r="G18" s="23"/>
      <c r="H18" s="32">
        <v>20</v>
      </c>
      <c r="I18" s="54">
        <f t="shared" si="4"/>
        <v>2.76</v>
      </c>
      <c r="J18" s="54">
        <f t="shared" si="5"/>
        <v>2.3184</v>
      </c>
      <c r="K18" s="61">
        <f t="shared" si="6"/>
        <v>28.0784</v>
      </c>
      <c r="L18" s="61">
        <f t="shared" si="7"/>
        <v>1630.793472</v>
      </c>
      <c r="M18" s="53"/>
    </row>
    <row r="19" s="1" customFormat="1" ht="33.75" spans="1:13">
      <c r="A19" s="17">
        <v>6</v>
      </c>
      <c r="B19" s="30" t="s">
        <v>261</v>
      </c>
      <c r="C19" s="30" t="s">
        <v>262</v>
      </c>
      <c r="D19" s="30" t="s">
        <v>116</v>
      </c>
      <c r="E19" s="19">
        <v>58.08</v>
      </c>
      <c r="F19" s="20">
        <v>3</v>
      </c>
      <c r="G19" s="21"/>
      <c r="H19" s="19">
        <v>20</v>
      </c>
      <c r="I19" s="51">
        <f>(F19+G19+H19)*0.12</f>
        <v>2.76</v>
      </c>
      <c r="J19" s="51">
        <f t="shared" si="5"/>
        <v>2.3184</v>
      </c>
      <c r="K19" s="61">
        <f t="shared" si="6"/>
        <v>28.0784</v>
      </c>
      <c r="L19" s="61">
        <f t="shared" si="7"/>
        <v>1630.793472</v>
      </c>
      <c r="M19" s="53"/>
    </row>
    <row r="20" s="1" customFormat="1" ht="23" customHeight="1" spans="1:13">
      <c r="A20" s="17">
        <v>7</v>
      </c>
      <c r="B20" s="30" t="s">
        <v>282</v>
      </c>
      <c r="C20" s="30"/>
      <c r="D20" s="30"/>
      <c r="E20" s="19"/>
      <c r="F20" s="20"/>
      <c r="G20" s="21"/>
      <c r="H20" s="19"/>
      <c r="I20" s="51"/>
      <c r="J20" s="51"/>
      <c r="K20" s="61"/>
      <c r="L20" s="62">
        <f>SUM(L14:L19)</f>
        <v>47277.025184</v>
      </c>
      <c r="M20" s="53"/>
    </row>
    <row r="21" s="1" customFormat="1" spans="1:13">
      <c r="A21" s="17" t="s">
        <v>67</v>
      </c>
      <c r="B21" s="18" t="s">
        <v>283</v>
      </c>
      <c r="C21" s="18"/>
      <c r="D21" s="17"/>
      <c r="E21" s="19"/>
      <c r="F21" s="19"/>
      <c r="G21" s="35"/>
      <c r="H21" s="19"/>
      <c r="I21" s="50"/>
      <c r="J21" s="63"/>
      <c r="K21" s="52"/>
      <c r="L21" s="52"/>
      <c r="M21" s="53"/>
    </row>
    <row r="22" s="1" customFormat="1" ht="112.5" spans="1:13">
      <c r="A22" s="17">
        <v>1</v>
      </c>
      <c r="B22" s="17" t="s">
        <v>276</v>
      </c>
      <c r="C22" s="22" t="s">
        <v>284</v>
      </c>
      <c r="D22" s="30" t="s">
        <v>164</v>
      </c>
      <c r="E22" s="19">
        <v>6.16</v>
      </c>
      <c r="F22" s="24">
        <f t="shared" ref="F22:F24" si="8">G22*0.25</f>
        <v>36.2</v>
      </c>
      <c r="G22" s="24">
        <v>144.8</v>
      </c>
      <c r="H22" s="26">
        <v>18</v>
      </c>
      <c r="I22" s="51">
        <f>(F22+G22+H22)*0.12</f>
        <v>23.88</v>
      </c>
      <c r="J22" s="51">
        <f t="shared" ref="J22:J28" si="9">SUM(F22:I22)*0.09</f>
        <v>20.0592</v>
      </c>
      <c r="K22" s="52">
        <f t="shared" ref="K22:K28" si="10">F22+G22+H22+I22+J22</f>
        <v>242.9392</v>
      </c>
      <c r="L22" s="52">
        <f t="shared" ref="L22:L28" si="11">K22*E22</f>
        <v>1496.505472</v>
      </c>
      <c r="M22" s="53" t="s">
        <v>268</v>
      </c>
    </row>
    <row r="23" ht="112.5" spans="1:13">
      <c r="A23" s="17">
        <v>2</v>
      </c>
      <c r="B23" s="17" t="s">
        <v>276</v>
      </c>
      <c r="C23" s="22" t="s">
        <v>285</v>
      </c>
      <c r="D23" s="30" t="s">
        <v>164</v>
      </c>
      <c r="E23" s="19">
        <v>7.77</v>
      </c>
      <c r="F23" s="24">
        <f t="shared" si="8"/>
        <v>20</v>
      </c>
      <c r="G23" s="24">
        <v>80</v>
      </c>
      <c r="H23" s="26">
        <v>15</v>
      </c>
      <c r="I23" s="54">
        <f t="shared" ref="I23:I27" si="12">(F23+H23)*0.12</f>
        <v>4.2</v>
      </c>
      <c r="J23" s="54">
        <f t="shared" si="9"/>
        <v>10.728</v>
      </c>
      <c r="K23" s="52">
        <f t="shared" si="10"/>
        <v>129.928</v>
      </c>
      <c r="L23" s="52">
        <f t="shared" si="11"/>
        <v>1009.54056</v>
      </c>
      <c r="M23" s="53" t="s">
        <v>268</v>
      </c>
    </row>
    <row r="24" ht="112.5" spans="1:13">
      <c r="A24" s="17">
        <v>3</v>
      </c>
      <c r="B24" s="17" t="s">
        <v>276</v>
      </c>
      <c r="C24" s="22" t="s">
        <v>286</v>
      </c>
      <c r="D24" s="30" t="s">
        <v>164</v>
      </c>
      <c r="E24" s="19">
        <v>219.25</v>
      </c>
      <c r="F24" s="24">
        <f t="shared" si="8"/>
        <v>13.75</v>
      </c>
      <c r="G24" s="24">
        <v>55</v>
      </c>
      <c r="H24" s="26">
        <v>10</v>
      </c>
      <c r="I24" s="54">
        <f t="shared" si="12"/>
        <v>2.85</v>
      </c>
      <c r="J24" s="54">
        <f t="shared" si="9"/>
        <v>7.344</v>
      </c>
      <c r="K24" s="52">
        <f t="shared" si="10"/>
        <v>88.944</v>
      </c>
      <c r="L24" s="52">
        <f t="shared" si="11"/>
        <v>19500.972</v>
      </c>
      <c r="M24" s="53" t="s">
        <v>268</v>
      </c>
    </row>
    <row r="25" ht="67.5" spans="1:13">
      <c r="A25" s="17">
        <v>4</v>
      </c>
      <c r="B25" s="18" t="s">
        <v>279</v>
      </c>
      <c r="C25" s="22" t="s">
        <v>280</v>
      </c>
      <c r="D25" s="30" t="s">
        <v>236</v>
      </c>
      <c r="E25" s="19">
        <v>20</v>
      </c>
      <c r="F25" s="24">
        <v>160</v>
      </c>
      <c r="G25" s="25">
        <v>431</v>
      </c>
      <c r="H25" s="26">
        <f>G25*0.1</f>
        <v>43.1</v>
      </c>
      <c r="I25" s="54">
        <f t="shared" si="12"/>
        <v>24.372</v>
      </c>
      <c r="J25" s="54">
        <f t="shared" si="9"/>
        <v>59.26248</v>
      </c>
      <c r="K25" s="52">
        <f t="shared" si="10"/>
        <v>717.73448</v>
      </c>
      <c r="L25" s="52">
        <f t="shared" si="11"/>
        <v>14354.6896</v>
      </c>
      <c r="M25" s="53"/>
    </row>
    <row r="26" ht="67.5" spans="1:13">
      <c r="A26" s="17">
        <v>5</v>
      </c>
      <c r="B26" s="18" t="s">
        <v>279</v>
      </c>
      <c r="C26" s="22" t="s">
        <v>281</v>
      </c>
      <c r="D26" s="30" t="s">
        <v>236</v>
      </c>
      <c r="E26" s="36">
        <v>0</v>
      </c>
      <c r="F26" s="24">
        <v>160</v>
      </c>
      <c r="G26" s="25">
        <v>500</v>
      </c>
      <c r="H26" s="26">
        <f>G26*0.1</f>
        <v>50</v>
      </c>
      <c r="I26" s="54">
        <f t="shared" si="12"/>
        <v>25.2</v>
      </c>
      <c r="J26" s="54">
        <f t="shared" si="9"/>
        <v>66.168</v>
      </c>
      <c r="K26" s="52">
        <f t="shared" si="10"/>
        <v>801.368</v>
      </c>
      <c r="L26" s="52">
        <f t="shared" si="11"/>
        <v>0</v>
      </c>
      <c r="M26" s="53"/>
    </row>
    <row r="27" ht="33.75" spans="1:13">
      <c r="A27" s="17">
        <v>6</v>
      </c>
      <c r="B27" s="30" t="s">
        <v>114</v>
      </c>
      <c r="C27" s="30" t="s">
        <v>260</v>
      </c>
      <c r="D27" s="30" t="s">
        <v>116</v>
      </c>
      <c r="E27" s="19">
        <v>83.88</v>
      </c>
      <c r="F27" s="31">
        <v>3</v>
      </c>
      <c r="G27" s="23"/>
      <c r="H27" s="32">
        <v>20</v>
      </c>
      <c r="I27" s="54">
        <f t="shared" si="12"/>
        <v>2.76</v>
      </c>
      <c r="J27" s="54">
        <f t="shared" si="9"/>
        <v>2.3184</v>
      </c>
      <c r="K27" s="52">
        <f t="shared" si="10"/>
        <v>28.0784</v>
      </c>
      <c r="L27" s="52">
        <f t="shared" si="11"/>
        <v>2355.216192</v>
      </c>
      <c r="M27" s="53"/>
    </row>
    <row r="28" ht="33.75" spans="1:13">
      <c r="A28" s="17">
        <v>7</v>
      </c>
      <c r="B28" s="30" t="s">
        <v>261</v>
      </c>
      <c r="C28" s="30" t="s">
        <v>262</v>
      </c>
      <c r="D28" s="30" t="s">
        <v>116</v>
      </c>
      <c r="E28" s="19">
        <v>83.88</v>
      </c>
      <c r="F28" s="20">
        <v>3</v>
      </c>
      <c r="G28" s="21"/>
      <c r="H28" s="19">
        <v>20</v>
      </c>
      <c r="I28" s="51">
        <f>(F28+G28+H28)*0.12</f>
        <v>2.76</v>
      </c>
      <c r="J28" s="51">
        <f t="shared" si="9"/>
        <v>2.3184</v>
      </c>
      <c r="K28" s="52">
        <f t="shared" si="10"/>
        <v>28.0784</v>
      </c>
      <c r="L28" s="52">
        <f t="shared" si="11"/>
        <v>2355.216192</v>
      </c>
      <c r="M28" s="53"/>
    </row>
    <row r="29" spans="1:13">
      <c r="A29" s="33" t="s">
        <v>274</v>
      </c>
      <c r="B29" s="33"/>
      <c r="C29" s="33"/>
      <c r="D29" s="33"/>
      <c r="E29" s="33"/>
      <c r="F29" s="33"/>
      <c r="G29" s="33"/>
      <c r="H29" s="19"/>
      <c r="I29" s="33"/>
      <c r="J29" s="60"/>
      <c r="K29" s="57"/>
      <c r="L29" s="52">
        <f>SUM(L22:L28)</f>
        <v>41072.140016</v>
      </c>
      <c r="M29" s="59"/>
    </row>
    <row r="30" spans="1:9">
      <c r="A30" s="37" t="s">
        <v>287</v>
      </c>
      <c r="B30" s="37"/>
      <c r="C30" s="38"/>
      <c r="D30" s="39"/>
      <c r="E30" s="39"/>
      <c r="F30" s="40"/>
      <c r="G30" s="40"/>
      <c r="H30" s="40"/>
      <c r="I30" s="64"/>
    </row>
    <row r="31" ht="85.5" spans="1:13">
      <c r="A31" s="41">
        <v>1</v>
      </c>
      <c r="B31" s="42" t="s">
        <v>288</v>
      </c>
      <c r="C31" s="43" t="s">
        <v>289</v>
      </c>
      <c r="D31" s="44" t="s">
        <v>231</v>
      </c>
      <c r="E31" s="45">
        <v>40</v>
      </c>
      <c r="F31" s="46"/>
      <c r="G31" s="46"/>
      <c r="H31" s="46"/>
      <c r="I31" s="46"/>
      <c r="J31" s="46"/>
      <c r="K31" s="45">
        <v>650</v>
      </c>
      <c r="L31" s="45">
        <f>E31*K31</f>
        <v>26000</v>
      </c>
      <c r="M31" s="65" t="s">
        <v>290</v>
      </c>
    </row>
    <row r="32" ht="85.5" spans="1:13">
      <c r="A32" s="41">
        <v>2</v>
      </c>
      <c r="B32" s="42" t="s">
        <v>288</v>
      </c>
      <c r="C32" s="43" t="s">
        <v>291</v>
      </c>
      <c r="D32" s="44" t="s">
        <v>231</v>
      </c>
      <c r="E32" s="45">
        <v>15</v>
      </c>
      <c r="F32" s="46"/>
      <c r="G32" s="46"/>
      <c r="H32" s="46"/>
      <c r="I32" s="46"/>
      <c r="J32" s="46"/>
      <c r="K32" s="45">
        <v>1000</v>
      </c>
      <c r="L32" s="45">
        <f>E32*K32</f>
        <v>15000</v>
      </c>
      <c r="M32" s="65" t="s">
        <v>290</v>
      </c>
    </row>
    <row r="33" ht="35" customHeight="1" spans="1:13">
      <c r="A33" s="46">
        <v>3</v>
      </c>
      <c r="B33" s="46" t="s">
        <v>282</v>
      </c>
      <c r="C33" s="46"/>
      <c r="D33" s="46"/>
      <c r="E33" s="46"/>
      <c r="F33" s="46"/>
      <c r="G33" s="46"/>
      <c r="H33" s="46"/>
      <c r="I33" s="46"/>
      <c r="J33" s="46"/>
      <c r="K33" s="66"/>
      <c r="L33" s="46">
        <f>SUM(L31:L32)</f>
        <v>41000</v>
      </c>
      <c r="M33" s="46"/>
    </row>
    <row r="34" ht="35" customHeight="1" spans="1:13">
      <c r="A34" s="46" t="s">
        <v>75</v>
      </c>
      <c r="B34" s="46" t="s">
        <v>91</v>
      </c>
      <c r="C34" s="46"/>
      <c r="D34" s="46"/>
      <c r="E34" s="46"/>
      <c r="F34" s="46"/>
      <c r="G34" s="46"/>
      <c r="H34" s="46"/>
      <c r="I34" s="46"/>
      <c r="J34" s="46"/>
      <c r="K34" s="66"/>
      <c r="L34" s="46">
        <f>L33+L29+L12+L20</f>
        <v>142835.548592</v>
      </c>
      <c r="M34" s="46"/>
    </row>
    <row r="36" spans="1:13">
      <c r="A36" s="47" t="s">
        <v>263</v>
      </c>
      <c r="B36" s="47"/>
      <c r="C36" s="47"/>
      <c r="D36" s="47"/>
      <c r="E36" s="47"/>
      <c r="F36" s="47"/>
      <c r="G36" s="47"/>
      <c r="H36" s="47"/>
      <c r="I36" s="47"/>
      <c r="J36" s="47"/>
      <c r="K36" s="67"/>
      <c r="L36" s="47"/>
      <c r="M36" s="47"/>
    </row>
  </sheetData>
  <mergeCells count="20">
    <mergeCell ref="A1:M1"/>
    <mergeCell ref="F2:J2"/>
    <mergeCell ref="B5:C5"/>
    <mergeCell ref="A12:G12"/>
    <mergeCell ref="B13:C13"/>
    <mergeCell ref="B21:C21"/>
    <mergeCell ref="A29:G29"/>
    <mergeCell ref="A30:B30"/>
    <mergeCell ref="A36:M36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M2:M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目录</vt:lpstr>
      <vt:lpstr>结算汇总表</vt:lpstr>
      <vt:lpstr>合同价汇总表</vt:lpstr>
      <vt:lpstr>硬质铺装</vt:lpstr>
      <vt:lpstr>派发单</vt:lpstr>
      <vt:lpstr>绿植乔木</vt:lpstr>
      <vt:lpstr>绿植灌木</vt:lpstr>
      <vt:lpstr>景观水电</vt:lpstr>
      <vt:lpstr>补充协议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张磊</cp:lastModifiedBy>
  <dcterms:created xsi:type="dcterms:W3CDTF">2020-11-19T09:45:00Z</dcterms:created>
  <dcterms:modified xsi:type="dcterms:W3CDTF">2024-11-05T03:34:07Z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8ECC678D41D948A68D7F6BF3171481E1_13</vt:lpwstr>
  </property>
</Properties>
</file>