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tabRatio="832" firstSheet="1" activeTab="2"/>
  </bookViews>
  <sheets>
    <sheet name="Sheet2" sheetId="20" state="hidden" r:id="rId1"/>
    <sheet name="清单报价说明" sheetId="7" r:id="rId2"/>
    <sheet name="01、汇总表" sheetId="9" r:id="rId3"/>
    <sheet name="Sheet1" sheetId="19" state="hidden" r:id="rId4"/>
    <sheet name="02、装饰工程变更" sheetId="22" r:id="rId5"/>
    <sheet name="02、取消工程" sheetId="23" r:id="rId6"/>
    <sheet name="门头钢结构工程量计算" sheetId="13" state="hidden" r:id="rId7"/>
  </sheets>
  <definedNames>
    <definedName name="_xlnm._FilterDatabase" localSheetId="4" hidden="1">'02、装饰工程变更'!$A$1:$O$191</definedName>
    <definedName name="_xlnm._FilterDatabase" localSheetId="5" hidden="1">'02、取消工程'!$A$5:$P$16</definedName>
    <definedName name="_xlnm._FilterDatabase" localSheetId="6" hidden="1">门头钢结构工程量计算!$A$2:$G$22</definedName>
    <definedName name="_xlnm.Print_Area" localSheetId="2">'01、汇总表'!$A$1:$E$6</definedName>
    <definedName name="_xlnm.Print_Area" localSheetId="3">Sheet1!$A$1:$I$53</definedName>
    <definedName name="_xlnm.Print_Area" localSheetId="0">Sheet2!$A$1:$I$55</definedName>
    <definedName name="_xlnm.Print_Area" localSheetId="1">清单报价说明!$A$1:$B$27</definedName>
    <definedName name="_xlnm.Print_Area" localSheetId="5">'02、取消工程'!$A$1:$O$16</definedName>
    <definedName name="_xlnm.Print_Titles" localSheetId="5">'02、取消工程'!$1:$5</definedName>
    <definedName name="w" localSheetId="4">EVALUATE(SUBSTITUTE(SUBSTITUTE('02、装饰工程变更'!$E1,"【","*ISTEXT(""【"),"】","】"")"))</definedName>
    <definedName name="_xlnm.Print_Area" localSheetId="4">'02、装饰工程变更'!$A$1:$O$191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<sst xmlns="http://schemas.openxmlformats.org/spreadsheetml/2006/main" count="844" uniqueCount="462">
  <si>
    <t>工程量清单报价说明</t>
  </si>
  <si>
    <t>一、工程概况:</t>
  </si>
  <si>
    <t>工程概况:</t>
  </si>
  <si>
    <t>其他事项：
（1）施工现场的实际情况：投标单位自行勘察。
（2）交通运输情况：投标单位自行勘察。
（3）自然地理条件及环境保护要求：见招标文件中合同条款。
（4）施工工期：见招标文件/合同文件。
（5）水电接口：甲方现场提供水电接驳点，自行接驳、水电费在综合单价内已包括。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</si>
  <si>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</si>
  <si>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</si>
  <si>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郑州市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</si>
  <si>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</si>
  <si>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综合单价包干部分工程量据实结算。投标人应仔细检查投标总报价各部分的金额合计应等于总金额。</t>
  </si>
  <si>
    <t>清单项目特征描述中对其基层、面层的做法及节点要求仅为概括描述，详细内容均以施工图纸、规范技术要求、现场技术、施工工艺为准，投标人作为一个有经验的承包商已充分考虑完成本工程所需的全部施工及措施费用，若清单特征中无列项的，视为已包含在其他费中。</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</si>
  <si>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</si>
  <si>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</si>
  <si>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增值税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</si>
  <si>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</si>
  <si>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其他材料费（辅材费）包括如下：a、各种规格的螺栓、化学螺栓、泡沫棒、连接件、挂件、背栓件、支座、镀锌钢、；b、硅酮建筑耐候密封胶、铝板打胶、环氧树脂结构胶；c、各种规格的不锈钢挂件、不锈钢钉、不锈钢铆钉等为完成本项目工作的一切材料费用。</t>
  </si>
  <si>
    <t>三、工程量清单编制依据及计算规则</t>
  </si>
  <si>
    <t>本清单工程量依据招标文件、招标图纸计算，采用含增值税综合单价格式报价，增值税率在投标报价报价表中单独列出，计入投标总报价。增值税税率若发生调整时按不含增值税单价不变的原则进行调整单价和总价；</t>
  </si>
  <si>
    <t>工程量计算规则除另有说明外,执行《建设工程工程量清单计算规范》GB 50854-2013。</t>
  </si>
  <si>
    <t>四、其他计价说明</t>
  </si>
  <si>
    <t>精装修施工范围：图纸范围内的墙面地面天棚装修、强电、排水给水（含洁具），室内精装不包含成品装饰摆件，不包含弱电部分线路及布管，不包含智能配合弱电线路及布管。</t>
  </si>
  <si>
    <t>预算内的灯具为固定色温，如需改为智能变色控制需要另行报价。</t>
  </si>
  <si>
    <t>不包含物业公司的装修押金及管理费。</t>
  </si>
  <si>
    <t>如业主对设计做法及材料品牌有异议，可另行议价。</t>
  </si>
  <si>
    <t>五、计划工期</t>
  </si>
  <si>
    <t>工期暂定六个月（不含中央空调、新风、除湿、电梯等安装周期）</t>
  </si>
  <si>
    <t>如有方案调整、材料更换等其他不可抗力因素工期顺延。</t>
  </si>
  <si>
    <t>以下内容为空白。</t>
  </si>
  <si>
    <t>101叠拼别墅
装饰工程变更清单</t>
  </si>
  <si>
    <t>序 号</t>
  </si>
  <si>
    <t>项目名称</t>
  </si>
  <si>
    <t>单位</t>
  </si>
  <si>
    <t>合计(元)</t>
  </si>
  <si>
    <t>备注</t>
  </si>
  <si>
    <t>一</t>
  </si>
  <si>
    <t>装饰工程变更项目</t>
  </si>
  <si>
    <t>项</t>
  </si>
  <si>
    <t>二</t>
  </si>
  <si>
    <t>取消工程项目</t>
  </si>
  <si>
    <t xml:space="preserve">
</t>
  </si>
  <si>
    <t>价格清单（101叠拼别墅装饰工程）（变更部分）</t>
  </si>
  <si>
    <t>工程名称：101叠拼别墅装饰工程--装饰工程</t>
  </si>
  <si>
    <t>序号</t>
  </si>
  <si>
    <t>工程项目名称</t>
  </si>
  <si>
    <t>工程内容</t>
  </si>
  <si>
    <t>工程量
g</t>
  </si>
  <si>
    <t>其中：各子项构成（元）</t>
  </si>
  <si>
    <t>含税综合单价(元)
f=(a+b+c+d+e)</t>
  </si>
  <si>
    <t>合价(元)=g*f</t>
  </si>
  <si>
    <t>备 注
（品牌/型号）</t>
  </si>
  <si>
    <t>人工费
a</t>
  </si>
  <si>
    <t>含损耗主材费小计</t>
  </si>
  <si>
    <t>主材费</t>
  </si>
  <si>
    <t>主材损耗率</t>
  </si>
  <si>
    <t>机械、辅材及其他c</t>
  </si>
  <si>
    <t>管理费及利润
d=(a+b+c)*费率</t>
  </si>
  <si>
    <t>税金
e=(a+b+c+d)*费率</t>
  </si>
  <si>
    <t>b=x*（1+y）</t>
  </si>
  <si>
    <t>x</t>
  </si>
  <si>
    <t xml:space="preserve"> y</t>
  </si>
  <si>
    <t>安装工程</t>
  </si>
  <si>
    <t>总电箱</t>
  </si>
  <si>
    <t>1.名称:总配电箱
2.安装方式:详见图纸
3.其它说明:满足图纸、规范和设计要求</t>
  </si>
  <si>
    <t>套</t>
  </si>
  <si>
    <t>正泰</t>
  </si>
  <si>
    <t>卫生间排风系统</t>
  </si>
  <si>
    <t>1.110PVC排风管道
2.420风量吸流风机
3.部位：地下层 地上层所有卫生间
5.其它说明：满足图纸、规范和设计要求</t>
  </si>
  <si>
    <t>户外热水器变更为室内热水器差价</t>
  </si>
  <si>
    <t>1.日本百乐满室内热水器（JSQ46-2424AWC)
2.鹰游热水循环泵
3.燃气防爆管、精品角阀
4.部位：厨房
5.其它说明：满足图纸、规范和设计要求</t>
  </si>
  <si>
    <t>日本百乐满</t>
  </si>
  <si>
    <t>除湿机</t>
  </si>
  <si>
    <t>1.强劲除湿能力
2.一键智能除湿
3.低噪音
4.6大核心保护（延时保护、满水保护、化霜保护、高低温保护、冷媒低压保护、压缩机过载保护）
5.全自动排水</t>
  </si>
  <si>
    <t>德国博乐</t>
  </si>
  <si>
    <t>装饰灯</t>
  </si>
  <si>
    <t>1.名称:嵌入式LED可调角射灯
2.安装方式:详见图纸
3.其它说明:满足图纸、规范和设计要求                          4.部位：楼梯底部、一层北外门厅</t>
  </si>
  <si>
    <t>个</t>
  </si>
  <si>
    <t>西顿芳华系列</t>
  </si>
  <si>
    <t>小计</t>
  </si>
  <si>
    <t>洁具</t>
  </si>
  <si>
    <t>洁具原品牌</t>
  </si>
  <si>
    <t>坐便器</t>
  </si>
  <si>
    <t>1.名称:坐便器（含角阀等配件）
2.安装方式:详见图纸
3.其它说明:满足图纸、规范和设计要求</t>
  </si>
  <si>
    <t>科勒</t>
  </si>
  <si>
    <t>洗脸盆</t>
  </si>
  <si>
    <t>1.名称:洗脸盆（含水龙头、角阀等配件）
2.安装方式:详见图纸
3.其它说明:满足图纸、规范和设计要求</t>
  </si>
  <si>
    <t>科勒+玫瑰金入墙龙头</t>
  </si>
  <si>
    <t>浴缸</t>
  </si>
  <si>
    <t>1.名称:浴缸（含水龙头、角阀等配件）
2.安装方式:详见图纸
3.其它说明:满足图纸、规范和设计要求</t>
  </si>
  <si>
    <t>科勒+玫瑰金缸边龙头</t>
  </si>
  <si>
    <t>淋浴器</t>
  </si>
  <si>
    <t>1.名称:淋浴器（含花洒、角阀等配件）
2.安装方式:详见图纸
3.其它说明:满足图纸、规范和设计要求</t>
  </si>
  <si>
    <t>科勒+玫瑰金暗装花洒</t>
  </si>
  <si>
    <t>洁具更换品牌</t>
  </si>
  <si>
    <t>明装大境雨淋浴器</t>
  </si>
  <si>
    <t>1.名称:淋浴器
2.安装方式:详见图纸
3.其它说明:满足图纸、规范和设计要求                          4.部位：主卫</t>
  </si>
  <si>
    <t>汉斯格雅 26225</t>
  </si>
  <si>
    <t>智能马桶纯境豪华</t>
  </si>
  <si>
    <t>1.名称:智能马桶
2.安装方式:详见图纸
3.其它说明:满足图纸、规范和设计要求                          4.部位：主卫及董事长办公室</t>
  </si>
  <si>
    <t>汉斯格雅 22402</t>
  </si>
  <si>
    <t>独立浴缸</t>
  </si>
  <si>
    <t>1.名称:浴缸
2.安装方式:详见图纸
3.其它说明:满足图纸、规范和设计要求                          4.部位：主卫</t>
  </si>
  <si>
    <t>PG     11778</t>
  </si>
  <si>
    <t>缸边落地龙头</t>
  </si>
  <si>
    <t>1.名称:浴缸龙头
2.安装方式:详见图纸
3.其它说明:满足图纸、规范和设计要求                          4.部位：主卫</t>
  </si>
  <si>
    <t>雅生   11422007</t>
  </si>
  <si>
    <t>入墙龙头</t>
  </si>
  <si>
    <t>1.名称:入墙龙头
2.安装方式:详见图纸
3.其它说明:满足图纸、规范和设计要求                          4.部位：主卫、一层公卫、负一负二公卫</t>
  </si>
  <si>
    <t>汉斯格雅  75050007</t>
  </si>
  <si>
    <t>台下盆</t>
  </si>
  <si>
    <t>1.名称:台下盆
2.安装方式:详见图纸
3.其它说明:满足图纸、规范和设计要求                          4.部位：主卫更衣区</t>
  </si>
  <si>
    <t>杜拉维特 '030549</t>
  </si>
  <si>
    <t>明装恒温淋浴器</t>
  </si>
  <si>
    <t>1.名称:淋浴器
2.安装方式:详见图纸
3.其它说明:满足图纸、规范和设计要求                          4.部位：儿童卫</t>
  </si>
  <si>
    <t>汉斯格雅 2623</t>
  </si>
  <si>
    <t>智能马桶新款豪华</t>
  </si>
  <si>
    <t>1.名称:智能马桶
2.安装方式:详见图纸
3.其它说明:满足图纸、规范和设计要求                          4.部位：儿童卫、一层公卫、董事长家</t>
  </si>
  <si>
    <t>汉斯格雅22452</t>
  </si>
  <si>
    <t>1.名称:淋浴器
2.安装方式:详见图纸
3.其它说明:满足图纸、规范和设计要求                          4.部位：一层公卫</t>
  </si>
  <si>
    <t>汉斯格雅 2646</t>
  </si>
  <si>
    <t>明装花洒</t>
  </si>
  <si>
    <t>1.名称:淋浴器
2.安装方式:详见图纸
3.其它说明:满足图纸、规范和设计要求                          4.部位：负一层公卫</t>
  </si>
  <si>
    <t>汉斯格雅 26177</t>
  </si>
  <si>
    <t>落地马桶</t>
  </si>
  <si>
    <t>1.名称:落地马桶
2.安装方式:详见图纸
3.其它说明:满足图纸、规范和设计要求                          4.部位：负一、负二公卫</t>
  </si>
  <si>
    <t>汉斯格雅22432007</t>
  </si>
  <si>
    <t>龙头配件</t>
  </si>
  <si>
    <t>1.名称:龙头配件
2.安装方式:详见图纸
3.其它说明:满足图纸、规范和设计要求                          4.部位：负一、负二公卫</t>
  </si>
  <si>
    <t>洁具差价小计</t>
  </si>
  <si>
    <t>三</t>
  </si>
  <si>
    <t>浴室柜</t>
  </si>
  <si>
    <t>原浴室柜</t>
  </si>
  <si>
    <t>定制化妆箱</t>
  </si>
  <si>
    <t>1.部位：地下一层客卫
2.柜体高度：900mm 宽度：180mm  长度1580mm
3.具体施工技术要求根据现场工程要求施工，满足规范和设计图纸要求</t>
  </si>
  <si>
    <t>多层实木烤漆、智能镜</t>
  </si>
  <si>
    <t>定制洗脸盆柜</t>
  </si>
  <si>
    <t>1.部位：地下一层客卫
2.台面：ST.2 雅柏白18mm天然石材 柜体：WD4香槟色烤漆板
3.柜体高度：600mm 宽度：550mm  长度780mm
4.具体施工技术要求根据现场工程要求施工，满足规范和设计图纸要求</t>
  </si>
  <si>
    <t>多层实木烤漆</t>
  </si>
  <si>
    <t>1.部位：地下二层客卫
2.柜体高度：900mm 宽度：180mm  长度1580mm
3.具体施工技术要求根据现场工程要求施工，满足规范和设计图纸要求</t>
  </si>
  <si>
    <t>1.部位：地下二层客卫
2.台面：ST.2 雅柏白18mm天然石材 柜体：WD4香槟色烤漆板
3.柜体高度：600mm 宽度：550mm  长度780mm
4.具体施工技术要求根据现场工程要求施工，满足规范和设计图纸要求</t>
  </si>
  <si>
    <t>成品镜柜</t>
  </si>
  <si>
    <t>1.部位：首层客卫
2.成品镜柜，专业厂家二次深化
3.柜体厚度：150mm
4.具体施工技术要求根据现场工程要求施工，满足规范和设计图纸要求</t>
  </si>
  <si>
    <t>1.部位：首层客卫
2.台面：ST.3 雅柏白18mm天然石材 柜体：WD-2奶白色烤漆板（柜门木饰面） 
3.柜体宽：740mm，高：554mm，厚500mm
4.具体施工技术要求根据现场工程要求施工，满足规范和设计图纸要求</t>
  </si>
  <si>
    <t>1.部位：小孩房卫生间
2.成品镜柜，专业厂家二次深化
3.柜体：1560*900*150mm厚
4.具体施工技术要求根据现场工程要求施工，满足规范和设计图纸要求</t>
  </si>
  <si>
    <t>1.部位：小孩房卫生间
2.台面：ST.3 雅柏白18mm天然石材 柜体：WD-03蓝色烤漆板（柜门木饰面） 
3.柜体宽：1560mm，高：500mm，厚370mm
4.具体施工技术要求根据现场工程要求施工，满足规范和设计图纸要求</t>
  </si>
  <si>
    <t>1.部位：二楼主卫
2.成品镜柜，专业厂家二次深化
3.柜体：1560*900*150mm厚
4.具体施工技术要求根据现场工程要求施工，满足规范和设计图纸要求</t>
  </si>
  <si>
    <t>1.部位：二楼主卫
2.台面：天然石材单孔洗手台 柜体：WD-03蓝色烤漆板（柜门木饰面） 
3.柜体宽：1145mm，高：700mm，厚600mm
4.具体施工技术要求根据现场工程要求施工，满足规范和设计图纸要求</t>
  </si>
  <si>
    <t>成品浴室柜</t>
  </si>
  <si>
    <t>浴室柜+镜柜</t>
  </si>
  <si>
    <t>1.部位：地下一层客卫
2.柜体高度：900mm 长度800mm
3.具体施工技术要求根据现场工程要求施工，满足规范和设计图纸要求</t>
  </si>
  <si>
    <t>L027-800MM(</t>
  </si>
  <si>
    <t>1.部位：地下二层客卫
2.柜体高度：900mm  长度1300mm
3.具体施工技术要求根据现场工程要求施工，满足规范和设计图纸要求</t>
  </si>
  <si>
    <t>L024-1300MM</t>
  </si>
  <si>
    <t>1.部位：一层客卫
2.柜体高度：900mm   长度800mm
3.具体施工技术要求根据现场工程要求施工，满足规范和设计图纸要求</t>
  </si>
  <si>
    <t>L024-800MM</t>
  </si>
  <si>
    <t>1.部位：二层主卫
2.柜体高度：900mm   长度1000mm
3.具体施工技术要求根据现场工程要求施工，满足规范和设计图纸要求</t>
  </si>
  <si>
    <t>雪山银狐-1000MM</t>
  </si>
  <si>
    <t>1.部位：二层儿卫
2.柜体高度：900mm   长度1000mm
3.具体施工技术要求根据现场工程要求施工，满足规范和设计图纸要求</t>
  </si>
  <si>
    <t>2018-1000MM（雅士蓝）(常规龙头)</t>
  </si>
  <si>
    <t>浴室柜差价小计</t>
  </si>
  <si>
    <t>四</t>
  </si>
  <si>
    <t>影音设备</t>
  </si>
  <si>
    <t>超高清投影设备</t>
  </si>
  <si>
    <t>4K UHD超高清投影机</t>
  </si>
  <si>
    <t>3840*2160超高清分辨率；
3200流明高亮度；
240新率，提供每秒240帧画面，减少画面拖影，大片、游戏、球赛流畅无比；（1080P画面支持120Hz）。
5ms低输入延时，搭载Ular Fast Input技术，疾速响应；
支持HDR10&amp;HLG，双解码技术，画面层次分明，
优派Supercolor技术，兼容Rec2020广色域，带来更好的颜色体验及色彩饱和度</t>
  </si>
  <si>
    <t>台</t>
  </si>
  <si>
    <t>优派TB2103K</t>
  </si>
  <si>
    <t>编织画框透声幕</t>
  </si>
  <si>
    <t>60型编织透声画框幕       
（NJ035-1.1亮白4K编织透声）
● 可视角180度
● 适用于4K和主动3D投影
● 无Moiré摩尔纹,平均声音衰减仅-3.09dB
 尺寸：2776*1614</t>
  </si>
  <si>
    <t>张</t>
  </si>
  <si>
    <t xml:space="preserve">亿乐YLK120H-BZ60
</t>
  </si>
  <si>
    <t>影库服务器</t>
  </si>
  <si>
    <t>1、海思3798 MV200主控方案，2G 内存+16G闪存，支持4K HDR、次世代音轨源码输出
2、支持RS232串口、IR红外、IP网络控制，针对智能中控系统开放多项独家功能                                  3、可抽拔式单硬盘设计，最大支持8TB硬盘，可外接移动硬盘/NAS
4、主机两年保修、随机硬盘两年换新
5、ISF官方认证视频源，ISF官方调试信号输出                                                                                                                    6、内置希捷酷狼2T硬盘1块、含一个月4K远程下载服务</t>
  </si>
  <si>
    <t>威动                 VIDON   N5（2T）</t>
  </si>
  <si>
    <t>4K
HDMI高清线  15米</t>
  </si>
  <si>
    <t>全进口元器件，高效光电转换，精密工艺制作，保障使用寿命，18Gbps传输带宽，支持 4K60Hz4：4：4HDR流畅 观影，耳机线标准设计握手通道，攻克兼容性难题，eARC增强型音频回传，悦听立体声。</t>
  </si>
  <si>
    <t>条</t>
  </si>
  <si>
    <t>KULPUR</t>
  </si>
  <si>
    <t>投影仪吊架</t>
  </si>
  <si>
    <t>1.ST-1 18mm厚米色天热石材
2.5mm厚DTA粘结砂浆层
3.15mm厚DSM15砂浆找平
4.部位：起居室、走道
5.其它说明：铺贴、擦缝、切割、磨边等一切铺贴步骤及所需之辅材，满足规范和设计图纸要求</t>
  </si>
  <si>
    <t>NB817</t>
  </si>
  <si>
    <t>投影设备安装调试及管理设计费</t>
  </si>
  <si>
    <t>包含安装、调试、设计等</t>
  </si>
  <si>
    <t>美国RBH 5.1.2杜比全景声影院</t>
  </si>
  <si>
    <t>前置主音箱</t>
  </si>
  <si>
    <t>类型：两分频入墙主扬声器或中置
低音：2个4寸聚丙烯石墨盆低音单元
高音：1个1寸丝膜球顶高音单元
频响范围：60-20kHz ±3dB 分频点：4000Hz 灵敏度：90dB(2.83V @ 1 Meter) 承受功率：10-100W 阻抗：6Ω 完整尺寸（W*H*D）：154 x 387 x 79mm 开洞尺寸（W*H）：149 x 356mm 重量：2.61kg</t>
  </si>
  <si>
    <t>只</t>
  </si>
  <si>
    <t>RBH SOUND  VA-414</t>
  </si>
  <si>
    <t>环绕音箱</t>
  </si>
  <si>
    <t>全景声音箱</t>
  </si>
  <si>
    <t>系统类型：吸顶式 2 分频扬声器
低音喇叭：1个 6.5寸 铝锥
高音喇叭：1个1寸 铝制圆顶
频率响应：50Hz-20kHz (±3dB) 灵敏度：88dB (2.83V @ 1 m) 推荐功率：15-120 W 分频频率：3,000 Hz 阻抗：8 欧姆
开孔尺寸：7-3/4" (197mm) 直径。
完整尺寸：(226mm 直径 x 98mm D) 重量：1.66 kg</t>
  </si>
  <si>
    <t>RBH SOUND  VM-615</t>
  </si>
  <si>
    <t>超低音扬声器</t>
  </si>
  <si>
    <t>喇叭单元：12寸单体
电源电压：AC220V±10% 50Hz
输入阻抗：47K
输入灵敏度：0.4V-1.2V
输出阻抗：4-8Ω
输出功率：300W(8Ω)
频率范围：28Hz-150Hz
相位选择：0  OR  180度
箱体尺寸（宽×高×深）：365×405×400 mm
箱体加脚钉和功放后板整体尺寸（宽×高×深）：365×425×430 mm</t>
  </si>
  <si>
    <t xml:space="preserve">Extra-Terresial ET-D12  </t>
  </si>
  <si>
    <t>影院功放解码器</t>
  </si>
  <si>
    <t>1.  天龙5.2声道AV接收机，每声道130W  2. 支持4K/60 Hz全速率直通、HDR、ARC和HDMI CEC  3. 有 5个HDMI输入，支持全HDCP 2.2（3个输入）  4. 蓝牙音乐串流  5. 支持Dolby TrueHD和DTS HD Master Audio  6.  播放MP3、WMA、FLAC和MPEG-4/AAC曲目，  7. 支持普通音乐文件格式的前置USB 8. 通过麦克风进行自动扬声器校准  9. 设置助手，Denon 500 Series Remote App  10. Hassle-free（无忧）安装、设置和操作 11. 智能ECO模式</t>
  </si>
  <si>
    <t>日本天龙   AVRX550BT</t>
  </si>
  <si>
    <t>影音智能中控主机</t>
  </si>
  <si>
    <t>工作电压： 12V 1A
无线扩展： 支持涂鸦无线扩展
红外学习： 支持自主学习红外协议驱动
主要接口： 1：4路干接点输入接口；
           2：4路干接点输出接口；
           3：4路RS-232接口；
           4：6路IR红外转发口；
           5：1路HDMI中控界面输出；
           6：支持IP协议控制；</t>
  </si>
  <si>
    <t>领控      LK-HC100</t>
  </si>
  <si>
    <t>影音主机遥控器</t>
  </si>
  <si>
    <t>&gt; 搭载4轴重力感应（自动开关背光）
&gt; 搭配光线传感自动调节背光亮度
&gt; 震动反馈提醒用户智能场景执行成功.
&gt; 采用2.4G通讯，360无线操控可穿墙
&gt; 自动锁定当前播放器（替代原遥控器）
&gt; 3个自定义键方便人性化自定义功能
&gt; 1200毫安锂电池，无线充电底座</t>
  </si>
  <si>
    <t>领控    LF-500C</t>
  </si>
  <si>
    <t>工程配件包</t>
  </si>
  <si>
    <t>&gt; 单发射头红外转发   4 根  
&gt; 一公一母串口线     3 根   
&gt;串口公转母转接头    1 个   
&gt;串口延长接线头      2个    
网线                 1根</t>
  </si>
  <si>
    <t>领控    定制</t>
  </si>
  <si>
    <t>智能电源管理时序器</t>
  </si>
  <si>
    <t>K歌系统上电控制，有效抑制单红外逻辑混乱，8路超大功率输出，232接口完美匹配智能中控</t>
  </si>
  <si>
    <t>领控  AV801</t>
  </si>
  <si>
    <t>音响机柜</t>
  </si>
  <si>
    <t>精装单四层
宽600×深500×高800</t>
  </si>
  <si>
    <t xml:space="preserve">爵士      JD4  </t>
  </si>
  <si>
    <t>音箱线</t>
  </si>
  <si>
    <t>秋叶原    200芯</t>
  </si>
  <si>
    <t>米</t>
  </si>
  <si>
    <t>同轴线</t>
  </si>
  <si>
    <t>秋叶原    Q2108</t>
  </si>
  <si>
    <t>影院设备安装调试及管理设计费</t>
  </si>
  <si>
    <t>VPK卡拉ok系统</t>
  </si>
  <si>
    <t xml:space="preserve"> 12寸专业音箱</t>
  </si>
  <si>
    <t>●12"*1,1.75"*1全频箱，高音单元采用美国定制BIC单元,中频圆润、甜美而又饱满，高频柔和而细腻；低音单元采用美国原装BIC低音，独特磁路短路环技术，低频深沉、厚实，包围感强。
● 分音器为手工焊接，操作精细，西班牙顶级音频电容，大功率电阻，大线径高纯度铜线绕制电感。
●覆盖角：W100°*H70°
功率：400W-800W(8Ω),
灵敏度：97db(LMS.1m.1w测试），
阻抗：8Ω，
频响范围：53HZ--20KHZ，
木箱尺寸600mm*360mm*382mm.
净重量：22.5KG/只.</t>
  </si>
  <si>
    <t>VPK     VPK/KS-812</t>
  </si>
  <si>
    <t>后级功放</t>
  </si>
  <si>
    <t>● 全系列采用优质环型变压器供电,优质大容量电解电容滤波,整机静态功耗低,动态能量充沛。
● 电路采用经典脉冲宽度调制放大电路，效率高达90%,元器件均按照HIFI级标准选型，使声音表现更加完美。
● 全系列采用先进的AGC自动增益控制技术，保证永无削波失真。有效保护功放与扬声器。
● 完善的保护电路，自动温度保护，自动嵌压、过流，过压保护。
● 规格：两通道专业纯后级功率放大器；输出功率：8Ω/500W×2, 4Ω/1000W×2；频率回应：20Hz～20kHz&lt;±0.25dB；电源：220V(50Hz～60Hz)；阻尼系数：＞1500；
体积：高88mmX宽482mm×350.5mm；净重量：11kg</t>
  </si>
  <si>
    <t>VPK     VPK/CA-2500</t>
  </si>
  <si>
    <t>音频前级处理器</t>
  </si>
  <si>
    <t>音乐参量均衡：7段
音乐到主输出高通滤波器：12dB/24dB（0Hz-303Hz）
有四种麦克风FBE模式：OFF 1 2 3
15段麦克风参量均衡
回声低通滤波器：5.99Hz-20.6KHz
回声高通滤波器：0Hz-1000Hz
回声参量均衡：3段
回声总预延时：0-500ms
混响低通滤波器可调范围：5.99Hz-20.6KHz
混响高通滤波器可调范围：0Hz-1000Hz
混响时间可调范围：0~3000ms
主输出：
音乐电平：0~200%
直达声电平：0~200%
5段音乐参量均衡
中置输出
音乐电平：0~200%
直达声电平：0~200%
高通滤波器：0Hz-303Hz
3段参量均衡
超低音输出：
音乐电平：0~400%
MIC直达声电平：0~200%
3段参数均衡
延时：0-50ms
后置输出
音乐电平：0~200%
高通滤波器：0Hz-303Hz
3段参数均衡
压缩限幅器
左通道延时：0~50%
右通道延时：0~50%</t>
  </si>
  <si>
    <t>VK      X6</t>
  </si>
  <si>
    <t>点歌机
（2T）</t>
  </si>
  <si>
    <t>点歌方式支持菜单选择、拼音、歌星、字数、曲种和手写，支持多唱APP点歌、微信点歌、支持歌星专辑式点歌列表功能、歌词搜歌点播功能、具备二次检索功能；内置安卓应用市场，可安装电视直播、游戏等应用，支持全新魔镜5系统。（19.5寸触摸屏）</t>
  </si>
  <si>
    <t>视易 D68M</t>
  </si>
  <si>
    <t>无线话筒</t>
  </si>
  <si>
    <t>灵敏度：在偏移度等于25KHz，输入6dBμV时，S/N&gt;60dB
最大偏移度：±45kHz
频带宽度：24MHz
综合S/N比：&gt;100dB
综合T.H.D.：&lt;0.5%@1KHz
综合频率响应：50Hz~18kHz±3dB,</t>
  </si>
  <si>
    <t>BBS       S-280</t>
  </si>
  <si>
    <t>电源时序器</t>
  </si>
  <si>
    <t>可接入8路设备                                                          30A大电流控制继电器输出，多用途插座；
标准USB接口灯具辅助照明配置
 待机、运行、全部旁通、单独通道旁通全功能</t>
  </si>
  <si>
    <t>ABL       1089B</t>
  </si>
  <si>
    <t>氛围灯光</t>
  </si>
  <si>
    <t>工作模式：声控、自走、DMX512、主从模式                                         工作电压：AC110--220V    功率：18W                                                   产品尺寸：（175X150X175）mm</t>
  </si>
  <si>
    <t>定制</t>
  </si>
  <si>
    <t>VGA线</t>
  </si>
  <si>
    <t xml:space="preserve">秋叶原    </t>
  </si>
  <si>
    <t>PVC穿线管</t>
  </si>
  <si>
    <t>联塑</t>
  </si>
  <si>
    <t>辅材</t>
  </si>
  <si>
    <t>O插、卡农、音频插头、音箱挂架、排插等附件</t>
  </si>
  <si>
    <t>批</t>
  </si>
  <si>
    <t>全频扩散体</t>
  </si>
  <si>
    <t>Polymer高分子聚合物结合高强度无机图层，既满足了设计扩散频率对材质面密度的要求，又大幅度降低产品自重和克服传统材质缺陷。 QDR序列有显著显著的扩散效果，不损害自然混响的作用下，有效改善小空间声干涩，提高环境音质丰富度及立体感。1200*300*100</t>
  </si>
  <si>
    <t>块</t>
  </si>
  <si>
    <t>F300D</t>
  </si>
  <si>
    <t>卡拉OK系统设备安装调试及管理设计费</t>
  </si>
  <si>
    <t>悠达单机背景音乐系统</t>
  </si>
  <si>
    <t>（5寸屏）                 两分区主机</t>
  </si>
  <si>
    <t>采用LIUNX：自主开发，系统稳定
主动式蓝牙：无需切换音源，直接可以和电视手机等第三方设备进行联动播放。
双麦全场语音控制：正面双麦拾音，语音更灵敏，距离更远。
多主机自由组网同步分享：家庭聚会一键party,你想听的也能分享给她。
语音呼叫：多台主机间可以实现相互呼叫对讲，
个性化场景设置：自由设定全屋场景，实现管家式服务。
文本语音播报：编辑任意文字内容，一键全屋广播，可实现一键紧急触发。
智能联动控制：支持RS485和tcp/ip协议控制。
AP中继功能：联动悠达WiFi智能时可以做为WiFi中继使用
标准86底盒安装
如下图：与其他86底盒间距48MM
外观尺寸129mm*86mm*10mm</t>
  </si>
  <si>
    <t>Yodaar悠达I36</t>
  </si>
  <si>
    <t>吸顶扬声器</t>
  </si>
  <si>
    <t xml:space="preserve">25W,8欧
安装孔尺寸：  165mm </t>
  </si>
  <si>
    <t>音丽士     C550</t>
  </si>
  <si>
    <t>秋叶原    70芯</t>
  </si>
  <si>
    <t>背景音乐系统设备安装调试及管理设计费</t>
  </si>
  <si>
    <t>影音设备小计</t>
  </si>
  <si>
    <t>装饰工程</t>
  </si>
  <si>
    <t>五</t>
  </si>
  <si>
    <t>地下层石材改地砖地面</t>
  </si>
  <si>
    <t>石材楼面</t>
  </si>
  <si>
    <r>
      <rPr>
        <sz val="9"/>
        <rFont val="宋体"/>
        <charset val="134"/>
      </rPr>
      <t>1.ST-1 18mm厚米色天热石材
2.5mm厚DTA粘结砂浆层
3.15mm厚DSM15砂浆找平
4.部位：地下一层 地下二层 大面积地面
5.其它说明：铺贴、擦缝、切割、磨边、</t>
    </r>
    <r>
      <rPr>
        <sz val="9"/>
        <color rgb="FFFF0000"/>
        <rFont val="宋体"/>
        <charset val="134"/>
      </rPr>
      <t>结晶</t>
    </r>
    <r>
      <rPr>
        <sz val="9"/>
        <rFont val="宋体"/>
        <charset val="134"/>
      </rPr>
      <t>等一切铺贴步骤及所需之辅材，满足规范和设计图纸要求</t>
    </r>
  </si>
  <si>
    <t>m2</t>
  </si>
  <si>
    <t>白玉兰</t>
  </si>
  <si>
    <t>瓷砖楼面</t>
  </si>
  <si>
    <r>
      <rPr>
        <sz val="9"/>
        <rFont val="宋体"/>
        <charset val="134"/>
      </rPr>
      <t>1.CT-1 1800mm*900mm大理石瓷砖希腊灰石材光 
2.5mm厚DTA粘结砂浆层
3.15mm厚DSM15砂浆找平
4.部位：地下一层 地下二层 大面积地面
5.其它说明：铺贴、擦缝、切割、磨边、</t>
    </r>
    <r>
      <rPr>
        <sz val="9"/>
        <color rgb="FFFF0000"/>
        <rFont val="宋体"/>
        <charset val="134"/>
      </rPr>
      <t>美缝</t>
    </r>
    <r>
      <rPr>
        <sz val="9"/>
        <rFont val="宋体"/>
        <charset val="134"/>
      </rPr>
      <t>等一切铺贴步骤及所需之辅材，满足规范和设计图纸要求</t>
    </r>
  </si>
  <si>
    <t>LD</t>
  </si>
  <si>
    <t>地下层石材改地砖差价小计</t>
  </si>
  <si>
    <t>影音室地毯改地砖地面</t>
  </si>
  <si>
    <t>地毯楼面</t>
  </si>
  <si>
    <t>1.CPT.1 15厚选型地毯
2.5厚地毯防潮胶垫
3.20厚水泥砂浆自流平
3.部位：影音室
4.其它说明：铺贴、擦缝、切割、磨边、金属收边条等一切铺贴步骤及所需之辅材，满足规范和设计图纸要求</t>
  </si>
  <si>
    <t>钻石</t>
  </si>
  <si>
    <t>影音室地毯改地砖差价小计</t>
  </si>
  <si>
    <t>系统门窗</t>
  </si>
  <si>
    <t>原系统门窗</t>
  </si>
  <si>
    <t>60系列断桥铝合金固定窗</t>
  </si>
  <si>
    <t>1.60系列断桥铝合金固定窗      （
2.5LOW-E单银+9A+5+9A+5
3.门、窗框及玻璃制作、运输、安装
4.五金安装
5.部位：二层小孩房卫生间+主卧室阳台+孩子房阳台
6.具体施工技术要求根据现场工程要求施工，满足规范和设计图纸要求</t>
  </si>
  <si>
    <t>佛山系统门窗</t>
  </si>
  <si>
    <t>系统门窗调换规格及增加平开门</t>
  </si>
  <si>
    <t>一层客厅外开门系统门窗</t>
  </si>
  <si>
    <t xml:space="preserve">品牌：正好佳系统门窗       型材配置：壁厚2.0MM 无缝整焊一体       
五金配置：执手进口德国好博，丝吉利亚传动系统                    玻璃配置：5+20AR+5充氩气钢化玻璃
胶条配置： 三元乙丙汽车级别高密度发泡胶条
工艺技术： 销钉注胶工艺， 铸铝角码链接。更稳固，更安全。    
</t>
  </si>
  <si>
    <t>正好佳系统门窗</t>
  </si>
  <si>
    <t xml:space="preserve">一层客厅外开门五金
</t>
  </si>
  <si>
    <t>主卧、孩子房、卫生间80外开系统门窗</t>
  </si>
  <si>
    <t>主卧、孩子房、卫生间80外开系统门窗外开五金</t>
  </si>
  <si>
    <t>扇</t>
  </si>
  <si>
    <t>增配路易玻璃</t>
  </si>
  <si>
    <t>增配主卧、孩子房6mm玻璃</t>
  </si>
  <si>
    <t>门窗吊装</t>
  </si>
  <si>
    <t xml:space="preserve">吊机吊运
 </t>
  </si>
  <si>
    <t>采光天井</t>
  </si>
  <si>
    <t>遥控采光天窗</t>
  </si>
  <si>
    <t xml:space="preserve">品牌：博格阳光房                                                  阳光房型材配置：多腔体榫卯焊接结构，跨度可做10米，壁厚2.0，主承重3.0                                                                德高瓦配置：铝接板、阻燃板、竹胶板、SBS防水、铝板                型材配置：壁厚1.8MM主承重2.0MM                                    玻璃配置：5+15r+5充氩气钢化路易玻璃 </t>
  </si>
  <si>
    <t xml:space="preserve">博格阳光房 </t>
  </si>
  <si>
    <t>防水</t>
  </si>
  <si>
    <t>立面采光玻璃及框架</t>
  </si>
  <si>
    <t>电动天窗</t>
  </si>
  <si>
    <t>石材拆除</t>
  </si>
  <si>
    <t>人工费，不含石材恢复</t>
  </si>
  <si>
    <t>系统门窗、采光天井差价小计</t>
  </si>
  <si>
    <t>土建工程增项</t>
  </si>
  <si>
    <t>提污泵基坑扩大、开槽</t>
  </si>
  <si>
    <t>1、提污泵基坑扩大、开槽人工机械、修补防水</t>
  </si>
  <si>
    <t>健身房扶手底部地梁浇筑</t>
  </si>
  <si>
    <t>1、健身房扶手底部地梁浇筑（钢筋混凝土地梁）</t>
  </si>
  <si>
    <t>室外空调主机底座</t>
  </si>
  <si>
    <t>1、室外空调主机底座浇筑（钢筋混凝土）</t>
  </si>
  <si>
    <t>原楼梯踏步切割</t>
  </si>
  <si>
    <t>1、原楼梯踏步水锯切割</t>
  </si>
  <si>
    <t>土建增项小计</t>
  </si>
  <si>
    <t>玛格定制</t>
  </si>
  <si>
    <t>主卧更衣柜</t>
  </si>
  <si>
    <t>1.柜门：红橡实木开放漆
2.玻璃衣帽间进口铰链
3.铰链进口海蒂诗</t>
  </si>
  <si>
    <t>玛格</t>
  </si>
  <si>
    <t>橱柜</t>
  </si>
  <si>
    <t>F4星+维米尔高光                                                      如店面样品 高光UV</t>
  </si>
  <si>
    <t>餐边柜、酒柜</t>
  </si>
  <si>
    <t>1.柜门：红橡实木开放漆
2.铰链：玛格原厂标配阻尼</t>
  </si>
  <si>
    <t>橱柜配件</t>
  </si>
  <si>
    <t>悍高 高配</t>
  </si>
  <si>
    <t>餐边柜石材台面/上翻</t>
  </si>
  <si>
    <t>岩板 /20厚石英石</t>
  </si>
  <si>
    <t>玛格定制小计</t>
  </si>
  <si>
    <t>厨房金属门改为玛格实木门及护墙板</t>
  </si>
  <si>
    <t>成品玻璃金属门</t>
  </si>
  <si>
    <t>1.卫生间成品玻璃金属门 900*2400
2.成品门，专业厂家二次深化
3.具体施工技术要求根据现场工程要求施工，满足规范和设计图纸要求</t>
  </si>
  <si>
    <t>樘</t>
  </si>
  <si>
    <t>实木玻璃门及实木护墙板</t>
  </si>
  <si>
    <t>1、厨房实木玻璃门及实木护墙板</t>
  </si>
  <si>
    <t>厨房金属门改为玛格实木门及护墙板差价小计</t>
  </si>
  <si>
    <t>其他装饰项目</t>
  </si>
  <si>
    <t>瓷砖墙面（洗衣房增加面积）</t>
  </si>
  <si>
    <t>1.CT.1 大理石瓷砖600*1200
2.5mm厚DTA粘结砂浆层
3.15mm厚DSM15砂浆找平
4.部位：客卫墙面
5.其它说明：铺贴、擦缝、切割、磨边等一切铺贴步骤及所需之辅材，满足规范和设计图纸要求</t>
  </si>
  <si>
    <t>双层石膏板吊顶天棚（室外门厅、客厅、楼梯底部石膏板吊顶）</t>
  </si>
  <si>
    <t>1.钢筋混凝土楼板
2.膨胀螺栓,∅8钢筋吊杆,
3.承载龙骨LL-CS/60*27*1.2(轻型）间距900-1100mm
4.覆面龙骨LL-C/50*20*0.6(轻型）间距600*300
5.辅助龙骨LL-C/25*20*0.6(轻型）
6.双层9.5mm厚纸面石膏板
7.奶白色防水乳胶漆三遍（一底两面） 耐水腻子三遍 （分遍打磨）
8.部位：地下客卧、起居室、工人间、储藏间、影音室、吧台、酒窖、走道、健身房
9.包含吊顶上裁切开孔、形成灯口、进出风口、检修口及其它出口及额外处理、封边，包括并不限于上述所有施工步骤及所需之材料
10.具体施工技术要求根据现场工程要求施工，满足规范和设计图纸要求</t>
  </si>
  <si>
    <t>可耐福石膏板、多乐士乳胶漆</t>
  </si>
  <si>
    <t>石膏板墙面（地上层电视墙两侧及挑空区墙面木板基层石膏板蒙面）</t>
  </si>
  <si>
    <t>1.单层石膏板 白色防水乳胶漆三遍（一底两面） 耐水腻子三遍 （分遍打磨）
2.12mm阻燃板基层单层 木龙骨
3.其它说明：满足规范和设计图纸要求
4.部位：地下一层中空</t>
  </si>
  <si>
    <t>冲筋规方找平（保姆间、地上层电梯门墙面）</t>
  </si>
  <si>
    <t>1.白色乳胶漆三遍（一底两面） 耐水腻子三遍 （分遍打磨）满刮成品腻子两遍
2.具体施工技术要求根据现场工程要求施工，满足规范和设计图纸要求          3、轻质粉刷石膏冲筋抹灰</t>
  </si>
  <si>
    <t>多乐士乳胶漆</t>
  </si>
  <si>
    <t>异形PU线条（地上层电梯门墙面PU线条）</t>
  </si>
  <si>
    <t>1.墙面装饰成品异形PU线条
2.其它说明：满足规范和设计图纸要求</t>
  </si>
  <si>
    <t>m</t>
  </si>
  <si>
    <t>PU线条</t>
  </si>
  <si>
    <t>成品金属凹龛（主卧室增加）</t>
  </si>
  <si>
    <t>1.部位：小孩房卫生间
2.成品金属凹龛，专业厂家二次深化
3.尺寸：465*1400*180mm厚
4.具体施工技术要求根据现场工程要求施工，满足规范和设计图纸要求</t>
  </si>
  <si>
    <t>香槟色烤漆板墙面（楼梯间增加）</t>
  </si>
  <si>
    <t>1.WD.4 香槟色烤漆板 造型详见图纸
2..12mm阻燃板基层单层
3.其它说明：满足规范和设计图纸要求</t>
  </si>
  <si>
    <t>15mm宝源欧松板基层</t>
  </si>
  <si>
    <t>香槟色烤漆板墙面（负二层采光天井区梁体墙板）</t>
  </si>
  <si>
    <t>垭口成品门套（孩子房更衣间）</t>
  </si>
  <si>
    <t>1.垭口成品门套
2.木质门套
3.具体施工技术要求根据现场工程要求施工，满足规范和设计图纸要求</t>
  </si>
  <si>
    <t>电梯门套及装饰板</t>
  </si>
  <si>
    <t>垭口成品门套（主卧室大门洞）</t>
  </si>
  <si>
    <t>地下层护墙板、木门等改为木饰面</t>
  </si>
  <si>
    <t>地下层护墙板、木门等由混油工艺改为木饰面贴皮工艺</t>
  </si>
  <si>
    <t>多层实木贴皮烤漆</t>
  </si>
  <si>
    <t>健身房柜子加大</t>
  </si>
  <si>
    <t>1.尺寸：由1830增加为3050
2.成品衣柜，专业厂家二次深化设计</t>
  </si>
  <si>
    <t>健身房地面木地板增加面积（增加7.6平方）</t>
  </si>
  <si>
    <r>
      <rPr>
        <sz val="9"/>
        <rFont val="宋体"/>
        <charset val="134"/>
      </rPr>
      <t>1.WF.1  520*95*15mm（厚）
2.5厚木地板防潮胶垫
3.20</t>
    </r>
    <r>
      <rPr>
        <sz val="9"/>
        <rFont val="宋体"/>
        <charset val="134"/>
      </rPr>
      <t>厚水泥砂浆自流平
3.部位：健身房、客卧
4.其它说明：铺贴、擦缝、切割、磨边、金属收边条等一切铺贴步骤及所需之辅材，满足规范和设计图纸要求</t>
    </r>
  </si>
  <si>
    <t>大欧鱼骨拼</t>
  </si>
  <si>
    <t>石材窗台板（老人房、主卧、孩子房）</t>
  </si>
  <si>
    <t>1.ST.1 18mm厚米色天热石材
2.5mm厚DTA粘结砂浆层
3.15mm厚DSM15砂浆找平
4.部位：地下一层杂物间
5.其它说明：铺贴、擦缝、切割、磨边等一切铺贴步骤及所需之辅材，满足规范和设计图纸要求</t>
  </si>
  <si>
    <t>保姆间衣柜</t>
  </si>
  <si>
    <t>1.尺寸：800*2470
2.成品衣柜，专业厂家二次深化设计</t>
  </si>
  <si>
    <t>保姆间床头抽屉柜</t>
  </si>
  <si>
    <t>1.尺寸：800*600
2.成品衣柜，专业厂家二次深化设计</t>
  </si>
  <si>
    <t>保姆间榻榻米</t>
  </si>
  <si>
    <t>1.尺寸：1200*2100
2.成品衣柜，专业厂家二次深化设计</t>
  </si>
  <si>
    <t>墙面乳胶漆由多乐士改为美国百色熊</t>
  </si>
  <si>
    <t>美国百色熊</t>
  </si>
  <si>
    <t>窗户扇隐形纱窗</t>
  </si>
  <si>
    <t>1、隐形高透隐形纱窗</t>
  </si>
  <si>
    <t>外开门隐形纱窗</t>
  </si>
  <si>
    <t>健身房金属架</t>
  </si>
  <si>
    <t>1、金属制作电镀不锈钢</t>
  </si>
  <si>
    <t>孩子房吊式金属架</t>
  </si>
  <si>
    <t>窗帘</t>
  </si>
  <si>
    <t>客厅布帘</t>
  </si>
  <si>
    <t xml:space="preserve">业主选购
</t>
  </si>
  <si>
    <t>客厅纱帘</t>
  </si>
  <si>
    <t>茶室纱帘</t>
  </si>
  <si>
    <t>老人房布帘</t>
  </si>
  <si>
    <t>老人房里布</t>
  </si>
  <si>
    <t>老人房纱帘</t>
  </si>
  <si>
    <t>主卧室布帘</t>
  </si>
  <si>
    <t>主卧室里布</t>
  </si>
  <si>
    <t>主卧室花边</t>
  </si>
  <si>
    <t>主卧室纱帘</t>
  </si>
  <si>
    <t>孩子房布帘</t>
  </si>
  <si>
    <t>孩子房里布</t>
  </si>
  <si>
    <t>孩子房纱帘</t>
  </si>
  <si>
    <t>主卧卫生间</t>
  </si>
  <si>
    <t>香格里拉</t>
  </si>
  <si>
    <t>孩子房卫生间</t>
  </si>
  <si>
    <t>内置小百叶</t>
  </si>
  <si>
    <t>厨房</t>
  </si>
  <si>
    <t>高分子百叶</t>
  </si>
  <si>
    <t>客厅升降轨道</t>
  </si>
  <si>
    <t>电动遥控</t>
  </si>
  <si>
    <t>窗帘及轨道安装</t>
  </si>
  <si>
    <t>人工、机械</t>
  </si>
  <si>
    <t>窗帘小计</t>
  </si>
  <si>
    <t>合计</t>
  </si>
  <si>
    <t>价格清单（101叠拼别墅装饰工程）（取消部分）</t>
  </si>
  <si>
    <t>工程名称：101叠拼别墅工程--安装工程</t>
  </si>
  <si>
    <t>备 注
（品牌/厂家）</t>
  </si>
  <si>
    <t>样板间小计（元）</t>
  </si>
  <si>
    <t>给排水</t>
  </si>
  <si>
    <t>洗衣机+烘干机</t>
  </si>
  <si>
    <t>1.名称:洗衣机+烘干机
2.安装方式:详见图纸
3.其它说明:满足图纸、规范和设计要求</t>
  </si>
  <si>
    <t>西门子WT45UMD80W  WG52A108AW</t>
  </si>
  <si>
    <t>冰箱</t>
  </si>
  <si>
    <t>1.名称:冰箱
2.安装方式:详见图纸
3.其它说明:满足图纸、规范和设计要求</t>
  </si>
  <si>
    <t>西门子KA505691VC</t>
  </si>
  <si>
    <t>抽油烟机</t>
  </si>
  <si>
    <t>1.名称:抽油烟机
2.安装方式:详见图纸
3.其它说明:满足图纸、规范和设计要求</t>
  </si>
  <si>
    <t>方太CXW-258-EM18TS</t>
  </si>
  <si>
    <t>灶具</t>
  </si>
  <si>
    <t>1.名称:灶具
2.安装方式:详见图纸
3.其它说明:满足图纸、规范和设计要求</t>
  </si>
  <si>
    <t>方太JZT／T／R-01-TD7B</t>
  </si>
  <si>
    <t>洗碗机+厨余粉碎机</t>
  </si>
  <si>
    <r>
      <rPr>
        <sz val="10"/>
        <rFont val="宋体"/>
        <charset val="134"/>
      </rPr>
      <t>1.名称:洗碗机+</t>
    </r>
    <r>
      <rPr>
        <sz val="10"/>
        <color rgb="FFFF0000"/>
        <rFont val="宋体"/>
        <charset val="134"/>
      </rPr>
      <t>厨余粉碎机</t>
    </r>
    <r>
      <rPr>
        <sz val="10"/>
        <rFont val="宋体"/>
        <charset val="134"/>
      </rPr>
      <t xml:space="preserve">
2.安装方式:详见图纸
3.其它说明:满足图纸、规范和设计要求</t>
    </r>
  </si>
  <si>
    <t>方太JPCD11E-G1</t>
  </si>
  <si>
    <t>蒸烤箱</t>
  </si>
  <si>
    <t>1.名称:蒸烤箱
2.安装方式:详见图纸
3.其它说明:满足图纸、规范和设计要求</t>
  </si>
  <si>
    <t>方太ZK42-F2.i</t>
  </si>
  <si>
    <t>酒窖玻璃隔断门</t>
  </si>
  <si>
    <t>1.玻璃隔断门2.51*2.05
2.二次深化设计
3.部位：地下二层酒窖</t>
  </si>
  <si>
    <t>餐厅成品石膏造型</t>
  </si>
  <si>
    <r>
      <rPr>
        <sz val="10"/>
        <rFont val="宋体"/>
        <charset val="134"/>
      </rPr>
      <t>1.尺寸：</t>
    </r>
    <r>
      <rPr>
        <sz val="10"/>
        <color rgb="FFFF0000"/>
        <rFont val="宋体"/>
        <charset val="134"/>
      </rPr>
      <t>60</t>
    </r>
    <r>
      <rPr>
        <sz val="10"/>
        <color rgb="FFFF0000"/>
        <rFont val="Arial"/>
        <charset val="134"/>
      </rPr>
      <t>0*1800*300mm</t>
    </r>
    <r>
      <rPr>
        <sz val="10"/>
        <rFont val="Arial"/>
        <charset val="134"/>
      </rPr>
      <t xml:space="preserve">
2.</t>
    </r>
    <r>
      <rPr>
        <sz val="10"/>
        <rFont val="宋体"/>
        <charset val="134"/>
      </rPr>
      <t>部位：客餐厅立面图5 节点DS.13
3.具体施工技术要求根据现场工程要求施工，满足规范和设计图纸要求</t>
    </r>
  </si>
  <si>
    <t>合计（元）</t>
  </si>
  <si>
    <r>
      <rPr>
        <sz val="20"/>
        <rFont val="Arial"/>
        <charset val="134"/>
      </rPr>
      <t>5#</t>
    </r>
    <r>
      <rPr>
        <sz val="20"/>
        <rFont val="宋体"/>
        <charset val="134"/>
      </rPr>
      <t>楼门计算工程量</t>
    </r>
  </si>
  <si>
    <r>
      <rPr>
        <sz val="20"/>
        <rFont val="Arial"/>
        <charset val="134"/>
      </rPr>
      <t>2#</t>
    </r>
    <r>
      <rPr>
        <sz val="20"/>
        <rFont val="宋体"/>
        <charset val="134"/>
      </rPr>
      <t>楼门计算工程量</t>
    </r>
  </si>
  <si>
    <r>
      <rPr>
        <sz val="20"/>
        <rFont val="Arial"/>
        <charset val="134"/>
      </rPr>
      <t>7#</t>
    </r>
    <r>
      <rPr>
        <sz val="20"/>
        <rFont val="宋体"/>
        <charset val="134"/>
      </rPr>
      <t>楼门计算工程量</t>
    </r>
  </si>
  <si>
    <r>
      <rPr>
        <sz val="20"/>
        <rFont val="Arial"/>
        <charset val="134"/>
      </rPr>
      <t>8#</t>
    </r>
    <r>
      <rPr>
        <sz val="20"/>
        <rFont val="宋体"/>
        <charset val="134"/>
      </rPr>
      <t>楼门计算工程量</t>
    </r>
  </si>
  <si>
    <t>工程量</t>
  </si>
  <si>
    <t>理论重量</t>
  </si>
  <si>
    <t>柱子及墙面</t>
  </si>
  <si>
    <r>
      <rPr>
        <sz val="10"/>
        <rFont val="Arial"/>
        <charset val="134"/>
      </rPr>
      <t>300x300x20mm</t>
    </r>
    <r>
      <rPr>
        <sz val="10"/>
        <rFont val="宋体"/>
        <charset val="134"/>
      </rPr>
      <t>热浸镀锌后置埋件</t>
    </r>
    <r>
      <rPr>
        <sz val="10"/>
        <rFont val="Arial"/>
        <charset val="134"/>
      </rPr>
      <t xml:space="preserve">  M20</t>
    </r>
    <r>
      <rPr>
        <sz val="10"/>
        <rFont val="宋体"/>
        <charset val="134"/>
      </rPr>
      <t>不锈钢化学螺栓</t>
    </r>
  </si>
  <si>
    <r>
      <rPr>
        <sz val="10"/>
        <rFont val="Arial"/>
        <charset val="134"/>
      </rPr>
      <t>200*5</t>
    </r>
    <r>
      <rPr>
        <sz val="10"/>
        <rFont val="宋体"/>
        <charset val="134"/>
      </rPr>
      <t>热浸镀锌钢方管</t>
    </r>
  </si>
  <si>
    <r>
      <rPr>
        <sz val="10"/>
        <rFont val="Arial"/>
        <charset val="134"/>
      </rPr>
      <t>8#</t>
    </r>
    <r>
      <rPr>
        <sz val="10"/>
        <rFont val="宋体"/>
        <charset val="134"/>
      </rPr>
      <t>热浸镀锌槽钢</t>
    </r>
  </si>
  <si>
    <r>
      <rPr>
        <sz val="10"/>
        <rFont val="Arial"/>
        <charset val="134"/>
      </rPr>
      <t>L50x4</t>
    </r>
    <r>
      <rPr>
        <sz val="10"/>
        <rFont val="宋体"/>
        <charset val="134"/>
      </rPr>
      <t>热浸镀锌角钢</t>
    </r>
  </si>
  <si>
    <r>
      <rPr>
        <sz val="10"/>
        <rFont val="Arial"/>
        <charset val="134"/>
      </rPr>
      <t>10#</t>
    </r>
    <r>
      <rPr>
        <sz val="10"/>
        <rFont val="宋体"/>
        <charset val="134"/>
      </rPr>
      <t>热浸镀锌槽钢</t>
    </r>
  </si>
  <si>
    <r>
      <rPr>
        <sz val="10"/>
        <rFont val="Arial"/>
        <charset val="134"/>
      </rPr>
      <t xml:space="preserve">300x200x8mm
</t>
    </r>
    <r>
      <rPr>
        <sz val="10"/>
        <rFont val="宋体"/>
        <charset val="134"/>
      </rPr>
      <t>热浸镀锌后置埋件</t>
    </r>
    <r>
      <rPr>
        <sz val="10"/>
        <rFont val="Arial"/>
        <charset val="134"/>
      </rPr>
      <t xml:space="preserve">M12
</t>
    </r>
    <r>
      <rPr>
        <sz val="10"/>
        <rFont val="宋体"/>
        <charset val="134"/>
      </rPr>
      <t>特殊倒锥型化学锚栓</t>
    </r>
  </si>
  <si>
    <r>
      <rPr>
        <sz val="10"/>
        <rFont val="Arial"/>
        <charset val="134"/>
      </rPr>
      <t>L50x4</t>
    </r>
    <r>
      <rPr>
        <sz val="10"/>
        <rFont val="宋体"/>
        <charset val="134"/>
      </rPr>
      <t>热浸镀锌角钢（墙岩口）</t>
    </r>
  </si>
  <si>
    <r>
      <rPr>
        <sz val="10"/>
        <rFont val="宋体"/>
        <charset val="134"/>
      </rPr>
      <t>（</t>
    </r>
    <r>
      <rPr>
        <sz val="10"/>
        <rFont val="Arial"/>
        <charset val="134"/>
      </rPr>
      <t>1-1</t>
    </r>
    <r>
      <rPr>
        <sz val="10"/>
        <rFont val="宋体"/>
        <charset val="134"/>
      </rPr>
      <t>）</t>
    </r>
  </si>
  <si>
    <r>
      <rPr>
        <sz val="10"/>
        <rFont val="Arial"/>
        <charset val="134"/>
      </rPr>
      <t>300x200x8mm</t>
    </r>
    <r>
      <rPr>
        <sz val="10"/>
        <rFont val="宋体"/>
        <charset val="134"/>
      </rPr>
      <t>热浸镀锌后置埋件</t>
    </r>
    <r>
      <rPr>
        <sz val="10"/>
        <rFont val="Arial"/>
        <charset val="134"/>
      </rPr>
      <t xml:space="preserve">
M12</t>
    </r>
    <r>
      <rPr>
        <sz val="10"/>
        <rFont val="宋体"/>
        <charset val="134"/>
      </rPr>
      <t>不锈钢对穿螺栓</t>
    </r>
  </si>
  <si>
    <t>（2-2）</t>
  </si>
  <si>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不锈钢对穿螺栓</t>
    </r>
  </si>
  <si>
    <t>顶钢架</t>
  </si>
  <si>
    <r>
      <rPr>
        <sz val="10"/>
        <rFont val="Arial"/>
        <charset val="134"/>
      </rPr>
      <t xml:space="preserve">80*60*5mm
</t>
    </r>
    <r>
      <rPr>
        <sz val="10"/>
        <rFont val="宋体"/>
        <charset val="134"/>
      </rPr>
      <t>镀锌钢管</t>
    </r>
  </si>
  <si>
    <r>
      <rPr>
        <sz val="10"/>
        <rFont val="Arial"/>
        <charset val="134"/>
      </rPr>
      <t xml:space="preserve">L50X4
</t>
    </r>
    <r>
      <rPr>
        <sz val="10"/>
        <rFont val="宋体"/>
        <charset val="134"/>
      </rPr>
      <t>镀锌角钢</t>
    </r>
  </si>
  <si>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特殊倒锥型化学锚栓</t>
    </r>
  </si>
  <si>
    <r>
      <rPr>
        <sz val="10"/>
        <rFont val="Arial"/>
        <charset val="134"/>
      </rPr>
      <t>l20*3</t>
    </r>
    <r>
      <rPr>
        <sz val="10"/>
        <rFont val="宋体"/>
        <charset val="134"/>
      </rPr>
      <t>封边角钢</t>
    </r>
  </si>
  <si>
    <t>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</si>
</sst>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Red]0.00"/>
  </numFmts>
  <fonts count="49">
    <font>
      <sz val="10"/>
      <name val="Arial"/>
      <charset val="1"/>
    </font>
    <font>
      <sz val="20"/>
      <name val="Arial"/>
      <charset val="134"/>
    </font>
    <font>
      <sz val="10"/>
      <name val="宋体"/>
      <charset val="134"/>
    </font>
    <font>
      <sz val="10"/>
      <name val="宋体"/>
      <charset val="134"/>
      <scheme val="minor"/>
    </font>
    <font>
      <sz val="9"/>
      <name val="宋体"/>
      <charset val="134"/>
      <scheme val="minor"/>
    </font>
    <font>
      <b/>
      <sz val="20"/>
      <name val="宋体"/>
      <charset val="134"/>
    </font>
    <font>
      <sz val="9"/>
      <name val="宋体"/>
      <charset val="134"/>
    </font>
    <font>
      <b/>
      <sz val="10"/>
      <name val="宋体"/>
      <charset val="134"/>
    </font>
    <font>
      <sz val="10"/>
      <color rgb="FFFF0000"/>
      <name val="宋体"/>
      <charset val="134"/>
    </font>
    <font>
      <sz val="9"/>
      <color rgb="FFFF0000"/>
      <name val="宋体"/>
      <charset val="134"/>
    </font>
    <font>
      <sz val="9"/>
      <color theme="1"/>
      <name val="宋体"/>
      <charset val="134"/>
    </font>
    <font>
      <b/>
      <sz val="9"/>
      <name val="宋体"/>
      <charset val="134"/>
      <scheme val="minor"/>
    </font>
    <font>
      <b/>
      <sz val="9"/>
      <name val="宋体"/>
      <charset val="134"/>
    </font>
    <font>
      <sz val="10"/>
      <name val="宋体"/>
      <charset val="0"/>
    </font>
    <font>
      <sz val="10"/>
      <color rgb="FFFF0000"/>
      <name val="宋体"/>
      <charset val="1"/>
    </font>
    <font>
      <b/>
      <sz val="12"/>
      <name val="宋体"/>
      <charset val="134"/>
    </font>
    <font>
      <sz val="12"/>
      <name val="宋体"/>
      <charset val="134"/>
    </font>
    <font>
      <b/>
      <sz val="16"/>
      <name val="宋体"/>
      <charset val="134"/>
    </font>
    <font>
      <sz val="10"/>
      <color theme="1"/>
      <name val="微软雅黑"/>
      <charset val="134"/>
    </font>
    <font>
      <sz val="10"/>
      <name val="微软雅黑"/>
      <charset val="134"/>
    </font>
    <font>
      <b/>
      <sz val="16"/>
      <name val="楷体_GB2312"/>
      <charset val="134"/>
    </font>
    <font>
      <b/>
      <sz val="11"/>
      <name val="宋体"/>
      <charset val="134"/>
    </font>
    <font>
      <sz val="10.5"/>
      <name val="楷体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9"/>
      <color theme="1"/>
      <name val="宋体"/>
      <charset val="134"/>
      <scheme val="minor"/>
    </font>
    <font>
      <sz val="11"/>
      <color indexed="8"/>
      <name val="宋体"/>
      <charset val="134"/>
    </font>
    <font>
      <sz val="10"/>
      <name val="Arial"/>
      <charset val="134"/>
    </font>
    <font>
      <sz val="10"/>
      <color rgb="FFFF0000"/>
      <name val="Arial"/>
      <charset val="134"/>
    </font>
    <font>
      <sz val="20"/>
      <name val="宋体"/>
      <charset val="134"/>
    </font>
  </fonts>
  <fills count="38">
    <fill>
      <patternFill patternType="none"/>
    </fill>
    <fill>
      <patternFill patternType="gray125"/>
    </fill>
    <fill>
      <patternFill patternType="solid">
        <fgColor theme="2"/>
        <bgColor indexed="64"/>
      </patternFill>
    </fill>
    <fill>
      <patternFill patternType="solid">
        <fgColor theme="0" tint="-0.05"/>
        <bgColor indexed="64"/>
      </patternFill>
    </fill>
    <fill>
      <patternFill patternType="solid">
        <fgColor theme="3" tint="0.6"/>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4">
    <xf numFmtId="0" fontId="0" fillId="0" borderId="0"/>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7" borderId="6"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7" applyNumberFormat="0" applyFill="0" applyAlignment="0" applyProtection="0">
      <alignment vertical="center"/>
    </xf>
    <xf numFmtId="0" fontId="30" fillId="0" borderId="7" applyNumberFormat="0" applyFill="0" applyAlignment="0" applyProtection="0">
      <alignment vertical="center"/>
    </xf>
    <xf numFmtId="0" fontId="31" fillId="0" borderId="8" applyNumberFormat="0" applyFill="0" applyAlignment="0" applyProtection="0">
      <alignment vertical="center"/>
    </xf>
    <xf numFmtId="0" fontId="31" fillId="0" borderId="0" applyNumberFormat="0" applyFill="0" applyBorder="0" applyAlignment="0" applyProtection="0">
      <alignment vertical="center"/>
    </xf>
    <xf numFmtId="0" fontId="32" fillId="8" borderId="9" applyNumberFormat="0" applyAlignment="0" applyProtection="0">
      <alignment vertical="center"/>
    </xf>
    <xf numFmtId="0" fontId="33" fillId="9" borderId="10" applyNumberFormat="0" applyAlignment="0" applyProtection="0">
      <alignment vertical="center"/>
    </xf>
    <xf numFmtId="0" fontId="34" fillId="9" borderId="9" applyNumberFormat="0" applyAlignment="0" applyProtection="0">
      <alignment vertical="center"/>
    </xf>
    <xf numFmtId="0" fontId="35" fillId="10" borderId="11" applyNumberFormat="0" applyAlignment="0" applyProtection="0">
      <alignment vertical="center"/>
    </xf>
    <xf numFmtId="0" fontId="36" fillId="0" borderId="12" applyNumberFormat="0" applyFill="0" applyAlignment="0" applyProtection="0">
      <alignment vertical="center"/>
    </xf>
    <xf numFmtId="0" fontId="37" fillId="0" borderId="13" applyNumberFormat="0" applyFill="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2" fillId="35" borderId="0" applyNumberFormat="0" applyBorder="0" applyAlignment="0" applyProtection="0">
      <alignment vertical="center"/>
    </xf>
    <xf numFmtId="0" fontId="42" fillId="36" borderId="0" applyNumberFormat="0" applyBorder="0" applyAlignment="0" applyProtection="0">
      <alignment vertical="center"/>
    </xf>
    <xf numFmtId="0" fontId="41" fillId="37" borderId="0" applyNumberFormat="0" applyBorder="0" applyAlignment="0" applyProtection="0">
      <alignment vertical="center"/>
    </xf>
    <xf numFmtId="0" fontId="43" fillId="0" borderId="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4" fillId="0" borderId="0"/>
    <xf numFmtId="176" fontId="43" fillId="0" borderId="1">
      <alignment horizontal="right" vertical="center" wrapText="1"/>
    </xf>
    <xf numFmtId="176" fontId="43" fillId="0" borderId="1">
      <alignment horizontal="right" vertical="center" wrapText="1"/>
    </xf>
    <xf numFmtId="0" fontId="45" fillId="0" borderId="0">
      <alignment vertical="center"/>
    </xf>
    <xf numFmtId="0" fontId="16" fillId="0" borderId="0"/>
    <xf numFmtId="0" fontId="23" fillId="0" borderId="0">
      <alignment vertical="center"/>
    </xf>
    <xf numFmtId="0" fontId="45" fillId="0" borderId="0">
      <alignment vertical="center"/>
    </xf>
    <xf numFmtId="0" fontId="45"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6"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147">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2" fillId="0" borderId="1" xfId="0" applyFont="1" applyBorder="1"/>
    <xf numFmtId="0" fontId="0" fillId="0" borderId="1" xfId="0" applyBorder="1"/>
    <xf numFmtId="0" fontId="0" fillId="0" borderId="1" xfId="0" applyFont="1" applyFill="1" applyBorder="1"/>
    <xf numFmtId="0" fontId="2" fillId="0" borderId="1" xfId="0" applyFont="1" applyFill="1" applyBorder="1" applyAlignment="1">
      <alignment wrapText="1"/>
    </xf>
    <xf numFmtId="0" fontId="2" fillId="0" borderId="1" xfId="0" applyFont="1" applyFill="1" applyBorder="1"/>
    <xf numFmtId="0" fontId="3" fillId="0" borderId="0" xfId="0" applyFont="1" applyFill="1" applyBorder="1" applyAlignment="1">
      <alignment vertical="center"/>
    </xf>
    <xf numFmtId="0" fontId="4" fillId="0" borderId="0" xfId="54" applyFont="1" applyFill="1" applyBorder="1" applyAlignment="1">
      <alignment horizontal="left" vertical="center"/>
    </xf>
    <xf numFmtId="0" fontId="4" fillId="0" borderId="0" xfId="54" applyFont="1" applyFill="1" applyAlignment="1">
      <alignment horizontal="center"/>
    </xf>
    <xf numFmtId="0" fontId="4" fillId="0" borderId="0" xfId="54" applyFont="1" applyFill="1" applyAlignment="1">
      <alignment horizontal="left"/>
    </xf>
    <xf numFmtId="176" fontId="4" fillId="0" borderId="0" xfId="54" applyNumberFormat="1" applyFont="1" applyFill="1" applyAlignment="1">
      <alignment horizontal="center"/>
    </xf>
    <xf numFmtId="0" fontId="4" fillId="0" borderId="0" xfId="54" applyFont="1" applyFill="1" applyAlignment="1">
      <alignment horizontal="center" vertical="center" wrapText="1"/>
    </xf>
    <xf numFmtId="0" fontId="5" fillId="0" borderId="0" xfId="54" applyFont="1" applyFill="1" applyAlignment="1">
      <alignment horizontal="center" vertical="center" wrapText="1"/>
    </xf>
    <xf numFmtId="0" fontId="6" fillId="0" borderId="0" xfId="54" applyFont="1" applyFill="1" applyAlignment="1">
      <alignment horizontal="left" vertical="center" wrapText="1"/>
    </xf>
    <xf numFmtId="0" fontId="6" fillId="0" borderId="0" xfId="54" applyFont="1" applyFill="1" applyAlignment="1">
      <alignment horizontal="center" vertical="center" wrapText="1"/>
    </xf>
    <xf numFmtId="0" fontId="6" fillId="0" borderId="1" xfId="54" applyFont="1" applyFill="1" applyBorder="1" applyAlignment="1">
      <alignment horizontal="center" vertical="center" wrapText="1"/>
    </xf>
    <xf numFmtId="0" fontId="6" fillId="0" borderId="1" xfId="54"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0" fontId="7" fillId="0" borderId="1" xfId="54" applyFont="1" applyFill="1" applyBorder="1" applyAlignment="1">
      <alignment horizontal="left" vertical="center" wrapText="1"/>
    </xf>
    <xf numFmtId="0" fontId="7" fillId="0" borderId="1" xfId="54" applyFont="1" applyFill="1" applyBorder="1" applyAlignment="1">
      <alignment vertical="center" wrapText="1"/>
    </xf>
    <xf numFmtId="177" fontId="6" fillId="0" borderId="1" xfId="54" applyNumberFormat="1" applyFont="1" applyFill="1" applyBorder="1" applyAlignment="1">
      <alignment horizontal="center" vertical="center" wrapText="1"/>
    </xf>
    <xf numFmtId="176" fontId="6" fillId="2" borderId="1" xfId="54" applyNumberFormat="1" applyFont="1" applyFill="1" applyBorder="1" applyAlignment="1">
      <alignment horizontal="center" vertical="center" wrapText="1"/>
    </xf>
    <xf numFmtId="0" fontId="2" fillId="0" borderId="1" xfId="54"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54" applyFont="1" applyFill="1" applyBorder="1" applyAlignment="1">
      <alignment horizontal="left" vertical="center" wrapText="1"/>
    </xf>
    <xf numFmtId="0" fontId="8" fillId="0" borderId="1" xfId="54" applyFont="1" applyFill="1" applyBorder="1" applyAlignment="1">
      <alignment horizontal="left" vertical="center" wrapText="1"/>
    </xf>
    <xf numFmtId="176" fontId="2" fillId="0" borderId="1" xfId="54" applyNumberFormat="1" applyFont="1" applyFill="1" applyBorder="1" applyAlignment="1">
      <alignment horizontal="center" vertical="center" wrapText="1"/>
    </xf>
    <xf numFmtId="0" fontId="9" fillId="0" borderId="1" xfId="54" applyFont="1" applyFill="1" applyBorder="1" applyAlignment="1">
      <alignment horizontal="left" vertical="center" wrapText="1"/>
    </xf>
    <xf numFmtId="176" fontId="6" fillId="0" borderId="1" xfId="54"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1" xfId="54" applyFont="1" applyFill="1" applyBorder="1" applyAlignment="1">
      <alignment horizontal="center" vertical="center"/>
    </xf>
    <xf numFmtId="0" fontId="4" fillId="0" borderId="1" xfId="0" applyFont="1" applyFill="1" applyBorder="1" applyAlignment="1">
      <alignment horizontal="center" vertical="center"/>
    </xf>
    <xf numFmtId="176" fontId="5" fillId="0" borderId="0" xfId="54" applyNumberFormat="1" applyFont="1" applyFill="1" applyAlignment="1">
      <alignment horizontal="center" vertical="center" wrapText="1"/>
    </xf>
    <xf numFmtId="176" fontId="6" fillId="0" borderId="0" xfId="54" applyNumberFormat="1" applyFont="1" applyFill="1" applyAlignment="1">
      <alignment horizontal="center" vertical="center" wrapText="1"/>
    </xf>
    <xf numFmtId="9" fontId="6" fillId="0" borderId="1" xfId="3" applyNumberFormat="1" applyFont="1" applyFill="1" applyBorder="1" applyAlignment="1" applyProtection="1">
      <alignment horizontal="center" vertical="center" wrapText="1"/>
    </xf>
    <xf numFmtId="176" fontId="6" fillId="3" borderId="1" xfId="54"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 xfId="0" applyFont="1" applyFill="1" applyBorder="1" applyAlignment="1">
      <alignment vertical="center" wrapText="1"/>
    </xf>
    <xf numFmtId="0" fontId="10" fillId="0" borderId="1" xfId="0" applyFont="1" applyFill="1" applyBorder="1" applyAlignment="1">
      <alignment horizontal="center" vertical="center" wrapText="1"/>
    </xf>
    <xf numFmtId="176" fontId="9" fillId="0" borderId="1" xfId="54" applyNumberFormat="1" applyFont="1" applyFill="1" applyBorder="1" applyAlignment="1">
      <alignment horizontal="left" vertical="center" wrapText="1"/>
    </xf>
    <xf numFmtId="176" fontId="6" fillId="0" borderId="1" xfId="54" applyNumberFormat="1" applyFont="1" applyFill="1" applyBorder="1" applyAlignment="1">
      <alignment horizontal="left" vertical="center" wrapText="1"/>
    </xf>
    <xf numFmtId="176" fontId="11" fillId="4" borderId="1" xfId="54" applyNumberFormat="1" applyFont="1" applyFill="1" applyBorder="1" applyAlignment="1">
      <alignment horizontal="center" vertical="center"/>
    </xf>
    <xf numFmtId="0" fontId="4" fillId="0" borderId="1" xfId="54" applyFont="1" applyFill="1" applyBorder="1" applyAlignment="1">
      <alignment horizontal="center" vertical="center" wrapText="1"/>
    </xf>
    <xf numFmtId="0" fontId="3" fillId="0" borderId="0" xfId="54" applyFont="1" applyFill="1" applyBorder="1" applyAlignment="1"/>
    <xf numFmtId="0" fontId="3" fillId="0" borderId="0" xfId="54" applyFont="1" applyFill="1" applyAlignment="1"/>
    <xf numFmtId="0" fontId="3" fillId="0" borderId="0" xfId="0" applyFont="1" applyFill="1" applyAlignment="1">
      <alignment vertical="center"/>
    </xf>
    <xf numFmtId="0" fontId="0" fillId="0" borderId="0" xfId="0" applyFill="1" applyAlignment="1">
      <alignment horizontal="center"/>
    </xf>
    <xf numFmtId="0" fontId="0" fillId="0" borderId="0" xfId="0" applyFill="1" applyAlignment="1">
      <alignment horizontal="left"/>
    </xf>
    <xf numFmtId="0" fontId="0" fillId="2" borderId="0" xfId="0" applyFill="1" applyAlignment="1">
      <alignment horizontal="center"/>
    </xf>
    <xf numFmtId="0" fontId="0" fillId="3" borderId="0" xfId="0" applyFill="1" applyAlignment="1">
      <alignment horizontal="center"/>
    </xf>
    <xf numFmtId="0" fontId="5" fillId="0" borderId="0" xfId="54" applyFont="1" applyFill="1" applyAlignment="1">
      <alignment horizontal="left" vertical="center" wrapText="1"/>
    </xf>
    <xf numFmtId="0" fontId="5" fillId="2" borderId="0" xfId="54" applyFont="1" applyFill="1" applyAlignment="1">
      <alignment horizontal="center" vertical="center" wrapText="1"/>
    </xf>
    <xf numFmtId="0" fontId="6" fillId="2" borderId="0" xfId="54" applyFont="1" applyFill="1" applyAlignment="1">
      <alignment horizontal="center" vertical="center" wrapText="1"/>
    </xf>
    <xf numFmtId="0" fontId="6" fillId="2" borderId="1" xfId="54" applyFont="1" applyFill="1" applyBorder="1" applyAlignment="1">
      <alignment horizontal="center" vertical="center" wrapText="1"/>
    </xf>
    <xf numFmtId="0" fontId="12" fillId="5" borderId="1" xfId="54" applyFont="1" applyFill="1" applyBorder="1" applyAlignment="1">
      <alignment horizontal="left" vertical="center" wrapText="1"/>
    </xf>
    <xf numFmtId="0" fontId="6" fillId="5" borderId="1" xfId="54" applyFont="1" applyFill="1" applyBorder="1" applyAlignment="1">
      <alignment horizontal="left" vertical="center" wrapText="1"/>
    </xf>
    <xf numFmtId="0" fontId="6" fillId="6" borderId="1" xfId="54" applyFont="1" applyFill="1" applyBorder="1" applyAlignment="1">
      <alignment horizontal="left" vertical="center" wrapText="1"/>
    </xf>
    <xf numFmtId="176" fontId="6" fillId="6" borderId="1" xfId="54" applyNumberFormat="1" applyFont="1" applyFill="1" applyBorder="1" applyAlignment="1">
      <alignment horizontal="center" vertical="center" wrapText="1"/>
    </xf>
    <xf numFmtId="0" fontId="2" fillId="0" borderId="1" xfId="60" applyFont="1" applyFill="1" applyBorder="1" applyAlignment="1">
      <alignment horizontal="left" vertical="center" wrapText="1"/>
    </xf>
    <xf numFmtId="0" fontId="6" fillId="0" borderId="1" xfId="54" applyNumberFormat="1" applyFont="1" applyFill="1" applyBorder="1" applyAlignment="1">
      <alignment horizontal="center" vertical="center" wrapText="1"/>
    </xf>
    <xf numFmtId="0" fontId="7" fillId="0" borderId="1" xfId="60" applyFont="1" applyFill="1" applyBorder="1" applyAlignment="1">
      <alignment horizontal="center" vertical="center" wrapText="1"/>
    </xf>
    <xf numFmtId="0" fontId="2" fillId="0" borderId="1" xfId="60" applyFont="1" applyFill="1" applyBorder="1" applyAlignment="1">
      <alignment horizontal="center" vertical="center" wrapText="1"/>
    </xf>
    <xf numFmtId="0" fontId="13" fillId="0" borderId="1" xfId="0" applyFont="1" applyFill="1" applyBorder="1" applyAlignment="1">
      <alignment horizontal="left" vertical="center" wrapText="1"/>
    </xf>
    <xf numFmtId="0" fontId="5" fillId="3" borderId="0" xfId="54" applyFont="1" applyFill="1" applyAlignment="1">
      <alignment horizontal="center" vertical="center" wrapText="1"/>
    </xf>
    <xf numFmtId="0" fontId="6" fillId="3" borderId="0" xfId="54" applyFont="1" applyFill="1" applyAlignment="1">
      <alignment horizontal="center" vertical="center" wrapText="1"/>
    </xf>
    <xf numFmtId="0" fontId="6" fillId="3" borderId="1" xfId="54" applyFont="1" applyFill="1" applyBorder="1" applyAlignment="1">
      <alignment horizontal="center" vertical="center" wrapText="1"/>
    </xf>
    <xf numFmtId="176" fontId="6" fillId="6" borderId="1" xfId="54" applyNumberFormat="1" applyFont="1" applyFill="1" applyBorder="1" applyAlignment="1">
      <alignment horizontal="left" vertical="center" wrapText="1"/>
    </xf>
    <xf numFmtId="0" fontId="3" fillId="0" borderId="1" xfId="54" applyFont="1" applyFill="1" applyBorder="1" applyAlignment="1">
      <alignment vertical="center" wrapText="1"/>
    </xf>
    <xf numFmtId="176" fontId="12" fillId="4" borderId="1" xfId="54"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xf>
    <xf numFmtId="177" fontId="9" fillId="0" borderId="1" xfId="54" applyNumberFormat="1" applyFont="1" applyFill="1" applyBorder="1" applyAlignment="1">
      <alignment horizontal="center" vertical="center" wrapText="1"/>
    </xf>
    <xf numFmtId="176" fontId="9" fillId="2" borderId="1" xfId="54" applyNumberFormat="1" applyFont="1" applyFill="1" applyBorder="1" applyAlignment="1">
      <alignment horizontal="center" vertical="center" wrapText="1"/>
    </xf>
    <xf numFmtId="9" fontId="9" fillId="0" borderId="1" xfId="3" applyNumberFormat="1" applyFont="1" applyFill="1" applyBorder="1" applyAlignment="1" applyProtection="1">
      <alignment horizontal="center" vertical="center" wrapText="1"/>
    </xf>
    <xf numFmtId="176" fontId="9" fillId="0" borderId="1" xfId="54" applyNumberFormat="1" applyFont="1" applyFill="1" applyBorder="1" applyAlignment="1">
      <alignment horizontal="center" vertical="center" wrapText="1"/>
    </xf>
    <xf numFmtId="176" fontId="9" fillId="3" borderId="1" xfId="54"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1" xfId="54" applyFont="1" applyFill="1" applyBorder="1" applyAlignment="1">
      <alignment horizontal="center" vertical="center" wrapText="1"/>
    </xf>
    <xf numFmtId="0" fontId="12" fillId="0" borderId="1" xfId="54" applyNumberFormat="1" applyFont="1" applyFill="1" applyBorder="1" applyAlignment="1">
      <alignment horizontal="center" vertical="center" wrapText="1"/>
    </xf>
    <xf numFmtId="177" fontId="12" fillId="0" borderId="1" xfId="54" applyNumberFormat="1" applyFont="1" applyFill="1" applyBorder="1" applyAlignment="1">
      <alignment horizontal="center" vertical="center" wrapText="1"/>
    </xf>
    <xf numFmtId="176" fontId="12" fillId="2" borderId="1" xfId="54" applyNumberFormat="1" applyFont="1" applyFill="1" applyBorder="1" applyAlignment="1">
      <alignment horizontal="center" vertical="center" wrapText="1"/>
    </xf>
    <xf numFmtId="176" fontId="12" fillId="0" borderId="1" xfId="54"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15" fillId="0" borderId="1" xfId="0" applyFont="1" applyFill="1" applyBorder="1" applyAlignment="1">
      <alignment horizontal="center" vertical="center"/>
    </xf>
    <xf numFmtId="177" fontId="15" fillId="0" borderId="1" xfId="54" applyNumberFormat="1" applyFont="1" applyFill="1" applyBorder="1" applyAlignment="1">
      <alignment horizontal="center" vertical="center" wrapText="1"/>
    </xf>
    <xf numFmtId="176" fontId="15" fillId="2" borderId="1" xfId="54" applyNumberFormat="1" applyFont="1" applyFill="1" applyBorder="1" applyAlignment="1">
      <alignment horizontal="center" vertical="center" wrapText="1"/>
    </xf>
    <xf numFmtId="9" fontId="12" fillId="0" borderId="1" xfId="3" applyNumberFormat="1" applyFont="1" applyFill="1" applyBorder="1" applyAlignment="1" applyProtection="1">
      <alignment horizontal="center" vertical="center" wrapText="1"/>
    </xf>
    <xf numFmtId="176" fontId="12" fillId="3" borderId="1" xfId="54" applyNumberFormat="1" applyFont="1" applyFill="1" applyBorder="1" applyAlignment="1">
      <alignment horizontal="center" vertical="center" wrapText="1"/>
    </xf>
    <xf numFmtId="9" fontId="15" fillId="0" borderId="1" xfId="3" applyNumberFormat="1" applyFont="1" applyFill="1" applyBorder="1" applyAlignment="1" applyProtection="1">
      <alignment horizontal="center" vertical="center" wrapText="1"/>
    </xf>
    <xf numFmtId="176" fontId="15" fillId="0" borderId="1" xfId="54" applyNumberFormat="1" applyFont="1" applyFill="1" applyBorder="1" applyAlignment="1">
      <alignment horizontal="center" vertical="center" wrapText="1"/>
    </xf>
    <xf numFmtId="176" fontId="15" fillId="3" borderId="1" xfId="54" applyNumberFormat="1" applyFont="1" applyFill="1" applyBorder="1" applyAlignment="1">
      <alignment horizontal="center" vertical="center" wrapText="1"/>
    </xf>
    <xf numFmtId="0" fontId="0" fillId="0" borderId="1" xfId="0" applyFill="1" applyBorder="1" applyAlignment="1">
      <alignment horizontal="center" vertical="center"/>
    </xf>
    <xf numFmtId="0" fontId="16" fillId="0" borderId="0" xfId="0" applyFont="1" applyFill="1" applyBorder="1" applyAlignment="1">
      <alignment vertical="center"/>
    </xf>
    <xf numFmtId="0" fontId="16" fillId="0" borderId="0" xfId="0" applyFont="1" applyFill="1" applyAlignment="1">
      <alignment vertical="center"/>
    </xf>
    <xf numFmtId="0" fontId="17" fillId="0" borderId="0" xfId="0" applyFont="1" applyFill="1" applyAlignment="1">
      <alignment horizontal="center" vertical="center" wrapText="1"/>
    </xf>
    <xf numFmtId="0" fontId="18" fillId="0" borderId="1" xfId="0" applyFont="1" applyFill="1" applyBorder="1" applyAlignment="1">
      <alignment horizontal="center" vertical="center"/>
    </xf>
    <xf numFmtId="176" fontId="19"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178" fontId="7" fillId="0" borderId="1" xfId="0" applyNumberFormat="1" applyFont="1" applyFill="1" applyBorder="1" applyAlignment="1">
      <alignment horizontal="center" vertical="center" wrapText="1"/>
    </xf>
    <xf numFmtId="0" fontId="7" fillId="0" borderId="1" xfId="0" applyFont="1" applyFill="1" applyBorder="1" applyAlignment="1">
      <alignment vertical="center"/>
    </xf>
    <xf numFmtId="0" fontId="0" fillId="0" borderId="0" xfId="0" applyFont="1" applyFill="1" applyAlignment="1">
      <alignment horizontal="left" wrapText="1"/>
    </xf>
    <xf numFmtId="176" fontId="0" fillId="0" borderId="0" xfId="0" applyNumberFormat="1" applyFill="1"/>
    <xf numFmtId="0" fontId="16" fillId="5" borderId="0" xfId="0" applyFont="1" applyFill="1" applyBorder="1" applyAlignment="1">
      <alignment vertical="center"/>
    </xf>
    <xf numFmtId="0" fontId="16" fillId="0" borderId="0" xfId="0" applyNumberFormat="1" applyFont="1" applyFill="1" applyBorder="1" applyAlignment="1">
      <alignment vertical="center" wrapText="1"/>
    </xf>
    <xf numFmtId="0" fontId="20" fillId="0" borderId="0" xfId="0" applyFont="1" applyFill="1" applyAlignment="1">
      <alignment horizontal="center" vertical="center"/>
    </xf>
    <xf numFmtId="49" fontId="21" fillId="0" borderId="1" xfId="56" applyNumberFormat="1" applyFont="1" applyFill="1" applyBorder="1" applyAlignment="1" applyProtection="1">
      <alignment horizontal="left" vertical="center"/>
    </xf>
    <xf numFmtId="49" fontId="21" fillId="0" borderId="1" xfId="56" applyNumberFormat="1" applyFont="1" applyFill="1" applyBorder="1" applyAlignment="1" applyProtection="1">
      <alignment horizontal="left" vertical="center" wrapText="1"/>
    </xf>
    <xf numFmtId="0" fontId="20" fillId="0" borderId="0" xfId="0" applyFont="1" applyFill="1" applyBorder="1" applyAlignment="1">
      <alignment horizontal="center" vertical="center"/>
    </xf>
    <xf numFmtId="0" fontId="2" fillId="0" borderId="1" xfId="59" applyFont="1" applyFill="1" applyBorder="1" applyAlignment="1" applyProtection="1">
      <alignment horizontal="center" vertical="center"/>
    </xf>
    <xf numFmtId="0" fontId="2" fillId="0" borderId="1" xfId="56" applyNumberFormat="1" applyFont="1" applyFill="1" applyBorder="1" applyAlignment="1" applyProtection="1">
      <alignment horizontal="left" vertical="center" wrapText="1"/>
    </xf>
    <xf numFmtId="0" fontId="22" fillId="0" borderId="0" xfId="0" applyNumberFormat="1" applyFont="1" applyFill="1" applyBorder="1" applyAlignment="1">
      <alignment horizontal="justify" vertical="center" wrapText="1"/>
    </xf>
    <xf numFmtId="0" fontId="3" fillId="0" borderId="1" xfId="58" applyNumberFormat="1" applyFont="1" applyFill="1" applyBorder="1" applyAlignment="1" applyProtection="1">
      <alignment horizontal="justify" vertical="center" wrapText="1"/>
    </xf>
    <xf numFmtId="0" fontId="2" fillId="0" borderId="1" xfId="49" applyNumberFormat="1" applyFont="1" applyFill="1" applyBorder="1" applyAlignment="1" applyProtection="1">
      <alignment horizontal="center" vertical="center"/>
    </xf>
    <xf numFmtId="0" fontId="2" fillId="0" borderId="1" xfId="57" applyNumberFormat="1" applyFont="1" applyFill="1" applyBorder="1" applyAlignment="1" applyProtection="1">
      <alignment vertical="center" wrapText="1"/>
    </xf>
    <xf numFmtId="0" fontId="22" fillId="0" borderId="0" xfId="0" applyNumberFormat="1" applyFont="1" applyFill="1" applyBorder="1" applyAlignment="1">
      <alignment horizontal="left" vertical="center" wrapText="1"/>
    </xf>
    <xf numFmtId="0" fontId="2" fillId="0" borderId="1" xfId="55" applyNumberFormat="1" applyFont="1" applyFill="1" applyBorder="1" applyAlignment="1" applyProtection="1">
      <alignment horizontal="left" vertical="center" wrapText="1"/>
    </xf>
    <xf numFmtId="0" fontId="2" fillId="0" borderId="1" xfId="57" applyNumberFormat="1" applyFont="1" applyFill="1" applyBorder="1" applyAlignment="1" applyProtection="1">
      <alignment horizontal="left" vertical="center" wrapText="1"/>
    </xf>
    <xf numFmtId="0" fontId="8" fillId="0" borderId="1" xfId="49" applyNumberFormat="1" applyFont="1" applyFill="1" applyBorder="1" applyAlignment="1" applyProtection="1">
      <alignment horizontal="center" vertical="center"/>
    </xf>
    <xf numFmtId="0" fontId="8" fillId="0" borderId="1" xfId="56" applyNumberFormat="1" applyFont="1" applyFill="1" applyBorder="1" applyAlignment="1" applyProtection="1">
      <alignment horizontal="left" vertical="center" wrapText="1"/>
    </xf>
    <xf numFmtId="0" fontId="8" fillId="0" borderId="0" xfId="49" applyNumberFormat="1" applyFont="1" applyFill="1" applyAlignment="1" applyProtection="1">
      <alignment horizontal="center" vertical="center"/>
    </xf>
    <xf numFmtId="0" fontId="8" fillId="0" borderId="2" xfId="56" applyNumberFormat="1" applyFont="1" applyFill="1" applyBorder="1" applyAlignment="1" applyProtection="1">
      <alignment horizontal="left" vertical="center" wrapText="1"/>
    </xf>
    <xf numFmtId="0" fontId="8" fillId="0" borderId="3" xfId="49" applyNumberFormat="1" applyFont="1" applyFill="1" applyBorder="1" applyAlignment="1" applyProtection="1">
      <alignment horizontal="center" vertical="center"/>
    </xf>
    <xf numFmtId="0" fontId="8" fillId="0" borderId="4" xfId="49" applyNumberFormat="1" applyFont="1" applyFill="1" applyBorder="1" applyAlignment="1" applyProtection="1">
      <alignment horizontal="center" vertical="center"/>
    </xf>
    <xf numFmtId="0" fontId="8" fillId="0" borderId="2" xfId="49" applyNumberFormat="1" applyFont="1" applyFill="1" applyBorder="1" applyAlignment="1" applyProtection="1">
      <alignment horizontal="center" vertical="center"/>
    </xf>
    <xf numFmtId="0" fontId="8" fillId="0" borderId="5" xfId="56" applyNumberFormat="1" applyFont="1" applyFill="1" applyBorder="1" applyAlignment="1" applyProtection="1">
      <alignment horizontal="left" vertical="center" wrapText="1"/>
    </xf>
    <xf numFmtId="0" fontId="21" fillId="0" borderId="0" xfId="0" applyFont="1" applyFill="1" applyAlignment="1">
      <alignment horizontal="left" vertical="center"/>
    </xf>
  </cellXfs>
  <cellStyles count="8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餑_x005f_x005f_x005f_x000c_睨_x005f_x005f_x005f_x0017__x005f_x005f_x005f_x000d_帼U_x005f_x005f_x005f_x0001_0_x005f_x005f_x005f_x0005_j'_x005f_x005f_x005f_x0007__x005f_x005f_x005f_x0001__x005f_x005f_x005f_x0001_ 3" xfId="49"/>
    <cellStyle name="3232" xfId="50"/>
    <cellStyle name="3232 2" xfId="51"/>
    <cellStyle name="3232 2 2" xfId="52"/>
    <cellStyle name="3232 3" xfId="53"/>
    <cellStyle name="Normal" xfId="54"/>
    <cellStyle name="表体数字 3 2 6 5 3 2" xfId="55"/>
    <cellStyle name="表体数字 3 2 6 6" xfId="56"/>
    <cellStyle name="常规 10" xfId="57"/>
    <cellStyle name="常规 11" xfId="58"/>
    <cellStyle name="常规 144 4" xfId="59"/>
    <cellStyle name="常规 2" xfId="60"/>
    <cellStyle name="常规 2 2 2" xfId="61"/>
    <cellStyle name="常规 2 3" xfId="62"/>
    <cellStyle name="常规 3" xfId="63"/>
    <cellStyle name="常规 3 2" xfId="64"/>
    <cellStyle name="常规 3 2 2" xfId="65"/>
    <cellStyle name="常规 3 2 2 2" xfId="66"/>
    <cellStyle name="常规 3 2 3" xfId="67"/>
    <cellStyle name="常规 3 3" xfId="68"/>
    <cellStyle name="常规 3 3 2" xfId="69"/>
    <cellStyle name="常规 3 4" xfId="70"/>
    <cellStyle name="常规 4" xfId="71"/>
    <cellStyle name="常规 5" xfId="72"/>
    <cellStyle name="常规 5 2" xfId="73"/>
    <cellStyle name="常规 5 2 2" xfId="74"/>
    <cellStyle name="常规 5 3" xfId="75"/>
    <cellStyle name="常规 53" xfId="76"/>
    <cellStyle name="常规 53 2" xfId="77"/>
    <cellStyle name="常规 53 2 2" xfId="78"/>
    <cellStyle name="常规 53 3" xfId="79"/>
    <cellStyle name="常规 7" xfId="80"/>
    <cellStyle name="常规 7 2" xfId="81"/>
    <cellStyle name="常规 7 2 2" xfId="82"/>
    <cellStyle name="常规 7 3" xfId="83"/>
  </cellStyles>
  <tableStyles count="0" defaultTableStyle="Table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95250</xdr:rowOff>
    </xdr:from>
    <xdr:to>
      <xdr:col>9</xdr:col>
      <xdr:colOff>130810</xdr:colOff>
      <xdr:row>52</xdr:row>
      <xdr:rowOff>114300</xdr:rowOff>
    </xdr:to>
    <xdr:pic>
      <xdr:nvPicPr>
        <xdr:cNvPr id="2" name="图片 1" descr="821851390027901378"/>
        <xdr:cNvPicPr>
          <a:picLocks noChangeAspect="1"/>
        </xdr:cNvPicPr>
      </xdr:nvPicPr>
      <xdr:blipFill>
        <a:blip r:embed="rId1" cstate="print"/>
        <a:srcRect l="4340" t="7160" r="6759" b="1401"/>
        <a:stretch>
          <a:fillRect/>
        </a:stretch>
      </xdr:blipFill>
      <xdr:spPr>
        <a:xfrm>
          <a:off x="9525" y="95250"/>
          <a:ext cx="5761990" cy="873633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9</xdr:col>
      <xdr:colOff>3175</xdr:colOff>
      <xdr:row>48</xdr:row>
      <xdr:rowOff>9525</xdr:rowOff>
    </xdr:to>
    <xdr:pic>
      <xdr:nvPicPr>
        <xdr:cNvPr id="2" name="图片 1" descr="800960417329061281"/>
        <xdr:cNvPicPr>
          <a:picLocks noChangeAspect="1"/>
        </xdr:cNvPicPr>
      </xdr:nvPicPr>
      <xdr:blipFill>
        <a:blip r:embed="rId1"/>
        <a:srcRect l="3018" t="5142" r="3431" b="263"/>
        <a:stretch>
          <a:fillRect/>
        </a:stretch>
      </xdr:blipFill>
      <xdr:spPr>
        <a:xfrm>
          <a:off x="9525" y="9525"/>
          <a:ext cx="5634355" cy="80467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5" sqref="F15"/>
    </sheetView>
  </sheetViews>
  <sheetFormatPr defaultColWidth="9.13888888888889" defaultRowHeight="13.2"/>
  <sheetData/>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7"/>
  <sheetViews>
    <sheetView view="pageBreakPreview" zoomScaleNormal="100" topLeftCell="A12" workbookViewId="0">
      <selection activeCell="B20" sqref="B20"/>
    </sheetView>
  </sheetViews>
  <sheetFormatPr defaultColWidth="10" defaultRowHeight="15.6" outlineLevelCol="3"/>
  <cols>
    <col min="1" max="1" width="6.42592592592593" style="110" customWidth="1"/>
    <col min="2" max="2" width="93.8611111111111" style="110" customWidth="1"/>
    <col min="3" max="3" width="10.287037037037" style="110"/>
    <col min="4" max="4" width="10.287037037037" style="110" customWidth="1"/>
    <col min="5" max="31" width="10.287037037037" style="110"/>
    <col min="32" max="16384" width="10" style="110"/>
  </cols>
  <sheetData>
    <row r="1" ht="24.95" customHeight="1" spans="1:2">
      <c r="A1" s="125" t="s">
        <v>0</v>
      </c>
      <c r="B1" s="125"/>
    </row>
    <row r="2" s="124" customFormat="1" ht="17.1" customHeight="1" spans="1:4">
      <c r="A2" s="126" t="s">
        <v>1</v>
      </c>
      <c r="B2" s="127"/>
      <c r="D2" s="128"/>
    </row>
    <row r="3" s="124" customFormat="1" ht="23.1" customHeight="1" spans="1:4">
      <c r="A3" s="129">
        <v>1</v>
      </c>
      <c r="B3" s="130" t="s">
        <v>2</v>
      </c>
      <c r="D3" s="131"/>
    </row>
    <row r="4" s="124" customFormat="1" ht="72.95" customHeight="1" spans="1:4">
      <c r="A4" s="129">
        <v>2</v>
      </c>
      <c r="B4" s="132" t="s">
        <v>3</v>
      </c>
      <c r="D4" s="131"/>
    </row>
    <row r="5" s="124" customFormat="1" ht="17.1" customHeight="1" spans="1:4">
      <c r="A5" s="126" t="s">
        <v>4</v>
      </c>
      <c r="B5" s="127"/>
      <c r="D5" s="131"/>
    </row>
    <row r="6" s="124" customFormat="1" ht="71.1" customHeight="1" spans="1:4">
      <c r="A6" s="133">
        <v>1</v>
      </c>
      <c r="B6" s="134" t="s">
        <v>5</v>
      </c>
      <c r="D6" s="131"/>
    </row>
    <row r="7" s="124" customFormat="1" ht="57" customHeight="1" spans="1:4">
      <c r="A7" s="133">
        <v>2</v>
      </c>
      <c r="B7" s="134" t="s">
        <v>6</v>
      </c>
      <c r="D7" s="131"/>
    </row>
    <row r="8" s="124" customFormat="1" ht="45" customHeight="1" spans="1:4">
      <c r="A8" s="133">
        <v>3</v>
      </c>
      <c r="B8" s="134" t="s">
        <v>7</v>
      </c>
      <c r="D8" s="131"/>
    </row>
    <row r="9" s="124" customFormat="1" ht="66" customHeight="1" spans="1:4">
      <c r="A9" s="133">
        <v>4</v>
      </c>
      <c r="B9" s="134" t="s">
        <v>8</v>
      </c>
      <c r="D9" s="135"/>
    </row>
    <row r="10" ht="39" customHeight="1" spans="1:4">
      <c r="A10" s="133">
        <v>5</v>
      </c>
      <c r="B10" s="136" t="s">
        <v>9</v>
      </c>
      <c r="D10" s="135"/>
    </row>
    <row r="11" ht="54" customHeight="1" spans="1:4">
      <c r="A11" s="133">
        <v>6</v>
      </c>
      <c r="B11" s="137" t="s">
        <v>10</v>
      </c>
      <c r="D11" s="135"/>
    </row>
    <row r="12" ht="54" customHeight="1" spans="1:2">
      <c r="A12" s="133">
        <v>7</v>
      </c>
      <c r="B12" s="137" t="s">
        <v>11</v>
      </c>
    </row>
    <row r="13" ht="44.1" customHeight="1" spans="1:2">
      <c r="A13" s="133">
        <v>8</v>
      </c>
      <c r="B13" s="137" t="s">
        <v>12</v>
      </c>
    </row>
    <row r="14" ht="24" customHeight="1" spans="1:2">
      <c r="A14" s="133">
        <v>9</v>
      </c>
      <c r="B14" s="137" t="s">
        <v>13</v>
      </c>
    </row>
    <row r="15" ht="47.1" customHeight="1" spans="1:2">
      <c r="A15" s="133">
        <v>10</v>
      </c>
      <c r="B15" s="137" t="s">
        <v>14</v>
      </c>
    </row>
    <row r="16" ht="15.95" customHeight="1" spans="1:2">
      <c r="A16" s="126" t="s">
        <v>15</v>
      </c>
      <c r="B16" s="127"/>
    </row>
    <row r="17" ht="30.95" customHeight="1" spans="1:2">
      <c r="A17" s="133">
        <v>1</v>
      </c>
      <c r="B17" s="130" t="s">
        <v>16</v>
      </c>
    </row>
    <row r="18" ht="17" customHeight="1" spans="1:2">
      <c r="A18" s="133">
        <v>2</v>
      </c>
      <c r="B18" s="130" t="s">
        <v>17</v>
      </c>
    </row>
    <row r="19" ht="18" customHeight="1" spans="1:2">
      <c r="A19" s="126" t="s">
        <v>18</v>
      </c>
      <c r="B19" s="127"/>
    </row>
    <row r="20" ht="30" customHeight="1" spans="1:2">
      <c r="A20" s="138">
        <v>1</v>
      </c>
      <c r="B20" s="139" t="s">
        <v>19</v>
      </c>
    </row>
    <row r="21" ht="19" customHeight="1" spans="1:2">
      <c r="A21" s="140">
        <v>2</v>
      </c>
      <c r="B21" s="141" t="s">
        <v>20</v>
      </c>
    </row>
    <row r="22" ht="22" customHeight="1" spans="1:2">
      <c r="A22" s="142">
        <v>3</v>
      </c>
      <c r="B22" s="141" t="s">
        <v>21</v>
      </c>
    </row>
    <row r="23" ht="22" customHeight="1" spans="1:2">
      <c r="A23" s="143">
        <v>4</v>
      </c>
      <c r="B23" s="141" t="s">
        <v>22</v>
      </c>
    </row>
    <row r="24" ht="18" customHeight="1" spans="1:2">
      <c r="A24" s="126" t="s">
        <v>23</v>
      </c>
      <c r="B24" s="127"/>
    </row>
    <row r="25" ht="22" customHeight="1" spans="1:2">
      <c r="A25" s="144">
        <v>1</v>
      </c>
      <c r="B25" s="145" t="s">
        <v>24</v>
      </c>
    </row>
    <row r="26" ht="23" customHeight="1" spans="1:2">
      <c r="A26" s="144">
        <v>2</v>
      </c>
      <c r="B26" s="145" t="s">
        <v>25</v>
      </c>
    </row>
    <row r="27" ht="20" customHeight="1" spans="1:2">
      <c r="A27" s="146" t="s">
        <v>26</v>
      </c>
      <c r="B27" s="146"/>
    </row>
  </sheetData>
  <mergeCells count="7">
    <mergeCell ref="A1:B1"/>
    <mergeCell ref="A2:B2"/>
    <mergeCell ref="A5:B5"/>
    <mergeCell ref="A16:B16"/>
    <mergeCell ref="A19:B19"/>
    <mergeCell ref="A24:B24"/>
    <mergeCell ref="A27:B27"/>
  </mergeCells>
  <printOptions horizontalCentered="1"/>
  <pageMargins left="0.196527777777778" right="0.196527777777778" top="0.590277777777778" bottom="0.590277777777778" header="0.5" footer="0.5"/>
  <pageSetup paperSize="9"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view="pageBreakPreview" zoomScaleNormal="100" workbookViewId="0">
      <selection activeCell="E11" sqref="E11"/>
    </sheetView>
  </sheetViews>
  <sheetFormatPr defaultColWidth="8.86111111111111" defaultRowHeight="13.2"/>
  <cols>
    <col min="1" max="1" width="8.86111111111111" style="4"/>
    <col min="2" max="2" width="20.5740740740741" style="59" customWidth="1"/>
    <col min="3" max="3" width="8.13888888888889" style="59" customWidth="1"/>
    <col min="4" max="4" width="20.4259259259259" style="4" customWidth="1"/>
    <col min="5" max="5" width="26.287037037037" style="4" customWidth="1"/>
    <col min="6" max="6" width="8.86111111111111" style="4"/>
    <col min="7" max="9" width="14.5740740740741" style="4"/>
    <col min="10" max="10" width="17.712962962963" style="4" customWidth="1"/>
    <col min="11" max="12" width="8.86111111111111" style="4"/>
    <col min="13" max="13" width="14.5740740740741" style="4"/>
    <col min="14" max="16384" width="8.86111111111111" style="4"/>
  </cols>
  <sheetData>
    <row r="1" s="110" customFormat="1" ht="48" customHeight="1" spans="1:5">
      <c r="A1" s="112" t="s">
        <v>27</v>
      </c>
      <c r="B1" s="112"/>
      <c r="C1" s="112"/>
      <c r="D1" s="112"/>
      <c r="E1" s="112"/>
    </row>
    <row r="2" s="110" customFormat="1" ht="30" customHeight="1" spans="1:5">
      <c r="A2" s="113" t="s">
        <v>28</v>
      </c>
      <c r="B2" s="113" t="s">
        <v>29</v>
      </c>
      <c r="C2" s="113" t="s">
        <v>30</v>
      </c>
      <c r="D2" s="114" t="s">
        <v>31</v>
      </c>
      <c r="E2" s="115" t="s">
        <v>32</v>
      </c>
    </row>
    <row r="3" s="110" customFormat="1" ht="30" customHeight="1" spans="1:10">
      <c r="A3" s="35" t="s">
        <v>33</v>
      </c>
      <c r="B3" s="35" t="s">
        <v>34</v>
      </c>
      <c r="C3" s="116" t="s">
        <v>35</v>
      </c>
      <c r="D3" s="114">
        <f>'02、装饰工程变更'!N191</f>
        <v>663829.92294522</v>
      </c>
      <c r="E3" s="117"/>
      <c r="I3" s="123"/>
      <c r="J3" s="123"/>
    </row>
    <row r="4" s="110" customFormat="1" ht="30" customHeight="1" spans="1:5">
      <c r="A4" s="35" t="s">
        <v>36</v>
      </c>
      <c r="B4" s="35" t="s">
        <v>37</v>
      </c>
      <c r="C4" s="116" t="s">
        <v>35</v>
      </c>
      <c r="D4" s="114">
        <f>'02、取消工程'!N16</f>
        <v>52921.68</v>
      </c>
      <c r="E4" s="118"/>
    </row>
    <row r="5" s="111" customFormat="1" ht="33" customHeight="1" spans="1:5">
      <c r="A5" s="35" t="s">
        <v>31</v>
      </c>
      <c r="B5" s="35"/>
      <c r="C5" s="35"/>
      <c r="D5" s="119">
        <f>D3-D4</f>
        <v>610908.24294522</v>
      </c>
      <c r="E5" s="120"/>
    </row>
    <row r="6" customFormat="1" ht="36" customHeight="1" spans="1:5">
      <c r="A6" s="121" t="s">
        <v>38</v>
      </c>
      <c r="B6" s="60"/>
      <c r="C6" s="60"/>
      <c r="D6" s="60"/>
      <c r="E6" s="60"/>
    </row>
    <row r="8" spans="4:4">
      <c r="D8" s="122">
        <f>D5/1.09</f>
        <v>560466.277931394</v>
      </c>
    </row>
    <row r="9" spans="4:4">
      <c r="D9" s="4">
        <v>560466.28</v>
      </c>
    </row>
    <row r="10" spans="4:4">
      <c r="D10" s="122">
        <f>D5-D9</f>
        <v>50441.9629452199</v>
      </c>
    </row>
    <row r="11" spans="4:4">
      <c r="D11" s="4">
        <v>50441.96</v>
      </c>
    </row>
  </sheetData>
  <mergeCells count="3">
    <mergeCell ref="A1:E1"/>
    <mergeCell ref="A5:B5"/>
    <mergeCell ref="A6:E6"/>
  </mergeCells>
  <pageMargins left="0.751388888888889" right="0.751388888888889" top="1" bottom="1" header="0.5" footer="0.5"/>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5" sqref="F15"/>
    </sheetView>
  </sheetViews>
  <sheetFormatPr defaultColWidth="9.13888888888889" defaultRowHeight="13.2"/>
  <sheetData/>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91"/>
  <sheetViews>
    <sheetView view="pageBreakPreview" zoomScale="90" zoomScaleNormal="100" workbookViewId="0">
      <pane ySplit="5" topLeftCell="A50" activePane="bottomLeft" state="frozen"/>
      <selection/>
      <selection pane="bottomLeft" activeCell="N191" sqref="N191"/>
    </sheetView>
  </sheetViews>
  <sheetFormatPr defaultColWidth="9.13888888888889" defaultRowHeight="13.2"/>
  <cols>
    <col min="1" max="1" width="6.42592592592593" style="59" customWidth="1"/>
    <col min="2" max="2" width="17.7777777777778" style="60" customWidth="1"/>
    <col min="3" max="3" width="58.3888888888889" style="4" customWidth="1"/>
    <col min="4" max="4" width="5.13888888888889" style="4" customWidth="1"/>
    <col min="5" max="6" width="9.13888888888889" style="59"/>
    <col min="7" max="7" width="12.712962962963" style="61" customWidth="1"/>
    <col min="8" max="8" width="9.44444444444444" style="59"/>
    <col min="9" max="9" width="12.4259259259259" style="59" customWidth="1"/>
    <col min="10" max="10" width="12.287037037037" style="59" customWidth="1"/>
    <col min="11" max="11" width="13.8611111111111" style="59" customWidth="1"/>
    <col min="12" max="12" width="14.8611111111111" style="59" customWidth="1"/>
    <col min="13" max="13" width="10.1388888888889" style="62"/>
    <col min="14" max="14" width="15.6759259259259" style="4" customWidth="1"/>
    <col min="15" max="15" width="12.4444444444444" style="4"/>
    <col min="16" max="19" width="9.86111111111111" style="4" customWidth="1"/>
    <col min="20" max="16384" width="9.13888888888889" style="4"/>
  </cols>
  <sheetData>
    <row r="1" ht="37" customHeight="1" spans="1:15">
      <c r="A1" s="24" t="s">
        <v>39</v>
      </c>
      <c r="B1" s="63"/>
      <c r="C1" s="24"/>
      <c r="D1" s="24"/>
      <c r="E1" s="44"/>
      <c r="F1" s="24"/>
      <c r="G1" s="64"/>
      <c r="H1" s="24"/>
      <c r="I1" s="24"/>
      <c r="J1" s="24"/>
      <c r="K1" s="24"/>
      <c r="L1" s="24"/>
      <c r="M1" s="76"/>
      <c r="N1" s="24"/>
      <c r="O1" s="24"/>
    </row>
    <row r="2" ht="20" customHeight="1" spans="1:15">
      <c r="A2" s="25" t="s">
        <v>40</v>
      </c>
      <c r="B2" s="25"/>
      <c r="C2" s="25"/>
      <c r="D2" s="25"/>
      <c r="E2" s="45"/>
      <c r="F2" s="26"/>
      <c r="G2" s="65"/>
      <c r="H2" s="26"/>
      <c r="I2" s="26"/>
      <c r="J2" s="26"/>
      <c r="K2" s="26"/>
      <c r="L2" s="26"/>
      <c r="M2" s="77"/>
      <c r="N2" s="25"/>
      <c r="O2" s="25"/>
    </row>
    <row r="3" spans="1:15">
      <c r="A3" s="27" t="s">
        <v>41</v>
      </c>
      <c r="B3" s="27" t="s">
        <v>42</v>
      </c>
      <c r="C3" s="28" t="s">
        <v>43</v>
      </c>
      <c r="D3" s="28" t="s">
        <v>30</v>
      </c>
      <c r="E3" s="40" t="s">
        <v>44</v>
      </c>
      <c r="F3" s="27" t="s">
        <v>45</v>
      </c>
      <c r="G3" s="66"/>
      <c r="H3" s="27"/>
      <c r="I3" s="27"/>
      <c r="J3" s="27"/>
      <c r="K3" s="27"/>
      <c r="L3" s="27"/>
      <c r="M3" s="78" t="s">
        <v>46</v>
      </c>
      <c r="N3" s="28" t="s">
        <v>47</v>
      </c>
      <c r="O3" s="28" t="s">
        <v>48</v>
      </c>
    </row>
    <row r="4" ht="21.6" spans="1:15">
      <c r="A4" s="27"/>
      <c r="B4" s="27"/>
      <c r="C4" s="28"/>
      <c r="D4" s="28"/>
      <c r="E4" s="40"/>
      <c r="F4" s="27" t="s">
        <v>49</v>
      </c>
      <c r="G4" s="66" t="s">
        <v>50</v>
      </c>
      <c r="H4" s="27" t="s">
        <v>51</v>
      </c>
      <c r="I4" s="27" t="s">
        <v>52</v>
      </c>
      <c r="J4" s="27" t="s">
        <v>53</v>
      </c>
      <c r="K4" s="27" t="s">
        <v>54</v>
      </c>
      <c r="L4" s="27" t="s">
        <v>55</v>
      </c>
      <c r="M4" s="78"/>
      <c r="N4" s="28"/>
      <c r="O4" s="28"/>
    </row>
    <row r="5" ht="13" customHeight="1" spans="1:15">
      <c r="A5" s="27"/>
      <c r="B5" s="27"/>
      <c r="C5" s="28"/>
      <c r="D5" s="28"/>
      <c r="E5" s="40"/>
      <c r="F5" s="27"/>
      <c r="G5" s="66" t="s">
        <v>56</v>
      </c>
      <c r="H5" s="27" t="s">
        <v>57</v>
      </c>
      <c r="I5" s="27" t="s">
        <v>58</v>
      </c>
      <c r="J5" s="27"/>
      <c r="K5" s="46">
        <v>0.02</v>
      </c>
      <c r="L5" s="46">
        <v>0.09</v>
      </c>
      <c r="M5" s="78"/>
      <c r="N5" s="40"/>
      <c r="O5" s="28"/>
    </row>
    <row r="6" customFormat="1" ht="36" customHeight="1" spans="1:15">
      <c r="A6" s="27" t="s">
        <v>33</v>
      </c>
      <c r="B6" s="67" t="s">
        <v>59</v>
      </c>
      <c r="C6" s="68"/>
      <c r="D6" s="69"/>
      <c r="E6" s="70"/>
      <c r="F6" s="32"/>
      <c r="G6" s="33"/>
      <c r="H6" s="32"/>
      <c r="I6" s="46"/>
      <c r="J6" s="40"/>
      <c r="K6" s="40"/>
      <c r="L6" s="40"/>
      <c r="M6" s="47"/>
      <c r="N6" s="40"/>
      <c r="O6" s="79"/>
    </row>
    <row r="7" customFormat="1" ht="53" customHeight="1" spans="1:17">
      <c r="A7" s="27">
        <v>1</v>
      </c>
      <c r="B7" s="28" t="s">
        <v>60</v>
      </c>
      <c r="C7" s="36" t="s">
        <v>61</v>
      </c>
      <c r="D7" s="28" t="s">
        <v>62</v>
      </c>
      <c r="E7" s="40">
        <v>1</v>
      </c>
      <c r="F7" s="32">
        <v>0</v>
      </c>
      <c r="G7" s="33">
        <f t="shared" ref="G6:G16" si="0">H7*(1+I7)</f>
        <v>1000</v>
      </c>
      <c r="H7" s="32">
        <v>1000</v>
      </c>
      <c r="I7" s="46">
        <v>0</v>
      </c>
      <c r="J7" s="40">
        <v>0</v>
      </c>
      <c r="K7" s="40">
        <v>0</v>
      </c>
      <c r="L7" s="40">
        <v>0</v>
      </c>
      <c r="M7" s="47">
        <f t="shared" ref="M6:M16" si="1">F7+G7+J7+K7+L7</f>
        <v>1000</v>
      </c>
      <c r="N7" s="40">
        <f t="shared" ref="N6:N16" si="2">E7*M7</f>
        <v>1000</v>
      </c>
      <c r="O7" s="52" t="s">
        <v>63</v>
      </c>
      <c r="Q7" s="4"/>
    </row>
    <row r="8" customFormat="1" ht="59" customHeight="1" spans="1:15">
      <c r="A8" s="27">
        <v>2</v>
      </c>
      <c r="B8" s="28" t="s">
        <v>64</v>
      </c>
      <c r="C8" s="28" t="s">
        <v>65</v>
      </c>
      <c r="D8" s="28" t="s">
        <v>62</v>
      </c>
      <c r="E8" s="40">
        <v>1</v>
      </c>
      <c r="F8" s="32">
        <v>900</v>
      </c>
      <c r="G8" s="33">
        <f t="shared" si="0"/>
        <v>1800</v>
      </c>
      <c r="H8" s="32">
        <v>1800</v>
      </c>
      <c r="I8" s="46">
        <v>0</v>
      </c>
      <c r="J8" s="40">
        <v>100</v>
      </c>
      <c r="K8" s="40">
        <v>0</v>
      </c>
      <c r="L8" s="40">
        <v>0</v>
      </c>
      <c r="M8" s="47">
        <f t="shared" si="1"/>
        <v>2800</v>
      </c>
      <c r="N8" s="40">
        <f t="shared" si="2"/>
        <v>2800</v>
      </c>
      <c r="O8" s="52"/>
    </row>
    <row r="9" customFormat="1" ht="77" customHeight="1" spans="1:15">
      <c r="A9" s="27">
        <v>3</v>
      </c>
      <c r="B9" s="28" t="s">
        <v>66</v>
      </c>
      <c r="C9" s="28" t="s">
        <v>67</v>
      </c>
      <c r="D9" s="28" t="s">
        <v>62</v>
      </c>
      <c r="E9" s="40">
        <v>1</v>
      </c>
      <c r="F9" s="32">
        <v>0</v>
      </c>
      <c r="G9" s="33">
        <f t="shared" si="0"/>
        <v>2500</v>
      </c>
      <c r="H9" s="32">
        <v>2500</v>
      </c>
      <c r="I9" s="46">
        <v>0</v>
      </c>
      <c r="J9" s="40">
        <v>0</v>
      </c>
      <c r="K9" s="40">
        <v>0</v>
      </c>
      <c r="L9" s="40">
        <v>0</v>
      </c>
      <c r="M9" s="47">
        <f t="shared" si="1"/>
        <v>2500</v>
      </c>
      <c r="N9" s="40">
        <f t="shared" si="2"/>
        <v>2500</v>
      </c>
      <c r="O9" s="52" t="s">
        <v>68</v>
      </c>
    </row>
    <row r="10" customFormat="1" ht="77" customHeight="1" spans="1:15">
      <c r="A10" s="27">
        <v>4</v>
      </c>
      <c r="B10" s="28" t="s">
        <v>69</v>
      </c>
      <c r="C10" s="28" t="s">
        <v>70</v>
      </c>
      <c r="D10" s="28" t="s">
        <v>62</v>
      </c>
      <c r="E10" s="40">
        <v>1</v>
      </c>
      <c r="F10" s="32">
        <v>3000</v>
      </c>
      <c r="G10" s="33">
        <f t="shared" si="0"/>
        <v>15000</v>
      </c>
      <c r="H10" s="32">
        <v>15000</v>
      </c>
      <c r="I10" s="46">
        <v>0</v>
      </c>
      <c r="J10" s="40">
        <v>3000</v>
      </c>
      <c r="K10" s="40">
        <f>(F10+G10+J10)*K5</f>
        <v>420</v>
      </c>
      <c r="L10" s="40">
        <f>(F10+G10+J10+K10)*L5</f>
        <v>1927.8</v>
      </c>
      <c r="M10" s="47">
        <f t="shared" si="1"/>
        <v>23347.8</v>
      </c>
      <c r="N10" s="40">
        <f t="shared" si="2"/>
        <v>23347.8</v>
      </c>
      <c r="O10" s="52" t="s">
        <v>71</v>
      </c>
    </row>
    <row r="11" s="56" customFormat="1" ht="62" customHeight="1" spans="1:15">
      <c r="A11" s="27">
        <v>5</v>
      </c>
      <c r="B11" s="36" t="s">
        <v>72</v>
      </c>
      <c r="C11" s="71" t="s">
        <v>73</v>
      </c>
      <c r="D11" s="34" t="s">
        <v>74</v>
      </c>
      <c r="E11" s="72">
        <v>14</v>
      </c>
      <c r="F11" s="32">
        <v>5</v>
      </c>
      <c r="G11" s="33">
        <f t="shared" si="0"/>
        <v>120</v>
      </c>
      <c r="H11" s="32">
        <v>120</v>
      </c>
      <c r="I11" s="46">
        <v>0</v>
      </c>
      <c r="J11" s="40">
        <v>0</v>
      </c>
      <c r="K11" s="40">
        <f>(F11+G11+J11)*K5</f>
        <v>2.5</v>
      </c>
      <c r="L11" s="40">
        <f>(F11+G11+J11+K11)*L5</f>
        <v>11.475</v>
      </c>
      <c r="M11" s="47">
        <f t="shared" si="1"/>
        <v>138.975</v>
      </c>
      <c r="N11" s="40">
        <f t="shared" si="2"/>
        <v>1945.65</v>
      </c>
      <c r="O11" s="80" t="s">
        <v>75</v>
      </c>
    </row>
    <row r="12" s="57" customFormat="1" ht="38" customHeight="1" spans="1:15">
      <c r="A12" s="34"/>
      <c r="B12" s="36"/>
      <c r="C12" s="73" t="s">
        <v>76</v>
      </c>
      <c r="D12" s="34"/>
      <c r="E12" s="72"/>
      <c r="F12" s="32"/>
      <c r="G12" s="33"/>
      <c r="H12" s="32"/>
      <c r="I12" s="46"/>
      <c r="J12" s="40"/>
      <c r="K12" s="40"/>
      <c r="L12" s="40"/>
      <c r="M12" s="47"/>
      <c r="N12" s="81">
        <f>SUM(N7:N11)</f>
        <v>31593.45</v>
      </c>
      <c r="O12" s="80"/>
    </row>
    <row r="13" customFormat="1" ht="36" customHeight="1" spans="1:15">
      <c r="A13" s="27" t="s">
        <v>36</v>
      </c>
      <c r="B13" s="67" t="s">
        <v>77</v>
      </c>
      <c r="C13" s="68"/>
      <c r="D13" s="69"/>
      <c r="E13" s="70"/>
      <c r="F13" s="32"/>
      <c r="G13" s="33"/>
      <c r="H13" s="32"/>
      <c r="I13" s="46"/>
      <c r="J13" s="40"/>
      <c r="K13" s="40"/>
      <c r="L13" s="40"/>
      <c r="M13" s="47"/>
      <c r="N13" s="40"/>
      <c r="O13" s="79"/>
    </row>
    <row r="14" customFormat="1" ht="36" customHeight="1" spans="1:15">
      <c r="A14" s="27"/>
      <c r="B14" s="67" t="s">
        <v>78</v>
      </c>
      <c r="C14" s="68"/>
      <c r="D14" s="69"/>
      <c r="E14" s="70"/>
      <c r="F14" s="32"/>
      <c r="G14" s="33"/>
      <c r="H14" s="32"/>
      <c r="I14" s="46"/>
      <c r="J14" s="40"/>
      <c r="K14" s="40"/>
      <c r="L14" s="40"/>
      <c r="M14" s="47"/>
      <c r="N14" s="40"/>
      <c r="O14" s="79"/>
    </row>
    <row r="15" s="18" customFormat="1" ht="44.1" customHeight="1" spans="1:15">
      <c r="A15" s="27">
        <v>1</v>
      </c>
      <c r="B15" s="36" t="s">
        <v>79</v>
      </c>
      <c r="C15" s="36" t="s">
        <v>80</v>
      </c>
      <c r="D15" s="34" t="s">
        <v>62</v>
      </c>
      <c r="E15" s="72">
        <v>5</v>
      </c>
      <c r="F15" s="32">
        <v>0</v>
      </c>
      <c r="G15" s="33">
        <f>H15*(1+I15)</f>
        <v>6500</v>
      </c>
      <c r="H15" s="32">
        <v>6500</v>
      </c>
      <c r="I15" s="46">
        <v>0</v>
      </c>
      <c r="J15" s="40">
        <v>0</v>
      </c>
      <c r="K15" s="40">
        <f>(F15+G15+J15)*K5</f>
        <v>130</v>
      </c>
      <c r="L15" s="40">
        <f>(F15+G15+J15+K15)*L5</f>
        <v>596.7</v>
      </c>
      <c r="M15" s="47">
        <f>F15+G15+J15+K15+L15</f>
        <v>7226.7</v>
      </c>
      <c r="N15" s="40">
        <f>E15*M15</f>
        <v>36133.5</v>
      </c>
      <c r="O15" s="82" t="s">
        <v>81</v>
      </c>
    </row>
    <row r="16" s="18" customFormat="1" ht="42" customHeight="1" spans="1:15">
      <c r="A16" s="27">
        <v>2</v>
      </c>
      <c r="B16" s="36" t="s">
        <v>82</v>
      </c>
      <c r="C16" s="36" t="s">
        <v>83</v>
      </c>
      <c r="D16" s="34" t="s">
        <v>62</v>
      </c>
      <c r="E16" s="72">
        <v>7</v>
      </c>
      <c r="F16" s="32">
        <v>0</v>
      </c>
      <c r="G16" s="33">
        <f t="shared" ref="G16:G22" si="3">H16*(1+I16)</f>
        <v>3600</v>
      </c>
      <c r="H16" s="32">
        <v>3600</v>
      </c>
      <c r="I16" s="46">
        <v>0</v>
      </c>
      <c r="J16" s="40">
        <v>0</v>
      </c>
      <c r="K16" s="40">
        <f>(F16+G16+J16)*K5</f>
        <v>72</v>
      </c>
      <c r="L16" s="40">
        <f>(F16+G16+J16+K16)*L5</f>
        <v>330.48</v>
      </c>
      <c r="M16" s="47">
        <f t="shared" ref="M16:M25" si="4">F16+G16+J16+K16+L16</f>
        <v>4002.48</v>
      </c>
      <c r="N16" s="40">
        <f t="shared" ref="N16:N25" si="5">E16*M16</f>
        <v>28017.36</v>
      </c>
      <c r="O16" s="83" t="s">
        <v>84</v>
      </c>
    </row>
    <row r="17" s="18" customFormat="1" ht="42" customHeight="1" spans="1:15">
      <c r="A17" s="27">
        <v>3</v>
      </c>
      <c r="B17" s="36" t="s">
        <v>85</v>
      </c>
      <c r="C17" s="36" t="s">
        <v>86</v>
      </c>
      <c r="D17" s="34" t="s">
        <v>62</v>
      </c>
      <c r="E17" s="72">
        <v>1</v>
      </c>
      <c r="F17" s="32">
        <v>0</v>
      </c>
      <c r="G17" s="33">
        <f t="shared" si="3"/>
        <v>12600</v>
      </c>
      <c r="H17" s="32">
        <v>12600</v>
      </c>
      <c r="I17" s="46">
        <v>0</v>
      </c>
      <c r="J17" s="40">
        <v>0</v>
      </c>
      <c r="K17" s="40">
        <f>(F17+G17+J17)*K5</f>
        <v>252</v>
      </c>
      <c r="L17" s="40">
        <f>(F17+G17+J17+K17)*L5</f>
        <v>1156.68</v>
      </c>
      <c r="M17" s="47">
        <f t="shared" si="4"/>
        <v>14008.68</v>
      </c>
      <c r="N17" s="40">
        <f t="shared" si="5"/>
        <v>14008.68</v>
      </c>
      <c r="O17" s="83" t="s">
        <v>87</v>
      </c>
    </row>
    <row r="18" s="18" customFormat="1" ht="56.1" customHeight="1" spans="1:15">
      <c r="A18" s="27">
        <v>4</v>
      </c>
      <c r="B18" s="36" t="s">
        <v>88</v>
      </c>
      <c r="C18" s="36" t="s">
        <v>89</v>
      </c>
      <c r="D18" s="34" t="s">
        <v>62</v>
      </c>
      <c r="E18" s="72">
        <v>4</v>
      </c>
      <c r="F18" s="32">
        <v>0</v>
      </c>
      <c r="G18" s="33">
        <f t="shared" si="3"/>
        <v>6300</v>
      </c>
      <c r="H18" s="32">
        <v>6300</v>
      </c>
      <c r="I18" s="46">
        <v>0</v>
      </c>
      <c r="J18" s="40">
        <v>0</v>
      </c>
      <c r="K18" s="40">
        <f>(F18+G18+J18)*K5</f>
        <v>126</v>
      </c>
      <c r="L18" s="40">
        <f>(F18+G18+J18+K18)*L5</f>
        <v>578.34</v>
      </c>
      <c r="M18" s="47">
        <f t="shared" si="4"/>
        <v>7004.34</v>
      </c>
      <c r="N18" s="40">
        <f t="shared" si="5"/>
        <v>28017.36</v>
      </c>
      <c r="O18" s="83" t="s">
        <v>90</v>
      </c>
    </row>
    <row r="19" s="58" customFormat="1" ht="36" customHeight="1" spans="1:15">
      <c r="A19" s="27"/>
      <c r="B19" s="36"/>
      <c r="C19" s="74" t="s">
        <v>76</v>
      </c>
      <c r="D19" s="34"/>
      <c r="E19" s="72"/>
      <c r="F19" s="32"/>
      <c r="G19" s="33"/>
      <c r="H19" s="32"/>
      <c r="I19" s="46"/>
      <c r="J19" s="40"/>
      <c r="K19" s="40"/>
      <c r="L19" s="40"/>
      <c r="M19" s="47"/>
      <c r="N19" s="40">
        <f>SUM(N15:N18)</f>
        <v>106176.9</v>
      </c>
      <c r="O19" s="83"/>
    </row>
    <row r="20" customFormat="1" ht="36" customHeight="1" spans="1:15">
      <c r="A20" s="27"/>
      <c r="B20" s="67" t="s">
        <v>91</v>
      </c>
      <c r="C20" s="68"/>
      <c r="D20" s="69"/>
      <c r="E20" s="70"/>
      <c r="F20" s="32"/>
      <c r="G20" s="33"/>
      <c r="H20" s="32"/>
      <c r="I20" s="46"/>
      <c r="J20" s="40"/>
      <c r="K20" s="40"/>
      <c r="L20" s="40"/>
      <c r="M20" s="47"/>
      <c r="N20" s="40"/>
      <c r="O20" s="79"/>
    </row>
    <row r="21" s="58" customFormat="1" ht="60" customHeight="1" spans="1:15">
      <c r="A21" s="27">
        <v>1</v>
      </c>
      <c r="B21" s="36" t="s">
        <v>92</v>
      </c>
      <c r="C21" s="36" t="s">
        <v>93</v>
      </c>
      <c r="D21" s="34" t="s">
        <v>62</v>
      </c>
      <c r="E21" s="72">
        <v>1</v>
      </c>
      <c r="F21" s="32">
        <v>0</v>
      </c>
      <c r="G21" s="33">
        <f t="shared" si="3"/>
        <v>9867.84</v>
      </c>
      <c r="H21" s="40">
        <v>9867.84</v>
      </c>
      <c r="I21" s="46">
        <v>0</v>
      </c>
      <c r="J21" s="40">
        <v>0</v>
      </c>
      <c r="K21" s="40">
        <f t="shared" ref="K21:K23" si="6">(F21+G21+J21)*K5</f>
        <v>197.3568</v>
      </c>
      <c r="L21" s="40">
        <f t="shared" ref="L21:L23" si="7">(F21+G21+J21+K21)*L5</f>
        <v>905.867712</v>
      </c>
      <c r="M21" s="47">
        <f t="shared" si="4"/>
        <v>10971.064512</v>
      </c>
      <c r="N21" s="40">
        <f t="shared" si="5"/>
        <v>10971.064512</v>
      </c>
      <c r="O21" s="83" t="s">
        <v>94</v>
      </c>
    </row>
    <row r="22" s="58" customFormat="1" ht="56.1" customHeight="1" spans="1:15">
      <c r="A22" s="27">
        <v>2</v>
      </c>
      <c r="B22" s="36" t="s">
        <v>95</v>
      </c>
      <c r="C22" s="36" t="s">
        <v>96</v>
      </c>
      <c r="D22" s="34" t="s">
        <v>62</v>
      </c>
      <c r="E22" s="72">
        <v>2</v>
      </c>
      <c r="F22" s="32">
        <v>0</v>
      </c>
      <c r="G22" s="33">
        <f t="shared" si="3"/>
        <v>13685.61</v>
      </c>
      <c r="H22" s="40">
        <v>13685.61</v>
      </c>
      <c r="I22" s="46">
        <v>0</v>
      </c>
      <c r="J22" s="40">
        <v>0</v>
      </c>
      <c r="K22" s="40">
        <f t="shared" si="6"/>
        <v>0</v>
      </c>
      <c r="L22" s="40">
        <f t="shared" si="7"/>
        <v>0</v>
      </c>
      <c r="M22" s="47">
        <f t="shared" si="4"/>
        <v>13685.61</v>
      </c>
      <c r="N22" s="40">
        <f t="shared" si="5"/>
        <v>27371.22</v>
      </c>
      <c r="O22" s="83" t="s">
        <v>97</v>
      </c>
    </row>
    <row r="23" s="58" customFormat="1" ht="56.1" customHeight="1" spans="1:15">
      <c r="A23" s="27">
        <v>3</v>
      </c>
      <c r="B23" s="36" t="s">
        <v>98</v>
      </c>
      <c r="C23" s="36" t="s">
        <v>99</v>
      </c>
      <c r="D23" s="34" t="s">
        <v>62</v>
      </c>
      <c r="E23" s="72">
        <v>1</v>
      </c>
      <c r="F23" s="32">
        <v>0</v>
      </c>
      <c r="G23" s="33">
        <f t="shared" ref="G23:G32" si="8">H23*(1+I23)</f>
        <v>12965.27</v>
      </c>
      <c r="H23" s="40">
        <v>12965.27</v>
      </c>
      <c r="I23" s="46">
        <v>0</v>
      </c>
      <c r="J23" s="40">
        <v>0</v>
      </c>
      <c r="K23" s="40">
        <f>(F23+G23+J23)*K5</f>
        <v>259.3054</v>
      </c>
      <c r="L23" s="40">
        <f>(F23+G23+J23+K23)*L5</f>
        <v>1190.211786</v>
      </c>
      <c r="M23" s="47">
        <f t="shared" si="4"/>
        <v>14414.787186</v>
      </c>
      <c r="N23" s="40">
        <f t="shared" si="5"/>
        <v>14414.787186</v>
      </c>
      <c r="O23" s="83" t="s">
        <v>100</v>
      </c>
    </row>
    <row r="24" s="58" customFormat="1" ht="56.1" customHeight="1" spans="1:15">
      <c r="A24" s="27">
        <v>4</v>
      </c>
      <c r="B24" s="36" t="s">
        <v>101</v>
      </c>
      <c r="C24" s="36" t="s">
        <v>102</v>
      </c>
      <c r="D24" s="34" t="s">
        <v>62</v>
      </c>
      <c r="E24" s="72">
        <v>1</v>
      </c>
      <c r="F24" s="32">
        <v>0</v>
      </c>
      <c r="G24" s="33">
        <f t="shared" si="8"/>
        <v>12244.94</v>
      </c>
      <c r="H24" s="40">
        <v>12244.94</v>
      </c>
      <c r="I24" s="46">
        <v>0</v>
      </c>
      <c r="J24" s="40">
        <v>0</v>
      </c>
      <c r="K24" s="40">
        <f>(F24+G24+J24)*K5</f>
        <v>244.8988</v>
      </c>
      <c r="L24" s="40">
        <f>(F24+G24+J24+K24)*L5</f>
        <v>1124.085492</v>
      </c>
      <c r="M24" s="47">
        <f t="shared" si="4"/>
        <v>13613.924292</v>
      </c>
      <c r="N24" s="40">
        <f t="shared" si="5"/>
        <v>13613.924292</v>
      </c>
      <c r="O24" s="83" t="s">
        <v>103</v>
      </c>
    </row>
    <row r="25" s="58" customFormat="1" ht="56.1" customHeight="1" spans="1:15">
      <c r="A25" s="27">
        <v>5</v>
      </c>
      <c r="B25" s="36" t="s">
        <v>104</v>
      </c>
      <c r="C25" s="36" t="s">
        <v>105</v>
      </c>
      <c r="D25" s="34" t="s">
        <v>62</v>
      </c>
      <c r="E25" s="72">
        <v>5</v>
      </c>
      <c r="F25" s="32">
        <v>1</v>
      </c>
      <c r="G25" s="33">
        <f t="shared" si="8"/>
        <v>2880.61</v>
      </c>
      <c r="H25" s="40">
        <v>2880.61</v>
      </c>
      <c r="I25" s="46">
        <v>0</v>
      </c>
      <c r="J25" s="40">
        <v>0</v>
      </c>
      <c r="K25" s="40">
        <f>(F25+G25+J25)*K5</f>
        <v>57.6322</v>
      </c>
      <c r="L25" s="40">
        <f>(F25+G25+J25+K25)*L5</f>
        <v>264.531798</v>
      </c>
      <c r="M25" s="47">
        <f t="shared" ref="M25:M32" si="9">F25+G25+J25+K25+L25</f>
        <v>3203.773998</v>
      </c>
      <c r="N25" s="40">
        <f t="shared" ref="N25:N32" si="10">E25*M25</f>
        <v>16018.86999</v>
      </c>
      <c r="O25" s="83" t="s">
        <v>106</v>
      </c>
    </row>
    <row r="26" s="58" customFormat="1" ht="56.1" customHeight="1" spans="1:15">
      <c r="A26" s="27">
        <v>6</v>
      </c>
      <c r="B26" s="36" t="s">
        <v>107</v>
      </c>
      <c r="C26" s="36" t="s">
        <v>108</v>
      </c>
      <c r="D26" s="34" t="s">
        <v>62</v>
      </c>
      <c r="E26" s="72">
        <v>1</v>
      </c>
      <c r="F26" s="32">
        <v>0</v>
      </c>
      <c r="G26" s="33">
        <f t="shared" si="8"/>
        <v>1007.75</v>
      </c>
      <c r="H26" s="40">
        <v>1007.75</v>
      </c>
      <c r="I26" s="46">
        <v>0</v>
      </c>
      <c r="J26" s="40">
        <v>0</v>
      </c>
      <c r="K26" s="40">
        <f>(F26+G26+J26)*K5</f>
        <v>20.155</v>
      </c>
      <c r="L26" s="40">
        <f>(F26+G26+J26+K26)*L5</f>
        <v>92.51145</v>
      </c>
      <c r="M26" s="47">
        <f t="shared" si="9"/>
        <v>1120.41645</v>
      </c>
      <c r="N26" s="40">
        <f t="shared" si="10"/>
        <v>1120.41645</v>
      </c>
      <c r="O26" s="83" t="s">
        <v>109</v>
      </c>
    </row>
    <row r="27" s="58" customFormat="1" ht="60" customHeight="1" spans="1:15">
      <c r="A27" s="27">
        <v>7</v>
      </c>
      <c r="B27" s="36" t="s">
        <v>110</v>
      </c>
      <c r="C27" s="36" t="s">
        <v>111</v>
      </c>
      <c r="D27" s="34" t="s">
        <v>62</v>
      </c>
      <c r="E27" s="72">
        <v>1</v>
      </c>
      <c r="F27" s="32">
        <v>0</v>
      </c>
      <c r="G27" s="33">
        <f t="shared" si="8"/>
        <v>5761.94</v>
      </c>
      <c r="H27" s="40">
        <v>5761.94</v>
      </c>
      <c r="I27" s="46">
        <v>0</v>
      </c>
      <c r="J27" s="40">
        <v>0</v>
      </c>
      <c r="K27" s="40">
        <f>(F27+G27+J27)*K5</f>
        <v>115.2388</v>
      </c>
      <c r="L27" s="40">
        <f>(F27+G27+J27+K27)*L5</f>
        <v>528.946092</v>
      </c>
      <c r="M27" s="47">
        <f t="shared" si="9"/>
        <v>6406.124892</v>
      </c>
      <c r="N27" s="40">
        <f t="shared" si="10"/>
        <v>6406.124892</v>
      </c>
      <c r="O27" s="83" t="s">
        <v>112</v>
      </c>
    </row>
    <row r="28" s="58" customFormat="1" ht="56.1" customHeight="1" spans="1:15">
      <c r="A28" s="27">
        <v>8</v>
      </c>
      <c r="B28" s="36" t="s">
        <v>113</v>
      </c>
      <c r="C28" s="36" t="s">
        <v>114</v>
      </c>
      <c r="D28" s="34" t="s">
        <v>62</v>
      </c>
      <c r="E28" s="72">
        <v>3</v>
      </c>
      <c r="F28" s="32">
        <v>0</v>
      </c>
      <c r="G28" s="33">
        <f t="shared" si="8"/>
        <v>7202.61</v>
      </c>
      <c r="H28" s="40">
        <v>7202.61</v>
      </c>
      <c r="I28" s="46">
        <v>0</v>
      </c>
      <c r="J28" s="40">
        <v>0</v>
      </c>
      <c r="K28" s="40">
        <f>(F28+G28+J28)*K5</f>
        <v>144.0522</v>
      </c>
      <c r="L28" s="40">
        <f>(F28+G28+J28+K28)*L5</f>
        <v>661.199598</v>
      </c>
      <c r="M28" s="47">
        <f t="shared" si="9"/>
        <v>8007.861798</v>
      </c>
      <c r="N28" s="40">
        <f t="shared" si="10"/>
        <v>24023.585394</v>
      </c>
      <c r="O28" s="83" t="s">
        <v>115</v>
      </c>
    </row>
    <row r="29" s="58" customFormat="1" ht="56.1" customHeight="1" spans="1:15">
      <c r="A29" s="27">
        <v>9</v>
      </c>
      <c r="B29" s="36" t="s">
        <v>110</v>
      </c>
      <c r="C29" s="36" t="s">
        <v>116</v>
      </c>
      <c r="D29" s="34" t="s">
        <v>62</v>
      </c>
      <c r="E29" s="72">
        <v>1</v>
      </c>
      <c r="F29" s="32">
        <v>0</v>
      </c>
      <c r="G29" s="33">
        <f t="shared" si="8"/>
        <v>4321.28</v>
      </c>
      <c r="H29" s="40">
        <v>4321.28</v>
      </c>
      <c r="I29" s="46">
        <v>0</v>
      </c>
      <c r="J29" s="40">
        <v>0</v>
      </c>
      <c r="K29" s="40">
        <f>(F29+G29+J29)*K5</f>
        <v>86.4256</v>
      </c>
      <c r="L29" s="40">
        <f>(F29+G29+J29+K29)*L5</f>
        <v>396.693504</v>
      </c>
      <c r="M29" s="47">
        <f t="shared" si="9"/>
        <v>4804.399104</v>
      </c>
      <c r="N29" s="40">
        <f t="shared" si="10"/>
        <v>4804.399104</v>
      </c>
      <c r="O29" s="83" t="s">
        <v>117</v>
      </c>
    </row>
    <row r="30" s="58" customFormat="1" ht="56.1" customHeight="1" spans="1:15">
      <c r="A30" s="27">
        <v>10</v>
      </c>
      <c r="B30" s="36" t="s">
        <v>118</v>
      </c>
      <c r="C30" s="36" t="s">
        <v>119</v>
      </c>
      <c r="D30" s="34" t="s">
        <v>62</v>
      </c>
      <c r="E30" s="72">
        <v>1</v>
      </c>
      <c r="F30" s="32">
        <v>0</v>
      </c>
      <c r="G30" s="33">
        <f t="shared" si="8"/>
        <v>2880.61</v>
      </c>
      <c r="H30" s="40">
        <v>2880.61</v>
      </c>
      <c r="I30" s="46">
        <v>0</v>
      </c>
      <c r="J30" s="40">
        <v>0</v>
      </c>
      <c r="K30" s="40">
        <f>(F30+G30+J30)*K5</f>
        <v>57.6122</v>
      </c>
      <c r="L30" s="40">
        <f>(F30+G30+J30+K30)*L5</f>
        <v>264.439998</v>
      </c>
      <c r="M30" s="47">
        <f t="shared" si="9"/>
        <v>3202.662198</v>
      </c>
      <c r="N30" s="40">
        <f t="shared" si="10"/>
        <v>3202.662198</v>
      </c>
      <c r="O30" s="83" t="s">
        <v>120</v>
      </c>
    </row>
    <row r="31" s="58" customFormat="1" ht="56.1" customHeight="1" spans="1:15">
      <c r="A31" s="27">
        <v>11</v>
      </c>
      <c r="B31" s="36" t="s">
        <v>121</v>
      </c>
      <c r="C31" s="36" t="s">
        <v>122</v>
      </c>
      <c r="D31" s="34" t="s">
        <v>62</v>
      </c>
      <c r="E31" s="72">
        <v>2</v>
      </c>
      <c r="F31" s="32">
        <v>0</v>
      </c>
      <c r="G31" s="33">
        <f t="shared" si="8"/>
        <v>2880.61</v>
      </c>
      <c r="H31" s="40">
        <v>2880.61</v>
      </c>
      <c r="I31" s="46">
        <v>0</v>
      </c>
      <c r="J31" s="40">
        <v>0</v>
      </c>
      <c r="K31" s="40">
        <f>(F31+G31+J31)*K5</f>
        <v>57.6122</v>
      </c>
      <c r="L31" s="40">
        <f>(F31+G31+J31+K31)*L5</f>
        <v>264.439998</v>
      </c>
      <c r="M31" s="47">
        <f t="shared" si="9"/>
        <v>3202.662198</v>
      </c>
      <c r="N31" s="40">
        <f t="shared" si="10"/>
        <v>6405.324396</v>
      </c>
      <c r="O31" s="83" t="s">
        <v>123</v>
      </c>
    </row>
    <row r="32" s="58" customFormat="1" ht="56.1" customHeight="1" spans="1:15">
      <c r="A32" s="27">
        <v>12</v>
      </c>
      <c r="B32" s="36" t="s">
        <v>124</v>
      </c>
      <c r="C32" s="36" t="s">
        <v>125</v>
      </c>
      <c r="D32" s="34" t="s">
        <v>62</v>
      </c>
      <c r="E32" s="72">
        <v>5</v>
      </c>
      <c r="F32" s="32">
        <v>0</v>
      </c>
      <c r="G32" s="33">
        <f t="shared" si="8"/>
        <v>597</v>
      </c>
      <c r="H32" s="40">
        <v>597</v>
      </c>
      <c r="I32" s="46">
        <v>0</v>
      </c>
      <c r="J32" s="40">
        <v>0</v>
      </c>
      <c r="K32" s="40">
        <f>(F32+G32+J32)*K5</f>
        <v>11.94</v>
      </c>
      <c r="L32" s="40">
        <f>(F32+G32+J32+K32)*L5</f>
        <v>54.8046</v>
      </c>
      <c r="M32" s="47">
        <f t="shared" si="9"/>
        <v>663.7446</v>
      </c>
      <c r="N32" s="40">
        <f t="shared" si="10"/>
        <v>3318.723</v>
      </c>
      <c r="O32" s="83"/>
    </row>
    <row r="33" s="58" customFormat="1" ht="37" customHeight="1" spans="1:15">
      <c r="A33" s="38"/>
      <c r="B33" s="36"/>
      <c r="C33" s="34" t="s">
        <v>76</v>
      </c>
      <c r="D33" s="34"/>
      <c r="E33" s="72"/>
      <c r="F33" s="32"/>
      <c r="G33" s="33"/>
      <c r="H33" s="40"/>
      <c r="I33" s="46"/>
      <c r="J33" s="40"/>
      <c r="K33" s="40"/>
      <c r="L33" s="40"/>
      <c r="M33" s="47"/>
      <c r="N33" s="40">
        <f>SUM(N21:N32)</f>
        <v>131671.101414</v>
      </c>
      <c r="O33" s="83"/>
    </row>
    <row r="34" s="57" customFormat="1" ht="38" customHeight="1" spans="1:15">
      <c r="A34" s="34"/>
      <c r="B34" s="36"/>
      <c r="C34" s="73" t="s">
        <v>126</v>
      </c>
      <c r="D34" s="34"/>
      <c r="E34" s="72"/>
      <c r="F34" s="32"/>
      <c r="G34" s="33"/>
      <c r="H34" s="32"/>
      <c r="I34" s="46"/>
      <c r="J34" s="40"/>
      <c r="K34" s="40"/>
      <c r="L34" s="40"/>
      <c r="M34" s="47"/>
      <c r="N34" s="81">
        <f>N33-N19</f>
        <v>25494.201414</v>
      </c>
      <c r="O34" s="80"/>
    </row>
    <row r="35" customFormat="1" ht="36" customHeight="1" spans="1:15">
      <c r="A35" s="27" t="s">
        <v>127</v>
      </c>
      <c r="B35" s="67" t="s">
        <v>128</v>
      </c>
      <c r="C35" s="68"/>
      <c r="D35" s="69"/>
      <c r="E35" s="70"/>
      <c r="F35" s="32"/>
      <c r="G35" s="33"/>
      <c r="H35" s="32"/>
      <c r="I35" s="46"/>
      <c r="J35" s="40"/>
      <c r="K35" s="40"/>
      <c r="L35" s="40"/>
      <c r="M35" s="47"/>
      <c r="N35" s="40"/>
      <c r="O35" s="79"/>
    </row>
    <row r="36" customFormat="1" ht="36" customHeight="1" spans="1:15">
      <c r="A36" s="27"/>
      <c r="B36" s="67" t="s">
        <v>129</v>
      </c>
      <c r="C36" s="68"/>
      <c r="D36" s="69"/>
      <c r="E36" s="70"/>
      <c r="F36" s="32"/>
      <c r="G36" s="33"/>
      <c r="H36" s="32"/>
      <c r="I36" s="46"/>
      <c r="J36" s="40"/>
      <c r="K36" s="40"/>
      <c r="L36" s="40"/>
      <c r="M36" s="47"/>
      <c r="N36" s="40"/>
      <c r="O36" s="79"/>
    </row>
    <row r="37" customFormat="1" ht="57" customHeight="1" spans="1:15">
      <c r="A37" s="27">
        <v>68</v>
      </c>
      <c r="B37" s="28" t="s">
        <v>130</v>
      </c>
      <c r="C37" s="28" t="s">
        <v>131</v>
      </c>
      <c r="D37" s="28" t="s">
        <v>35</v>
      </c>
      <c r="E37" s="40">
        <v>1</v>
      </c>
      <c r="F37" s="32">
        <v>300</v>
      </c>
      <c r="G37" s="33">
        <f t="shared" ref="G37:G39" si="11">H37*(1+I37)</f>
        <v>1500</v>
      </c>
      <c r="H37" s="32">
        <v>1500</v>
      </c>
      <c r="I37" s="46">
        <v>0</v>
      </c>
      <c r="J37" s="40">
        <v>600</v>
      </c>
      <c r="K37" s="40">
        <f>(F37+G37+J37)*K5</f>
        <v>48</v>
      </c>
      <c r="L37" s="40">
        <f>(F37+G37+J37+K37)*L5</f>
        <v>220.32</v>
      </c>
      <c r="M37" s="47">
        <f t="shared" ref="M37:M46" si="12">F37+G37+J37+K37+L37</f>
        <v>2668.32</v>
      </c>
      <c r="N37" s="40">
        <f t="shared" ref="N37:N46" si="13">E37*M37</f>
        <v>2668.32</v>
      </c>
      <c r="O37" s="52" t="s">
        <v>132</v>
      </c>
    </row>
    <row r="38" customFormat="1" ht="64.5" customHeight="1" spans="1:15">
      <c r="A38" s="27">
        <v>69</v>
      </c>
      <c r="B38" s="28" t="s">
        <v>133</v>
      </c>
      <c r="C38" s="28" t="s">
        <v>134</v>
      </c>
      <c r="D38" s="28" t="s">
        <v>35</v>
      </c>
      <c r="E38" s="40">
        <v>1</v>
      </c>
      <c r="F38" s="32">
        <v>200</v>
      </c>
      <c r="G38" s="33">
        <f t="shared" si="11"/>
        <v>1500</v>
      </c>
      <c r="H38" s="32">
        <v>1500</v>
      </c>
      <c r="I38" s="46">
        <v>0</v>
      </c>
      <c r="J38" s="40">
        <v>1200</v>
      </c>
      <c r="K38" s="40">
        <f>(F38+G38+J38)*K5</f>
        <v>58</v>
      </c>
      <c r="L38" s="40">
        <f>(F38+G38+J38+K38)*L5</f>
        <v>266.22</v>
      </c>
      <c r="M38" s="47">
        <f t="shared" si="12"/>
        <v>3224.22</v>
      </c>
      <c r="N38" s="40">
        <f t="shared" si="13"/>
        <v>3224.22</v>
      </c>
      <c r="O38" s="52" t="s">
        <v>135</v>
      </c>
    </row>
    <row r="39" customFormat="1" ht="58.5" customHeight="1" spans="1:15">
      <c r="A39" s="27">
        <v>111</v>
      </c>
      <c r="B39" s="28" t="s">
        <v>130</v>
      </c>
      <c r="C39" s="28" t="s">
        <v>136</v>
      </c>
      <c r="D39" s="28" t="s">
        <v>35</v>
      </c>
      <c r="E39" s="40">
        <v>1</v>
      </c>
      <c r="F39" s="32">
        <v>300</v>
      </c>
      <c r="G39" s="33">
        <f t="shared" si="11"/>
        <v>1800</v>
      </c>
      <c r="H39" s="32">
        <v>1800</v>
      </c>
      <c r="I39" s="46">
        <v>0</v>
      </c>
      <c r="J39" s="40">
        <v>600</v>
      </c>
      <c r="K39" s="40">
        <f>(F39+G39+J39)*K5</f>
        <v>54</v>
      </c>
      <c r="L39" s="40">
        <f>(F39+G39+J39+K39)*L5</f>
        <v>247.86</v>
      </c>
      <c r="M39" s="47">
        <f t="shared" si="12"/>
        <v>3001.86</v>
      </c>
      <c r="N39" s="40">
        <f t="shared" si="13"/>
        <v>3001.86</v>
      </c>
      <c r="O39" s="52" t="s">
        <v>132</v>
      </c>
    </row>
    <row r="40" customFormat="1" ht="58.5" customHeight="1" spans="1:15">
      <c r="A40" s="27">
        <v>112</v>
      </c>
      <c r="B40" s="28" t="s">
        <v>133</v>
      </c>
      <c r="C40" s="28" t="s">
        <v>137</v>
      </c>
      <c r="D40" s="28" t="s">
        <v>35</v>
      </c>
      <c r="E40" s="40">
        <v>1</v>
      </c>
      <c r="F40" s="32">
        <v>350</v>
      </c>
      <c r="G40" s="33">
        <v>1200</v>
      </c>
      <c r="H40" s="32">
        <v>3000</v>
      </c>
      <c r="I40" s="46">
        <v>0</v>
      </c>
      <c r="J40" s="40">
        <v>2200</v>
      </c>
      <c r="K40" s="40">
        <f>(F40+G40+J40)*K5</f>
        <v>75</v>
      </c>
      <c r="L40" s="40">
        <f>(F40+G40+J40+K40)*L5</f>
        <v>344.25</v>
      </c>
      <c r="M40" s="47">
        <f t="shared" si="12"/>
        <v>4169.25</v>
      </c>
      <c r="N40" s="40">
        <f t="shared" si="13"/>
        <v>4169.25</v>
      </c>
      <c r="O40" s="52" t="s">
        <v>135</v>
      </c>
    </row>
    <row r="41" s="4" customFormat="1" ht="60" customHeight="1" spans="1:15">
      <c r="A41" s="27">
        <v>142</v>
      </c>
      <c r="B41" s="28" t="s">
        <v>138</v>
      </c>
      <c r="C41" s="75" t="s">
        <v>139</v>
      </c>
      <c r="D41" s="28" t="s">
        <v>35</v>
      </c>
      <c r="E41" s="40">
        <v>1</v>
      </c>
      <c r="F41" s="32">
        <v>300</v>
      </c>
      <c r="G41" s="33">
        <f t="shared" ref="G41:G46" si="14">H41*(1+I41)</f>
        <v>1700</v>
      </c>
      <c r="H41" s="32">
        <v>1700</v>
      </c>
      <c r="I41" s="46">
        <v>0</v>
      </c>
      <c r="J41" s="40">
        <v>600</v>
      </c>
      <c r="K41" s="40">
        <f>(F41+G41+J41)*K5</f>
        <v>52</v>
      </c>
      <c r="L41" s="40">
        <f>(F41+G41+J41+K41)*L5</f>
        <v>238.68</v>
      </c>
      <c r="M41" s="47">
        <f t="shared" si="12"/>
        <v>2890.68</v>
      </c>
      <c r="N41" s="40">
        <f t="shared" si="13"/>
        <v>2890.68</v>
      </c>
      <c r="O41" s="52" t="s">
        <v>132</v>
      </c>
    </row>
    <row r="42" s="4" customFormat="1" ht="64.5" customHeight="1" spans="1:15">
      <c r="A42" s="27">
        <v>143</v>
      </c>
      <c r="B42" s="28" t="s">
        <v>133</v>
      </c>
      <c r="C42" s="28" t="s">
        <v>140</v>
      </c>
      <c r="D42" s="28" t="s">
        <v>35</v>
      </c>
      <c r="E42" s="40">
        <v>1</v>
      </c>
      <c r="F42" s="32">
        <v>200</v>
      </c>
      <c r="G42" s="33">
        <f t="shared" si="14"/>
        <v>1500</v>
      </c>
      <c r="H42" s="32">
        <v>1500</v>
      </c>
      <c r="I42" s="46">
        <v>0</v>
      </c>
      <c r="J42" s="40">
        <v>1600</v>
      </c>
      <c r="K42" s="40">
        <f>(F42+G42+J42)*K5</f>
        <v>66</v>
      </c>
      <c r="L42" s="40">
        <f>(F42+G42+J42+K42)*L5</f>
        <v>302.94</v>
      </c>
      <c r="M42" s="47">
        <f t="shared" si="12"/>
        <v>3668.94</v>
      </c>
      <c r="N42" s="40">
        <f t="shared" si="13"/>
        <v>3668.94</v>
      </c>
      <c r="O42" s="52" t="s">
        <v>135</v>
      </c>
    </row>
    <row r="43" s="4" customFormat="1" ht="60" customHeight="1" spans="1:15">
      <c r="A43" s="27">
        <v>217</v>
      </c>
      <c r="B43" s="28" t="s">
        <v>138</v>
      </c>
      <c r="C43" s="75" t="s">
        <v>141</v>
      </c>
      <c r="D43" s="28" t="s">
        <v>35</v>
      </c>
      <c r="E43" s="40">
        <v>1</v>
      </c>
      <c r="F43" s="32">
        <v>300</v>
      </c>
      <c r="G43" s="33">
        <v>2800</v>
      </c>
      <c r="H43" s="32">
        <v>1700</v>
      </c>
      <c r="I43" s="46">
        <v>0</v>
      </c>
      <c r="J43" s="40">
        <v>100</v>
      </c>
      <c r="K43" s="40">
        <f>(F43+G43+J43)*K5</f>
        <v>64</v>
      </c>
      <c r="L43" s="40">
        <f>(F43+G43+J43+K43)*L5</f>
        <v>293.76</v>
      </c>
      <c r="M43" s="47">
        <f t="shared" si="12"/>
        <v>3557.76</v>
      </c>
      <c r="N43" s="40">
        <f t="shared" si="13"/>
        <v>3557.76</v>
      </c>
      <c r="O43" s="52" t="s">
        <v>132</v>
      </c>
    </row>
    <row r="44" s="4" customFormat="1" ht="64.5" customHeight="1" spans="1:15">
      <c r="A44" s="27">
        <v>218</v>
      </c>
      <c r="B44" s="28" t="s">
        <v>133</v>
      </c>
      <c r="C44" s="28" t="s">
        <v>142</v>
      </c>
      <c r="D44" s="28" t="s">
        <v>35</v>
      </c>
      <c r="E44" s="40">
        <v>1</v>
      </c>
      <c r="F44" s="32">
        <v>0</v>
      </c>
      <c r="G44" s="33">
        <f t="shared" si="14"/>
        <v>2200</v>
      </c>
      <c r="H44" s="32">
        <v>2200</v>
      </c>
      <c r="I44" s="46">
        <v>0</v>
      </c>
      <c r="J44" s="40">
        <v>1700</v>
      </c>
      <c r="K44" s="40">
        <f>(F44+G44+J44)*K5</f>
        <v>78</v>
      </c>
      <c r="L44" s="40">
        <f>(F44+G44+J44+K44)*L5</f>
        <v>358.02</v>
      </c>
      <c r="M44" s="47">
        <f t="shared" si="12"/>
        <v>4336.02</v>
      </c>
      <c r="N44" s="40">
        <f t="shared" si="13"/>
        <v>4336.02</v>
      </c>
      <c r="O44" s="52" t="s">
        <v>135</v>
      </c>
    </row>
    <row r="45" s="4" customFormat="1" ht="60" customHeight="1" spans="1:15">
      <c r="A45" s="27">
        <v>242</v>
      </c>
      <c r="B45" s="28" t="s">
        <v>138</v>
      </c>
      <c r="C45" s="75" t="s">
        <v>143</v>
      </c>
      <c r="D45" s="28" t="s">
        <v>35</v>
      </c>
      <c r="E45" s="40">
        <v>1</v>
      </c>
      <c r="F45" s="32">
        <v>0</v>
      </c>
      <c r="G45" s="33">
        <f t="shared" si="14"/>
        <v>2600</v>
      </c>
      <c r="H45" s="32">
        <v>2600</v>
      </c>
      <c r="I45" s="46">
        <v>0</v>
      </c>
      <c r="J45" s="40">
        <v>0</v>
      </c>
      <c r="K45" s="40">
        <f>(F45+G45+J45)*K5</f>
        <v>52</v>
      </c>
      <c r="L45" s="40">
        <f>(F45+G45+J45+K45)*L5</f>
        <v>238.68</v>
      </c>
      <c r="M45" s="47">
        <f t="shared" si="12"/>
        <v>2890.68</v>
      </c>
      <c r="N45" s="40">
        <f t="shared" si="13"/>
        <v>2890.68</v>
      </c>
      <c r="O45" s="52" t="s">
        <v>132</v>
      </c>
    </row>
    <row r="46" s="4" customFormat="1" ht="64.5" customHeight="1" spans="1:15">
      <c r="A46" s="27">
        <v>243</v>
      </c>
      <c r="B46" s="28" t="s">
        <v>133</v>
      </c>
      <c r="C46" s="28" t="s">
        <v>144</v>
      </c>
      <c r="D46" s="28" t="s">
        <v>35</v>
      </c>
      <c r="E46" s="40">
        <v>1</v>
      </c>
      <c r="F46" s="32">
        <v>0</v>
      </c>
      <c r="G46" s="33">
        <f t="shared" si="14"/>
        <v>2400</v>
      </c>
      <c r="H46" s="32">
        <v>2400</v>
      </c>
      <c r="I46" s="46">
        <v>0</v>
      </c>
      <c r="J46" s="40">
        <v>1200</v>
      </c>
      <c r="K46" s="40">
        <f>(F46+G46+J46)*K5</f>
        <v>72</v>
      </c>
      <c r="L46" s="40">
        <f>(F46+G46+J46+K46)*L5</f>
        <v>330.48</v>
      </c>
      <c r="M46" s="47">
        <f t="shared" si="12"/>
        <v>4002.48</v>
      </c>
      <c r="N46" s="40">
        <f t="shared" si="13"/>
        <v>4002.48</v>
      </c>
      <c r="O46" s="52" t="s">
        <v>135</v>
      </c>
    </row>
    <row r="47" s="58" customFormat="1" ht="37" customHeight="1" spans="1:15">
      <c r="A47" s="38"/>
      <c r="B47" s="36"/>
      <c r="C47" s="34" t="s">
        <v>76</v>
      </c>
      <c r="D47" s="34"/>
      <c r="E47" s="72"/>
      <c r="F47" s="32"/>
      <c r="G47" s="33"/>
      <c r="H47" s="40"/>
      <c r="I47" s="46"/>
      <c r="J47" s="40"/>
      <c r="K47" s="40"/>
      <c r="L47" s="40"/>
      <c r="M47" s="47"/>
      <c r="N47" s="40">
        <f>SUM(N37:N46)</f>
        <v>34410.21</v>
      </c>
      <c r="O47" s="83"/>
    </row>
    <row r="48" customFormat="1" ht="36" customHeight="1" spans="1:15">
      <c r="A48" s="27"/>
      <c r="B48" s="67" t="s">
        <v>145</v>
      </c>
      <c r="C48" s="68"/>
      <c r="D48" s="69"/>
      <c r="E48" s="70"/>
      <c r="F48" s="32"/>
      <c r="G48" s="33"/>
      <c r="H48" s="32"/>
      <c r="I48" s="46"/>
      <c r="J48" s="40"/>
      <c r="K48" s="40"/>
      <c r="L48" s="40"/>
      <c r="M48" s="47"/>
      <c r="N48" s="40"/>
      <c r="O48" s="79"/>
    </row>
    <row r="49" s="57" customFormat="1" ht="62" customHeight="1" spans="1:15">
      <c r="A49" s="34">
        <v>1</v>
      </c>
      <c r="B49" s="36" t="s">
        <v>146</v>
      </c>
      <c r="C49" s="71" t="s">
        <v>147</v>
      </c>
      <c r="D49" s="28" t="s">
        <v>62</v>
      </c>
      <c r="E49" s="40">
        <v>1</v>
      </c>
      <c r="F49" s="32">
        <v>0</v>
      </c>
      <c r="G49" s="33">
        <f t="shared" ref="G49:G53" si="15">H49*(1+I49)</f>
        <v>6985</v>
      </c>
      <c r="H49" s="32">
        <v>6985</v>
      </c>
      <c r="I49" s="46">
        <v>0</v>
      </c>
      <c r="J49" s="40">
        <v>0</v>
      </c>
      <c r="K49" s="40">
        <f>(F49+G49+J49)*K5</f>
        <v>139.7</v>
      </c>
      <c r="L49" s="40">
        <f>(F49+G49+J49+K49)*L5</f>
        <v>641.223</v>
      </c>
      <c r="M49" s="47">
        <f t="shared" ref="M49:M53" si="16">F49+G49+J49+K49+L49</f>
        <v>7765.923</v>
      </c>
      <c r="N49" s="40">
        <f t="shared" ref="N49:N53" si="17">E49*M49</f>
        <v>7765.923</v>
      </c>
      <c r="O49" s="80" t="s">
        <v>148</v>
      </c>
    </row>
    <row r="50" s="57" customFormat="1" ht="55" customHeight="1" spans="1:15">
      <c r="A50" s="34">
        <v>2</v>
      </c>
      <c r="B50" s="36" t="s">
        <v>146</v>
      </c>
      <c r="C50" s="71" t="s">
        <v>149</v>
      </c>
      <c r="D50" s="28" t="s">
        <v>62</v>
      </c>
      <c r="E50" s="40">
        <v>1</v>
      </c>
      <c r="F50" s="32">
        <v>0</v>
      </c>
      <c r="G50" s="33">
        <f t="shared" si="15"/>
        <v>8485</v>
      </c>
      <c r="H50" s="32">
        <v>8485</v>
      </c>
      <c r="I50" s="46">
        <v>0</v>
      </c>
      <c r="J50" s="40">
        <v>0</v>
      </c>
      <c r="K50" s="40">
        <f>(F50+G50+J50)*K5</f>
        <v>169.7</v>
      </c>
      <c r="L50" s="40">
        <f>(F50+G50+J50+K50)*L5</f>
        <v>778.923</v>
      </c>
      <c r="M50" s="47">
        <f t="shared" si="16"/>
        <v>9433.623</v>
      </c>
      <c r="N50" s="40">
        <f t="shared" si="17"/>
        <v>9433.623</v>
      </c>
      <c r="O50" s="80" t="s">
        <v>150</v>
      </c>
    </row>
    <row r="51" s="57" customFormat="1" ht="51" customHeight="1" spans="1:15">
      <c r="A51" s="34">
        <v>3</v>
      </c>
      <c r="B51" s="36" t="s">
        <v>146</v>
      </c>
      <c r="C51" s="71" t="s">
        <v>151</v>
      </c>
      <c r="D51" s="28" t="s">
        <v>62</v>
      </c>
      <c r="E51" s="40">
        <v>1</v>
      </c>
      <c r="F51" s="32">
        <v>0</v>
      </c>
      <c r="G51" s="33">
        <f t="shared" si="15"/>
        <v>5430</v>
      </c>
      <c r="H51" s="32">
        <v>5430</v>
      </c>
      <c r="I51" s="46">
        <v>0</v>
      </c>
      <c r="J51" s="40">
        <v>0</v>
      </c>
      <c r="K51" s="40">
        <f>(F51+G51+J51)*K5</f>
        <v>108.6</v>
      </c>
      <c r="L51" s="40">
        <f>(F51+G51+J51+K51)*L5</f>
        <v>498.474</v>
      </c>
      <c r="M51" s="47">
        <f t="shared" si="16"/>
        <v>6037.074</v>
      </c>
      <c r="N51" s="40">
        <f t="shared" si="17"/>
        <v>6037.074</v>
      </c>
      <c r="O51" s="80" t="s">
        <v>152</v>
      </c>
    </row>
    <row r="52" s="57" customFormat="1" ht="56" customHeight="1" spans="1:15">
      <c r="A52" s="34">
        <v>4</v>
      </c>
      <c r="B52" s="36" t="s">
        <v>146</v>
      </c>
      <c r="C52" s="71" t="s">
        <v>153</v>
      </c>
      <c r="D52" s="28" t="s">
        <v>62</v>
      </c>
      <c r="E52" s="40">
        <v>1</v>
      </c>
      <c r="F52" s="32">
        <v>0</v>
      </c>
      <c r="G52" s="33">
        <f t="shared" si="15"/>
        <v>16600</v>
      </c>
      <c r="H52" s="32">
        <v>16600</v>
      </c>
      <c r="I52" s="46">
        <v>0</v>
      </c>
      <c r="J52" s="40">
        <v>0</v>
      </c>
      <c r="K52" s="40">
        <f>(F52+G52+J52)*K5</f>
        <v>332</v>
      </c>
      <c r="L52" s="40">
        <f>(F52+G52+J52+K52)*L5</f>
        <v>1523.88</v>
      </c>
      <c r="M52" s="47">
        <f t="shared" si="16"/>
        <v>18455.88</v>
      </c>
      <c r="N52" s="40">
        <f t="shared" si="17"/>
        <v>18455.88</v>
      </c>
      <c r="O52" s="80" t="s">
        <v>154</v>
      </c>
    </row>
    <row r="53" s="57" customFormat="1" ht="57" customHeight="1" spans="1:15">
      <c r="A53" s="34">
        <v>5</v>
      </c>
      <c r="B53" s="36" t="s">
        <v>146</v>
      </c>
      <c r="C53" s="71" t="s">
        <v>155</v>
      </c>
      <c r="D53" s="28" t="s">
        <v>62</v>
      </c>
      <c r="E53" s="40">
        <v>1</v>
      </c>
      <c r="F53" s="32">
        <v>0</v>
      </c>
      <c r="G53" s="33">
        <f t="shared" si="15"/>
        <v>12500</v>
      </c>
      <c r="H53" s="32">
        <v>12500</v>
      </c>
      <c r="I53" s="46">
        <v>0</v>
      </c>
      <c r="J53" s="40">
        <v>0</v>
      </c>
      <c r="K53" s="40">
        <f>(F53+G53+J53)*K5</f>
        <v>250</v>
      </c>
      <c r="L53" s="40">
        <f>(F53+G53+J53+K53)*L5</f>
        <v>1147.5</v>
      </c>
      <c r="M53" s="47">
        <f t="shared" si="16"/>
        <v>13897.5</v>
      </c>
      <c r="N53" s="40">
        <f t="shared" si="17"/>
        <v>13897.5</v>
      </c>
      <c r="O53" s="80" t="s">
        <v>156</v>
      </c>
    </row>
    <row r="54" s="57" customFormat="1" ht="38" customHeight="1" spans="1:15">
      <c r="A54" s="34"/>
      <c r="B54" s="36"/>
      <c r="C54" s="34" t="s">
        <v>76</v>
      </c>
      <c r="D54" s="34"/>
      <c r="E54" s="72"/>
      <c r="F54" s="32"/>
      <c r="G54" s="33"/>
      <c r="H54" s="40"/>
      <c r="I54" s="46"/>
      <c r="J54" s="40"/>
      <c r="K54" s="40"/>
      <c r="L54" s="40"/>
      <c r="M54" s="47"/>
      <c r="N54" s="40">
        <f>SUM(N49:N53)</f>
        <v>55590</v>
      </c>
      <c r="O54" s="80"/>
    </row>
    <row r="55" s="57" customFormat="1" ht="38" customHeight="1" spans="1:15">
      <c r="A55" s="34"/>
      <c r="B55" s="36"/>
      <c r="C55" s="73" t="s">
        <v>157</v>
      </c>
      <c r="D55" s="34"/>
      <c r="E55" s="72"/>
      <c r="F55" s="32"/>
      <c r="G55" s="33"/>
      <c r="H55" s="32"/>
      <c r="I55" s="46"/>
      <c r="J55" s="40"/>
      <c r="K55" s="40"/>
      <c r="L55" s="40"/>
      <c r="M55" s="47"/>
      <c r="N55" s="81">
        <f>N54-N47</f>
        <v>21179.79</v>
      </c>
      <c r="O55" s="80"/>
    </row>
    <row r="56" customFormat="1" ht="36" customHeight="1" spans="1:15">
      <c r="A56" s="27" t="s">
        <v>158</v>
      </c>
      <c r="B56" s="67" t="s">
        <v>159</v>
      </c>
      <c r="C56" s="68"/>
      <c r="D56" s="69"/>
      <c r="E56" s="70"/>
      <c r="F56" s="32"/>
      <c r="G56" s="33"/>
      <c r="H56" s="32"/>
      <c r="I56" s="46"/>
      <c r="J56" s="40"/>
      <c r="K56" s="40"/>
      <c r="L56" s="40"/>
      <c r="M56" s="47"/>
      <c r="N56" s="40"/>
      <c r="O56" s="79"/>
    </row>
    <row r="57" customFormat="1" ht="34" customHeight="1" spans="1:15">
      <c r="A57" s="27"/>
      <c r="B57" s="67" t="s">
        <v>160</v>
      </c>
      <c r="C57" s="68"/>
      <c r="D57" s="69"/>
      <c r="E57" s="70"/>
      <c r="F57" s="32"/>
      <c r="G57" s="33">
        <f t="shared" ref="G57:G63" si="18">H57*(1+I57)</f>
        <v>0</v>
      </c>
      <c r="H57" s="32"/>
      <c r="I57" s="46"/>
      <c r="J57" s="40"/>
      <c r="K57" s="40"/>
      <c r="L57" s="40"/>
      <c r="M57" s="47">
        <f t="shared" ref="M57:M63" si="19">F57+G57+J57+K57+L57</f>
        <v>0</v>
      </c>
      <c r="N57" s="40">
        <f t="shared" ref="N57:N63" si="20">E57*M57</f>
        <v>0</v>
      </c>
      <c r="O57" s="79"/>
    </row>
    <row r="58" customFormat="1" ht="91" customHeight="1" spans="1:15">
      <c r="A58" s="27">
        <v>1</v>
      </c>
      <c r="B58" s="28" t="s">
        <v>161</v>
      </c>
      <c r="C58" s="28" t="s">
        <v>162</v>
      </c>
      <c r="D58" s="28" t="s">
        <v>163</v>
      </c>
      <c r="E58" s="40">
        <v>1</v>
      </c>
      <c r="F58" s="32">
        <v>0</v>
      </c>
      <c r="G58" s="33">
        <f t="shared" si="18"/>
        <v>9273.3</v>
      </c>
      <c r="H58" s="40">
        <v>9273.3</v>
      </c>
      <c r="I58" s="46">
        <v>0</v>
      </c>
      <c r="J58" s="40">
        <v>0</v>
      </c>
      <c r="K58" s="40">
        <f>(F58+G58+J58)*K5</f>
        <v>185.466</v>
      </c>
      <c r="L58" s="40">
        <f>(F58+G58+J58+K58)*L5</f>
        <v>851.28894</v>
      </c>
      <c r="M58" s="47">
        <f t="shared" si="19"/>
        <v>10310.05494</v>
      </c>
      <c r="N58" s="40">
        <f t="shared" si="20"/>
        <v>10310.05494</v>
      </c>
      <c r="O58" s="52" t="s">
        <v>164</v>
      </c>
    </row>
    <row r="59" customFormat="1" ht="79" customHeight="1" spans="1:15">
      <c r="A59" s="27">
        <v>2</v>
      </c>
      <c r="B59" s="28" t="s">
        <v>165</v>
      </c>
      <c r="C59" s="28" t="s">
        <v>166</v>
      </c>
      <c r="D59" s="28" t="s">
        <v>167</v>
      </c>
      <c r="E59" s="40">
        <v>1</v>
      </c>
      <c r="F59" s="32">
        <v>0</v>
      </c>
      <c r="G59" s="33">
        <f t="shared" si="18"/>
        <v>2791.45</v>
      </c>
      <c r="H59" s="40">
        <v>2791.45</v>
      </c>
      <c r="I59" s="46">
        <v>0</v>
      </c>
      <c r="J59" s="40">
        <v>0</v>
      </c>
      <c r="K59" s="40">
        <f>(F59+G59+J59)*K5</f>
        <v>55.829</v>
      </c>
      <c r="L59" s="40">
        <f>(F59+G59+J59+K59)*L5</f>
        <v>256.25511</v>
      </c>
      <c r="M59" s="47">
        <f t="shared" si="19"/>
        <v>3103.53411</v>
      </c>
      <c r="N59" s="40">
        <f t="shared" si="20"/>
        <v>3103.53411</v>
      </c>
      <c r="O59" s="52" t="s">
        <v>168</v>
      </c>
    </row>
    <row r="60" customFormat="1" ht="93" customHeight="1" spans="1:15">
      <c r="A60" s="27">
        <v>3</v>
      </c>
      <c r="B60" s="28" t="s">
        <v>169</v>
      </c>
      <c r="C60" s="28" t="s">
        <v>170</v>
      </c>
      <c r="D60" s="28" t="s">
        <v>163</v>
      </c>
      <c r="E60" s="40">
        <v>1</v>
      </c>
      <c r="F60" s="32">
        <v>0</v>
      </c>
      <c r="G60" s="33">
        <f t="shared" si="18"/>
        <v>3482.22</v>
      </c>
      <c r="H60" s="40">
        <v>3482.22</v>
      </c>
      <c r="I60" s="46">
        <v>0</v>
      </c>
      <c r="J60" s="40">
        <v>0</v>
      </c>
      <c r="K60" s="40">
        <f>(F60+G60+J60)*K5</f>
        <v>69.6444</v>
      </c>
      <c r="L60" s="40">
        <f>(F60+G60+J60+K60)*L5</f>
        <v>319.667796</v>
      </c>
      <c r="M60" s="47">
        <f t="shared" si="19"/>
        <v>3871.532196</v>
      </c>
      <c r="N60" s="40">
        <f t="shared" si="20"/>
        <v>3871.532196</v>
      </c>
      <c r="O60" s="52" t="s">
        <v>171</v>
      </c>
    </row>
    <row r="61" customFormat="1" ht="55" customHeight="1" spans="1:15">
      <c r="A61" s="27">
        <v>4</v>
      </c>
      <c r="B61" s="28" t="s">
        <v>172</v>
      </c>
      <c r="C61" s="28" t="s">
        <v>173</v>
      </c>
      <c r="D61" s="28" t="s">
        <v>174</v>
      </c>
      <c r="E61" s="40">
        <v>1</v>
      </c>
      <c r="F61" s="32">
        <v>0</v>
      </c>
      <c r="G61" s="33">
        <f t="shared" si="18"/>
        <v>850.68</v>
      </c>
      <c r="H61" s="40">
        <v>850.68</v>
      </c>
      <c r="I61" s="46">
        <v>0</v>
      </c>
      <c r="J61" s="40">
        <v>0</v>
      </c>
      <c r="K61" s="40">
        <f>(F61+G61+J61)*K5</f>
        <v>17.0136</v>
      </c>
      <c r="L61" s="40">
        <f>(F61+G61+J61+K61)*L5</f>
        <v>78.092424</v>
      </c>
      <c r="M61" s="47">
        <f t="shared" si="19"/>
        <v>945.786024</v>
      </c>
      <c r="N61" s="40">
        <f t="shared" si="20"/>
        <v>945.786024</v>
      </c>
      <c r="O61" s="52" t="s">
        <v>175</v>
      </c>
    </row>
    <row r="62" s="4" customFormat="1" ht="80.25" customHeight="1" spans="1:15">
      <c r="A62" s="27">
        <v>5</v>
      </c>
      <c r="B62" s="28" t="s">
        <v>176</v>
      </c>
      <c r="C62" s="28" t="s">
        <v>177</v>
      </c>
      <c r="D62" s="28" t="s">
        <v>62</v>
      </c>
      <c r="E62" s="40">
        <v>1</v>
      </c>
      <c r="F62" s="32">
        <v>0</v>
      </c>
      <c r="G62" s="33">
        <f t="shared" si="18"/>
        <v>141.94</v>
      </c>
      <c r="H62" s="40">
        <v>141.94</v>
      </c>
      <c r="I62" s="46">
        <v>0</v>
      </c>
      <c r="J62" s="40">
        <v>0</v>
      </c>
      <c r="K62" s="40">
        <f>(F62+G62+J62)*K5</f>
        <v>2.8388</v>
      </c>
      <c r="L62" s="40">
        <f>(F62+G62+J62+K62)*L5</f>
        <v>13.030092</v>
      </c>
      <c r="M62" s="47">
        <f t="shared" si="19"/>
        <v>157.808892</v>
      </c>
      <c r="N62" s="40">
        <f t="shared" si="20"/>
        <v>157.808892</v>
      </c>
      <c r="O62" s="52" t="s">
        <v>178</v>
      </c>
    </row>
    <row r="63" customFormat="1" ht="33" customHeight="1" spans="1:15">
      <c r="A63" s="27">
        <v>6</v>
      </c>
      <c r="B63" s="28" t="s">
        <v>179</v>
      </c>
      <c r="C63" s="28" t="s">
        <v>180</v>
      </c>
      <c r="D63" s="28" t="s">
        <v>35</v>
      </c>
      <c r="E63" s="40">
        <v>1</v>
      </c>
      <c r="F63" s="32">
        <v>0</v>
      </c>
      <c r="G63" s="33">
        <f t="shared" si="18"/>
        <v>2481</v>
      </c>
      <c r="H63" s="40">
        <v>2481</v>
      </c>
      <c r="I63" s="46">
        <v>0</v>
      </c>
      <c r="J63" s="40">
        <v>0</v>
      </c>
      <c r="K63" s="40">
        <f>(F63+G63+J63)*K5</f>
        <v>49.62</v>
      </c>
      <c r="L63" s="40">
        <f>(F63+G63+J63+K63)*L5</f>
        <v>227.7558</v>
      </c>
      <c r="M63" s="47">
        <f t="shared" si="19"/>
        <v>2758.3758</v>
      </c>
      <c r="N63" s="40">
        <f t="shared" si="20"/>
        <v>2758.3758</v>
      </c>
      <c r="O63" s="52"/>
    </row>
    <row r="64" customFormat="1" ht="38" customHeight="1" spans="1:15">
      <c r="A64" s="27">
        <v>7</v>
      </c>
      <c r="B64" s="67" t="s">
        <v>181</v>
      </c>
      <c r="C64" s="68"/>
      <c r="D64" s="69"/>
      <c r="E64" s="70"/>
      <c r="F64" s="32"/>
      <c r="G64" s="33">
        <f t="shared" ref="G64:G87" si="21">H64*(1+I64)</f>
        <v>0</v>
      </c>
      <c r="H64" s="32"/>
      <c r="I64" s="46"/>
      <c r="J64" s="40"/>
      <c r="K64" s="40"/>
      <c r="L64" s="40"/>
      <c r="M64" s="47">
        <f t="shared" ref="M64:M87" si="22">F64+G64+J64+K64+L64</f>
        <v>0</v>
      </c>
      <c r="N64" s="40">
        <f t="shared" ref="N64:N87" si="23">E64*M64</f>
        <v>0</v>
      </c>
      <c r="O64" s="79"/>
    </row>
    <row r="65" customFormat="1" ht="82" customHeight="1" spans="1:15">
      <c r="A65" s="27">
        <v>8</v>
      </c>
      <c r="B65" s="28" t="s">
        <v>182</v>
      </c>
      <c r="C65" s="28" t="s">
        <v>183</v>
      </c>
      <c r="D65" s="28" t="s">
        <v>184</v>
      </c>
      <c r="E65" s="40">
        <v>3</v>
      </c>
      <c r="F65" s="32">
        <v>0</v>
      </c>
      <c r="G65" s="33">
        <f t="shared" si="21"/>
        <v>3595.77</v>
      </c>
      <c r="H65" s="40">
        <v>3595.77</v>
      </c>
      <c r="I65" s="46">
        <v>0</v>
      </c>
      <c r="J65" s="40">
        <v>0</v>
      </c>
      <c r="K65" s="40">
        <f>(F65+G65+J65)*K5</f>
        <v>71.9154</v>
      </c>
      <c r="L65" s="40">
        <f>(F65+G65+J65+K65)*L5</f>
        <v>330.091686</v>
      </c>
      <c r="M65" s="47">
        <f t="shared" si="22"/>
        <v>3997.777086</v>
      </c>
      <c r="N65" s="40">
        <f t="shared" si="23"/>
        <v>11993.331258</v>
      </c>
      <c r="O65" s="52" t="s">
        <v>185</v>
      </c>
    </row>
    <row r="66" customFormat="1" ht="80" customHeight="1" spans="1:15">
      <c r="A66" s="27">
        <v>9</v>
      </c>
      <c r="B66" s="28" t="s">
        <v>186</v>
      </c>
      <c r="C66" s="28" t="s">
        <v>183</v>
      </c>
      <c r="D66" s="28" t="s">
        <v>184</v>
      </c>
      <c r="E66" s="40">
        <v>2</v>
      </c>
      <c r="F66" s="32">
        <v>0</v>
      </c>
      <c r="G66" s="33">
        <f t="shared" si="21"/>
        <v>3595.77</v>
      </c>
      <c r="H66" s="40">
        <v>3595.77</v>
      </c>
      <c r="I66" s="46">
        <v>0</v>
      </c>
      <c r="J66" s="40">
        <v>0</v>
      </c>
      <c r="K66" s="40">
        <f>(F66+G66+J66)*K5</f>
        <v>71.9154</v>
      </c>
      <c r="L66" s="40">
        <f>(F66+G66+J66+K66)*L5</f>
        <v>330.091686</v>
      </c>
      <c r="M66" s="47">
        <f t="shared" si="22"/>
        <v>3997.777086</v>
      </c>
      <c r="N66" s="40">
        <f t="shared" si="23"/>
        <v>7995.554172</v>
      </c>
      <c r="O66" s="52" t="s">
        <v>185</v>
      </c>
    </row>
    <row r="67" customFormat="1" ht="90" customHeight="1" spans="1:15">
      <c r="A67" s="27">
        <v>10</v>
      </c>
      <c r="B67" s="28" t="s">
        <v>187</v>
      </c>
      <c r="C67" s="28" t="s">
        <v>188</v>
      </c>
      <c r="D67" s="28" t="s">
        <v>184</v>
      </c>
      <c r="E67" s="40">
        <v>2</v>
      </c>
      <c r="F67" s="32">
        <v>0</v>
      </c>
      <c r="G67" s="33">
        <f t="shared" si="21"/>
        <v>3453.83</v>
      </c>
      <c r="H67" s="40">
        <v>3453.83</v>
      </c>
      <c r="I67" s="46">
        <v>0</v>
      </c>
      <c r="J67" s="40">
        <v>0</v>
      </c>
      <c r="K67" s="40">
        <f>(F67+G67+J67)*K5</f>
        <v>69.0766</v>
      </c>
      <c r="L67" s="40">
        <f>(F67+G67+J67+K67)*L5</f>
        <v>317.061594</v>
      </c>
      <c r="M67" s="47">
        <f t="shared" si="22"/>
        <v>3839.968194</v>
      </c>
      <c r="N67" s="40">
        <f t="shared" si="23"/>
        <v>7679.936388</v>
      </c>
      <c r="O67" s="52" t="s">
        <v>189</v>
      </c>
    </row>
    <row r="68" customFormat="1" ht="119" customHeight="1" spans="1:15">
      <c r="A68" s="27">
        <v>11</v>
      </c>
      <c r="B68" s="28" t="s">
        <v>190</v>
      </c>
      <c r="C68" s="28" t="s">
        <v>191</v>
      </c>
      <c r="D68" s="28" t="s">
        <v>184</v>
      </c>
      <c r="E68" s="40">
        <v>1</v>
      </c>
      <c r="F68" s="32">
        <v>0</v>
      </c>
      <c r="G68" s="33">
        <f t="shared" si="21"/>
        <v>5488.28</v>
      </c>
      <c r="H68" s="40">
        <v>5488.28</v>
      </c>
      <c r="I68" s="46">
        <v>0</v>
      </c>
      <c r="J68" s="40">
        <v>0</v>
      </c>
      <c r="K68" s="40">
        <f>(F68+G68+J68)*K5</f>
        <v>109.7656</v>
      </c>
      <c r="L68" s="40">
        <f>(F68+G68+J68+K68)*L5</f>
        <v>503.824104</v>
      </c>
      <c r="M68" s="47">
        <f t="shared" si="22"/>
        <v>6101.869704</v>
      </c>
      <c r="N68" s="40">
        <f t="shared" si="23"/>
        <v>6101.869704</v>
      </c>
      <c r="O68" s="52" t="s">
        <v>192</v>
      </c>
    </row>
    <row r="69" customFormat="1" ht="92" customHeight="1" spans="1:15">
      <c r="A69" s="27">
        <v>12</v>
      </c>
      <c r="B69" s="28" t="s">
        <v>193</v>
      </c>
      <c r="C69" s="28" t="s">
        <v>194</v>
      </c>
      <c r="D69" s="28" t="s">
        <v>163</v>
      </c>
      <c r="E69" s="40">
        <v>1</v>
      </c>
      <c r="F69" s="32">
        <v>0</v>
      </c>
      <c r="G69" s="33">
        <f t="shared" si="21"/>
        <v>2819.84</v>
      </c>
      <c r="H69" s="40">
        <v>2819.84</v>
      </c>
      <c r="I69" s="46">
        <v>0</v>
      </c>
      <c r="J69" s="40">
        <v>0</v>
      </c>
      <c r="K69" s="40">
        <f>(F69+G69+J69)*K5</f>
        <v>56.3968</v>
      </c>
      <c r="L69" s="40">
        <f>(F69+G69+J69+K69)*L5</f>
        <v>258.861312</v>
      </c>
      <c r="M69" s="47">
        <f t="shared" si="22"/>
        <v>3135.098112</v>
      </c>
      <c r="N69" s="40">
        <f t="shared" si="23"/>
        <v>3135.098112</v>
      </c>
      <c r="O69" s="52" t="s">
        <v>195</v>
      </c>
    </row>
    <row r="70" customFormat="1" ht="110" customHeight="1" spans="1:15">
      <c r="A70" s="27">
        <v>13</v>
      </c>
      <c r="B70" s="28" t="s">
        <v>196</v>
      </c>
      <c r="C70" s="28" t="s">
        <v>197</v>
      </c>
      <c r="D70" s="28" t="s">
        <v>163</v>
      </c>
      <c r="E70" s="40">
        <v>1</v>
      </c>
      <c r="F70" s="32">
        <v>0</v>
      </c>
      <c r="G70" s="33">
        <f t="shared" si="21"/>
        <v>3766.09</v>
      </c>
      <c r="H70" s="40">
        <v>3766.09</v>
      </c>
      <c r="I70" s="46">
        <v>0</v>
      </c>
      <c r="J70" s="40">
        <v>0</v>
      </c>
      <c r="K70" s="40">
        <f>(F70+G70+J70)*K5</f>
        <v>75.3218</v>
      </c>
      <c r="L70" s="40">
        <f>(F70+G70+J70+K70)*L5</f>
        <v>345.727062</v>
      </c>
      <c r="M70" s="47">
        <f t="shared" si="22"/>
        <v>4187.138862</v>
      </c>
      <c r="N70" s="40">
        <f t="shared" si="23"/>
        <v>4187.138862</v>
      </c>
      <c r="O70" s="52" t="s">
        <v>198</v>
      </c>
    </row>
    <row r="71" customFormat="1" ht="87" customHeight="1" spans="1:15">
      <c r="A71" s="27">
        <v>14</v>
      </c>
      <c r="B71" s="28" t="s">
        <v>199</v>
      </c>
      <c r="C71" s="28" t="s">
        <v>200</v>
      </c>
      <c r="D71" s="28" t="s">
        <v>62</v>
      </c>
      <c r="E71" s="40">
        <v>1</v>
      </c>
      <c r="F71" s="32">
        <v>0</v>
      </c>
      <c r="G71" s="33">
        <f t="shared" si="21"/>
        <v>927.33</v>
      </c>
      <c r="H71" s="40">
        <v>927.33</v>
      </c>
      <c r="I71" s="46">
        <v>0</v>
      </c>
      <c r="J71" s="40">
        <v>0</v>
      </c>
      <c r="K71" s="40">
        <f>(F71+G71+J71)*K5</f>
        <v>18.5466</v>
      </c>
      <c r="L71" s="40">
        <f>(F71+G71+J71+K71)*L5</f>
        <v>85.128894</v>
      </c>
      <c r="M71" s="47">
        <f t="shared" si="22"/>
        <v>1031.005494</v>
      </c>
      <c r="N71" s="40">
        <f t="shared" si="23"/>
        <v>1031.005494</v>
      </c>
      <c r="O71" s="52" t="s">
        <v>201</v>
      </c>
    </row>
    <row r="72" customFormat="1" ht="68" customHeight="1" spans="1:15">
      <c r="A72" s="27">
        <v>15</v>
      </c>
      <c r="B72" s="28" t="s">
        <v>202</v>
      </c>
      <c r="C72" s="28" t="s">
        <v>203</v>
      </c>
      <c r="D72" s="28" t="s">
        <v>62</v>
      </c>
      <c r="E72" s="40">
        <v>1</v>
      </c>
      <c r="F72" s="32">
        <v>0</v>
      </c>
      <c r="G72" s="33">
        <f t="shared" si="21"/>
        <v>187.36</v>
      </c>
      <c r="H72" s="40">
        <v>187.36</v>
      </c>
      <c r="I72" s="46">
        <v>0</v>
      </c>
      <c r="J72" s="40">
        <v>0</v>
      </c>
      <c r="K72" s="40">
        <f>(F72+G72+J72)*K5</f>
        <v>3.7472</v>
      </c>
      <c r="L72" s="40">
        <f>(F72+G72+J72+K72)*L5</f>
        <v>17.199648</v>
      </c>
      <c r="M72" s="47">
        <f t="shared" si="22"/>
        <v>208.306848</v>
      </c>
      <c r="N72" s="40">
        <f t="shared" si="23"/>
        <v>208.306848</v>
      </c>
      <c r="O72" s="52" t="s">
        <v>204</v>
      </c>
    </row>
    <row r="73" customFormat="1" ht="47" customHeight="1" spans="1:15">
      <c r="A73" s="27">
        <v>16</v>
      </c>
      <c r="B73" s="28" t="s">
        <v>205</v>
      </c>
      <c r="C73" s="28" t="s">
        <v>206</v>
      </c>
      <c r="D73" s="28" t="s">
        <v>163</v>
      </c>
      <c r="E73" s="40">
        <v>1</v>
      </c>
      <c r="F73" s="32">
        <v>0</v>
      </c>
      <c r="G73" s="33">
        <f t="shared" si="21"/>
        <v>1211.21</v>
      </c>
      <c r="H73" s="40">
        <v>1211.21</v>
      </c>
      <c r="I73" s="46">
        <v>0</v>
      </c>
      <c r="J73" s="40">
        <v>0</v>
      </c>
      <c r="K73" s="40">
        <f>(F73+G73+J73)*K5</f>
        <v>24.2242</v>
      </c>
      <c r="L73" s="40">
        <f>(F73+G73+J73+K73)*L5</f>
        <v>111.189078</v>
      </c>
      <c r="M73" s="47">
        <f t="shared" si="22"/>
        <v>1346.623278</v>
      </c>
      <c r="N73" s="40">
        <f t="shared" si="23"/>
        <v>1346.623278</v>
      </c>
      <c r="O73" s="52" t="s">
        <v>207</v>
      </c>
    </row>
    <row r="74" customFormat="1" ht="47" customHeight="1" spans="1:15">
      <c r="A74" s="27">
        <v>17</v>
      </c>
      <c r="B74" s="28" t="s">
        <v>208</v>
      </c>
      <c r="C74" s="28" t="s">
        <v>209</v>
      </c>
      <c r="D74" s="28" t="s">
        <v>163</v>
      </c>
      <c r="E74" s="40">
        <v>1</v>
      </c>
      <c r="F74" s="32">
        <v>0</v>
      </c>
      <c r="G74" s="33">
        <f t="shared" si="21"/>
        <v>1088.19</v>
      </c>
      <c r="H74" s="40">
        <v>1088.19</v>
      </c>
      <c r="I74" s="46">
        <v>0</v>
      </c>
      <c r="J74" s="40">
        <v>0</v>
      </c>
      <c r="K74" s="40">
        <f>(F74+G74+J74)*K5</f>
        <v>21.7638</v>
      </c>
      <c r="L74" s="40">
        <f>(F74+G74+J74+K74)*L5</f>
        <v>99.895842</v>
      </c>
      <c r="M74" s="47">
        <f t="shared" si="22"/>
        <v>1209.849642</v>
      </c>
      <c r="N74" s="40">
        <f t="shared" si="23"/>
        <v>1209.849642</v>
      </c>
      <c r="O74" s="52" t="s">
        <v>210</v>
      </c>
    </row>
    <row r="75" customFormat="1" ht="36" customHeight="1" spans="1:15">
      <c r="A75" s="27">
        <v>18</v>
      </c>
      <c r="B75" s="28" t="s">
        <v>211</v>
      </c>
      <c r="C75" s="28" t="s">
        <v>212</v>
      </c>
      <c r="D75" s="28" t="s">
        <v>213</v>
      </c>
      <c r="E75" s="40">
        <v>80</v>
      </c>
      <c r="F75" s="32">
        <v>0</v>
      </c>
      <c r="G75" s="33">
        <f t="shared" si="21"/>
        <v>7.57</v>
      </c>
      <c r="H75" s="40">
        <v>7.57</v>
      </c>
      <c r="I75" s="46">
        <v>0</v>
      </c>
      <c r="J75" s="40">
        <v>0</v>
      </c>
      <c r="K75" s="40">
        <f>(F75+G75+J75)*K5</f>
        <v>0.1514</v>
      </c>
      <c r="L75" s="40">
        <f>(F75+G75+J75+K75)*L5</f>
        <v>0.694926</v>
      </c>
      <c r="M75" s="47">
        <f t="shared" si="22"/>
        <v>8.416326</v>
      </c>
      <c r="N75" s="40">
        <f t="shared" si="23"/>
        <v>673.30608</v>
      </c>
      <c r="O75" s="52" t="s">
        <v>212</v>
      </c>
    </row>
    <row r="76" customFormat="1" ht="36" customHeight="1" spans="1:15">
      <c r="A76" s="27">
        <v>19</v>
      </c>
      <c r="B76" s="28" t="s">
        <v>214</v>
      </c>
      <c r="C76" s="28" t="s">
        <v>215</v>
      </c>
      <c r="D76" s="28" t="s">
        <v>213</v>
      </c>
      <c r="E76" s="40">
        <v>15</v>
      </c>
      <c r="F76" s="32">
        <v>0</v>
      </c>
      <c r="G76" s="33">
        <f t="shared" si="21"/>
        <v>14.19</v>
      </c>
      <c r="H76" s="40">
        <v>14.19</v>
      </c>
      <c r="I76" s="46">
        <v>0</v>
      </c>
      <c r="J76" s="40">
        <v>0</v>
      </c>
      <c r="K76" s="40">
        <f>(F76+G76+J76)*K5</f>
        <v>0.2838</v>
      </c>
      <c r="L76" s="40">
        <f>(F76+G76+J76+K76)*L5</f>
        <v>1.302642</v>
      </c>
      <c r="M76" s="47">
        <f t="shared" si="22"/>
        <v>15.776442</v>
      </c>
      <c r="N76" s="40">
        <f t="shared" si="23"/>
        <v>236.64663</v>
      </c>
      <c r="O76" s="52" t="s">
        <v>215</v>
      </c>
    </row>
    <row r="77" customFormat="1" ht="33" customHeight="1" spans="1:15">
      <c r="A77" s="27">
        <v>20</v>
      </c>
      <c r="B77" s="28" t="s">
        <v>216</v>
      </c>
      <c r="C77" s="28" t="s">
        <v>180</v>
      </c>
      <c r="D77" s="28" t="s">
        <v>35</v>
      </c>
      <c r="E77" s="40">
        <v>1</v>
      </c>
      <c r="F77" s="32">
        <v>0</v>
      </c>
      <c r="G77" s="33">
        <f t="shared" si="21"/>
        <v>6179</v>
      </c>
      <c r="H77" s="40">
        <v>6179</v>
      </c>
      <c r="I77" s="46">
        <v>0</v>
      </c>
      <c r="J77" s="40">
        <v>0</v>
      </c>
      <c r="K77" s="40">
        <f>(F77+G77+J77)*K5</f>
        <v>123.58</v>
      </c>
      <c r="L77" s="40">
        <f>(F77+G77+J77+K77)*L5</f>
        <v>567.2322</v>
      </c>
      <c r="M77" s="47">
        <f t="shared" si="22"/>
        <v>6869.8122</v>
      </c>
      <c r="N77" s="40">
        <f t="shared" si="23"/>
        <v>6869.8122</v>
      </c>
      <c r="O77" s="52"/>
    </row>
    <row r="78" customFormat="1" ht="38" customHeight="1" spans="1:15">
      <c r="A78" s="27">
        <v>21</v>
      </c>
      <c r="B78" s="67" t="s">
        <v>217</v>
      </c>
      <c r="C78" s="68"/>
      <c r="D78" s="69"/>
      <c r="E78" s="70"/>
      <c r="F78" s="32"/>
      <c r="G78" s="33">
        <f t="shared" ref="G78:G88" si="24">H78*(1+I78)</f>
        <v>0</v>
      </c>
      <c r="H78" s="32"/>
      <c r="I78" s="46"/>
      <c r="J78" s="40"/>
      <c r="K78" s="40"/>
      <c r="L78" s="40"/>
      <c r="M78" s="47">
        <f t="shared" ref="M78:M88" si="25">F78+G78+J78+K78+L78</f>
        <v>0</v>
      </c>
      <c r="N78" s="40">
        <f t="shared" ref="N78:N88" si="26">E78*M78</f>
        <v>0</v>
      </c>
      <c r="O78" s="79"/>
    </row>
    <row r="79" customFormat="1" ht="144" customHeight="1" spans="1:15">
      <c r="A79" s="27">
        <v>22</v>
      </c>
      <c r="B79" s="28" t="s">
        <v>218</v>
      </c>
      <c r="C79" s="28" t="s">
        <v>219</v>
      </c>
      <c r="D79" s="28" t="s">
        <v>184</v>
      </c>
      <c r="E79" s="40">
        <v>2</v>
      </c>
      <c r="F79" s="32">
        <v>0</v>
      </c>
      <c r="G79" s="33">
        <f t="shared" si="24"/>
        <v>2223.69</v>
      </c>
      <c r="H79" s="40">
        <v>2223.69</v>
      </c>
      <c r="I79" s="46">
        <v>0</v>
      </c>
      <c r="J79" s="40">
        <v>0</v>
      </c>
      <c r="K79" s="40">
        <f>(F79+G79+J79)*K5</f>
        <v>44.4738</v>
      </c>
      <c r="L79" s="40">
        <f>(F79+G79+J79+K79)*L5</f>
        <v>204.134742</v>
      </c>
      <c r="M79" s="47">
        <f t="shared" si="25"/>
        <v>2472.298542</v>
      </c>
      <c r="N79" s="40">
        <f t="shared" si="26"/>
        <v>4944.597084</v>
      </c>
      <c r="O79" s="52" t="s">
        <v>220</v>
      </c>
    </row>
    <row r="80" customFormat="1" ht="132" customHeight="1" spans="1:15">
      <c r="A80" s="27">
        <v>23</v>
      </c>
      <c r="B80" s="28" t="s">
        <v>221</v>
      </c>
      <c r="C80" s="28" t="s">
        <v>222</v>
      </c>
      <c r="D80" s="28" t="s">
        <v>163</v>
      </c>
      <c r="E80" s="40">
        <v>1</v>
      </c>
      <c r="F80" s="32">
        <v>0</v>
      </c>
      <c r="G80" s="33">
        <f t="shared" si="24"/>
        <v>2034.45</v>
      </c>
      <c r="H80" s="40">
        <v>2034.45</v>
      </c>
      <c r="I80" s="46">
        <v>0</v>
      </c>
      <c r="J80" s="40">
        <v>0</v>
      </c>
      <c r="K80" s="40">
        <f>(F80+G80+J80)*K5</f>
        <v>40.689</v>
      </c>
      <c r="L80" s="40">
        <f>(F80+G80+J80+K80)*L5</f>
        <v>186.76251</v>
      </c>
      <c r="M80" s="47">
        <f t="shared" si="25"/>
        <v>2261.90151</v>
      </c>
      <c r="N80" s="40">
        <f t="shared" si="26"/>
        <v>2261.90151</v>
      </c>
      <c r="O80" s="52" t="s">
        <v>223</v>
      </c>
    </row>
    <row r="81" customFormat="1" ht="140" customHeight="1" spans="1:15">
      <c r="A81" s="27">
        <v>24</v>
      </c>
      <c r="B81" s="28" t="s">
        <v>224</v>
      </c>
      <c r="C81" s="28" t="s">
        <v>225</v>
      </c>
      <c r="D81" s="28" t="s">
        <v>163</v>
      </c>
      <c r="E81" s="40">
        <v>1</v>
      </c>
      <c r="F81" s="32">
        <v>0</v>
      </c>
      <c r="G81" s="33">
        <f t="shared" si="24"/>
        <v>1561.32</v>
      </c>
      <c r="H81" s="40">
        <v>1561.32</v>
      </c>
      <c r="I81" s="46">
        <v>0</v>
      </c>
      <c r="J81" s="40">
        <v>0</v>
      </c>
      <c r="K81" s="40">
        <f>(F81+G81+J81)*K5</f>
        <v>31.2264</v>
      </c>
      <c r="L81" s="40">
        <f>(F81+G81+J81+K81)*L5</f>
        <v>143.329176</v>
      </c>
      <c r="M81" s="47">
        <f t="shared" si="25"/>
        <v>1735.875576</v>
      </c>
      <c r="N81" s="40">
        <f t="shared" si="26"/>
        <v>1735.875576</v>
      </c>
      <c r="O81" s="52" t="s">
        <v>226</v>
      </c>
    </row>
    <row r="82" customFormat="1" ht="59" customHeight="1" spans="1:15">
      <c r="A82" s="27">
        <v>25</v>
      </c>
      <c r="B82" s="28" t="s">
        <v>227</v>
      </c>
      <c r="C82" s="28" t="s">
        <v>228</v>
      </c>
      <c r="D82" s="28" t="s">
        <v>62</v>
      </c>
      <c r="E82" s="40">
        <v>1</v>
      </c>
      <c r="F82" s="32">
        <v>0</v>
      </c>
      <c r="G82" s="33">
        <f t="shared" si="24"/>
        <v>3406.52</v>
      </c>
      <c r="H82" s="40">
        <v>3406.52</v>
      </c>
      <c r="I82" s="46">
        <v>0</v>
      </c>
      <c r="J82" s="40">
        <v>0</v>
      </c>
      <c r="K82" s="40">
        <f>(F82+G82+J82)*K5</f>
        <v>68.1304</v>
      </c>
      <c r="L82" s="40">
        <f>(F82+G82+J82+K82)*L5</f>
        <v>312.718536</v>
      </c>
      <c r="M82" s="47">
        <f t="shared" si="25"/>
        <v>3787.368936</v>
      </c>
      <c r="N82" s="40">
        <f t="shared" si="26"/>
        <v>3787.368936</v>
      </c>
      <c r="O82" s="52" t="s">
        <v>229</v>
      </c>
    </row>
    <row r="83" customFormat="1" ht="82" customHeight="1" spans="1:15">
      <c r="A83" s="27">
        <v>26</v>
      </c>
      <c r="B83" s="28" t="s">
        <v>230</v>
      </c>
      <c r="C83" s="28" t="s">
        <v>231</v>
      </c>
      <c r="D83" s="28" t="s">
        <v>62</v>
      </c>
      <c r="E83" s="40">
        <v>1</v>
      </c>
      <c r="F83" s="32">
        <v>0</v>
      </c>
      <c r="G83" s="33">
        <f t="shared" si="24"/>
        <v>1750.57</v>
      </c>
      <c r="H83" s="40">
        <v>1750.57</v>
      </c>
      <c r="I83" s="46">
        <v>0</v>
      </c>
      <c r="J83" s="40">
        <v>0</v>
      </c>
      <c r="K83" s="40">
        <f t="shared" ref="K83:K85" si="27">(F83+G83+J83)*K5</f>
        <v>35.0114</v>
      </c>
      <c r="L83" s="40">
        <f t="shared" ref="L83:L85" si="28">(F83+G83+J83+K83)*L5</f>
        <v>160.702326</v>
      </c>
      <c r="M83" s="47">
        <f t="shared" si="25"/>
        <v>1946.283726</v>
      </c>
      <c r="N83" s="40">
        <f t="shared" si="26"/>
        <v>1946.283726</v>
      </c>
      <c r="O83" s="52" t="s">
        <v>232</v>
      </c>
    </row>
    <row r="84" customFormat="1" ht="58" customHeight="1" spans="1:15">
      <c r="A84" s="27">
        <v>27</v>
      </c>
      <c r="B84" s="28" t="s">
        <v>233</v>
      </c>
      <c r="C84" s="28" t="s">
        <v>234</v>
      </c>
      <c r="D84" s="28" t="s">
        <v>163</v>
      </c>
      <c r="E84" s="40">
        <v>1</v>
      </c>
      <c r="F84" s="32">
        <v>0</v>
      </c>
      <c r="G84" s="33">
        <f t="shared" si="24"/>
        <v>927.33</v>
      </c>
      <c r="H84" s="40">
        <v>927.33</v>
      </c>
      <c r="I84" s="46">
        <v>0</v>
      </c>
      <c r="J84" s="40">
        <v>0</v>
      </c>
      <c r="K84" s="40">
        <f>(F84+G84+J84)*K5</f>
        <v>18.5466</v>
      </c>
      <c r="L84" s="40">
        <f>(F84+G84+J84+K84)*L5</f>
        <v>85.128894</v>
      </c>
      <c r="M84" s="47">
        <f t="shared" si="25"/>
        <v>1031.005494</v>
      </c>
      <c r="N84" s="40">
        <f t="shared" si="26"/>
        <v>1031.005494</v>
      </c>
      <c r="O84" s="52" t="s">
        <v>235</v>
      </c>
    </row>
    <row r="85" customFormat="1" ht="50" customHeight="1" spans="1:15">
      <c r="A85" s="27">
        <v>28</v>
      </c>
      <c r="B85" s="28" t="s">
        <v>236</v>
      </c>
      <c r="C85" s="28" t="s">
        <v>237</v>
      </c>
      <c r="D85" s="28" t="s">
        <v>163</v>
      </c>
      <c r="E85" s="40">
        <v>2</v>
      </c>
      <c r="F85" s="32">
        <v>0</v>
      </c>
      <c r="G85" s="33">
        <f t="shared" si="24"/>
        <v>586.67</v>
      </c>
      <c r="H85" s="40">
        <v>586.67</v>
      </c>
      <c r="I85" s="46">
        <v>0</v>
      </c>
      <c r="J85" s="40">
        <v>0</v>
      </c>
      <c r="K85" s="40">
        <f>(F85+G85+J85)*K5</f>
        <v>11.7334</v>
      </c>
      <c r="L85" s="40">
        <f>(F85+G85+J85+K85)*L5</f>
        <v>53.856306</v>
      </c>
      <c r="M85" s="47">
        <f t="shared" si="25"/>
        <v>652.259706</v>
      </c>
      <c r="N85" s="40">
        <f t="shared" si="26"/>
        <v>1304.519412</v>
      </c>
      <c r="O85" s="52" t="s">
        <v>238</v>
      </c>
    </row>
    <row r="86" customFormat="1" ht="36" customHeight="1" spans="1:15">
      <c r="A86" s="27">
        <v>29</v>
      </c>
      <c r="B86" s="28" t="s">
        <v>211</v>
      </c>
      <c r="C86" s="28" t="s">
        <v>212</v>
      </c>
      <c r="D86" s="28" t="s">
        <v>213</v>
      </c>
      <c r="E86" s="40">
        <v>30</v>
      </c>
      <c r="F86" s="32">
        <v>0</v>
      </c>
      <c r="G86" s="33">
        <f t="shared" si="24"/>
        <v>7.57</v>
      </c>
      <c r="H86" s="40">
        <v>7.57</v>
      </c>
      <c r="I86" s="46">
        <v>0</v>
      </c>
      <c r="J86" s="40">
        <v>0</v>
      </c>
      <c r="K86" s="40">
        <f>(F86+G86+J86)*K5</f>
        <v>0.1514</v>
      </c>
      <c r="L86" s="40">
        <f>(F86+G86+J86+K86)*L5</f>
        <v>0.694926</v>
      </c>
      <c r="M86" s="47">
        <f t="shared" si="25"/>
        <v>8.416326</v>
      </c>
      <c r="N86" s="40">
        <f t="shared" si="26"/>
        <v>252.48978</v>
      </c>
      <c r="O86" s="52" t="s">
        <v>212</v>
      </c>
    </row>
    <row r="87" customFormat="1" ht="36" customHeight="1" spans="1:15">
      <c r="A87" s="27">
        <v>30</v>
      </c>
      <c r="B87" s="28" t="s">
        <v>239</v>
      </c>
      <c r="C87" s="28" t="s">
        <v>240</v>
      </c>
      <c r="D87" s="28" t="s">
        <v>213</v>
      </c>
      <c r="E87" s="40">
        <v>15</v>
      </c>
      <c r="F87" s="32">
        <v>0</v>
      </c>
      <c r="G87" s="33">
        <f t="shared" si="24"/>
        <v>14.19</v>
      </c>
      <c r="H87" s="40">
        <v>14.19</v>
      </c>
      <c r="I87" s="46">
        <v>0</v>
      </c>
      <c r="J87" s="40">
        <v>0</v>
      </c>
      <c r="K87" s="40">
        <f>(F87+G87+J87)*K5</f>
        <v>0.2838</v>
      </c>
      <c r="L87" s="40">
        <f>(F87+G87+J87+K87)*L5</f>
        <v>1.302642</v>
      </c>
      <c r="M87" s="47">
        <f t="shared" si="25"/>
        <v>15.776442</v>
      </c>
      <c r="N87" s="40">
        <f t="shared" si="26"/>
        <v>236.64663</v>
      </c>
      <c r="O87" s="52" t="s">
        <v>215</v>
      </c>
    </row>
    <row r="88" customFormat="1" ht="36" customHeight="1" spans="1:15">
      <c r="A88" s="27">
        <v>31</v>
      </c>
      <c r="B88" s="28" t="s">
        <v>241</v>
      </c>
      <c r="C88" s="28" t="s">
        <v>242</v>
      </c>
      <c r="D88" s="28" t="s">
        <v>213</v>
      </c>
      <c r="E88" s="40">
        <v>100</v>
      </c>
      <c r="F88" s="32">
        <v>0</v>
      </c>
      <c r="G88" s="33">
        <f t="shared" si="24"/>
        <v>9.46</v>
      </c>
      <c r="H88" s="40">
        <v>9.46</v>
      </c>
      <c r="I88" s="46">
        <v>0</v>
      </c>
      <c r="J88" s="40">
        <v>0</v>
      </c>
      <c r="K88" s="40">
        <f>(F88+G88+J88)*K5</f>
        <v>0.1892</v>
      </c>
      <c r="L88" s="40">
        <f>(F88+G88+J88+K88)*L5</f>
        <v>0.868428</v>
      </c>
      <c r="M88" s="47">
        <f t="shared" si="25"/>
        <v>10.517628</v>
      </c>
      <c r="N88" s="40">
        <f t="shared" si="26"/>
        <v>1051.7628</v>
      </c>
      <c r="O88" s="52"/>
    </row>
    <row r="89" customFormat="1" ht="50" customHeight="1" spans="1:15">
      <c r="A89" s="27">
        <v>32</v>
      </c>
      <c r="B89" s="28" t="s">
        <v>243</v>
      </c>
      <c r="C89" s="28" t="s">
        <v>244</v>
      </c>
      <c r="D89" s="28" t="s">
        <v>245</v>
      </c>
      <c r="E89" s="40">
        <v>1</v>
      </c>
      <c r="F89" s="32">
        <v>0</v>
      </c>
      <c r="G89" s="33">
        <f t="shared" ref="G89:G93" si="29">H89*(1+I89)</f>
        <v>189.25</v>
      </c>
      <c r="H89" s="40">
        <v>189.25</v>
      </c>
      <c r="I89" s="46">
        <v>0</v>
      </c>
      <c r="J89" s="40">
        <v>0</v>
      </c>
      <c r="K89" s="40">
        <f>(F89+G89+J89)*K5</f>
        <v>3.785</v>
      </c>
      <c r="L89" s="40">
        <f>(F89+G89+J89+K89)*L5</f>
        <v>17.37315</v>
      </c>
      <c r="M89" s="47">
        <f t="shared" ref="M89:M93" si="30">F89+G89+J89+K89+L89</f>
        <v>210.40815</v>
      </c>
      <c r="N89" s="40">
        <f t="shared" ref="N89:N93" si="31">E89*M89</f>
        <v>210.40815</v>
      </c>
      <c r="O89" s="52"/>
    </row>
    <row r="90" customFormat="1" ht="56" customHeight="1" spans="1:15">
      <c r="A90" s="27">
        <v>33</v>
      </c>
      <c r="B90" s="28" t="s">
        <v>246</v>
      </c>
      <c r="C90" s="28" t="s">
        <v>247</v>
      </c>
      <c r="D90" s="28" t="s">
        <v>248</v>
      </c>
      <c r="E90" s="40">
        <v>2</v>
      </c>
      <c r="F90" s="32">
        <v>0</v>
      </c>
      <c r="G90" s="33">
        <f t="shared" si="29"/>
        <v>615</v>
      </c>
      <c r="H90" s="40">
        <v>615</v>
      </c>
      <c r="I90" s="46">
        <v>0</v>
      </c>
      <c r="J90" s="40">
        <v>0</v>
      </c>
      <c r="K90" s="40">
        <f>(F90+G90+J90)*K5</f>
        <v>12.3</v>
      </c>
      <c r="L90" s="40">
        <f>(F90+G90+J90+K90)*L5</f>
        <v>56.457</v>
      </c>
      <c r="M90" s="47">
        <f t="shared" si="30"/>
        <v>683.757</v>
      </c>
      <c r="N90" s="40">
        <f t="shared" si="31"/>
        <v>1367.514</v>
      </c>
      <c r="O90" s="52" t="s">
        <v>249</v>
      </c>
    </row>
    <row r="91" customFormat="1" ht="33" customHeight="1" spans="1:15">
      <c r="A91" s="27">
        <v>34</v>
      </c>
      <c r="B91" s="28" t="s">
        <v>250</v>
      </c>
      <c r="C91" s="28" t="s">
        <v>180</v>
      </c>
      <c r="D91" s="28" t="s">
        <v>35</v>
      </c>
      <c r="E91" s="40">
        <v>1</v>
      </c>
      <c r="F91" s="32">
        <v>0</v>
      </c>
      <c r="G91" s="33">
        <f t="shared" si="29"/>
        <v>2513.24</v>
      </c>
      <c r="H91" s="40">
        <v>2513.24</v>
      </c>
      <c r="I91" s="46">
        <v>0</v>
      </c>
      <c r="J91" s="40">
        <v>0</v>
      </c>
      <c r="K91" s="40">
        <f>(F91+G91+J91)*K5</f>
        <v>50.2648</v>
      </c>
      <c r="L91" s="40">
        <f>(F91+G91+J91+K91)*L5</f>
        <v>230.715432</v>
      </c>
      <c r="M91" s="47">
        <f t="shared" si="30"/>
        <v>2794.220232</v>
      </c>
      <c r="N91" s="40">
        <f t="shared" si="31"/>
        <v>2794.220232</v>
      </c>
      <c r="O91" s="52"/>
    </row>
    <row r="92" customFormat="1" ht="38" customHeight="1" spans="1:15">
      <c r="A92" s="27">
        <v>35</v>
      </c>
      <c r="B92" s="67" t="s">
        <v>251</v>
      </c>
      <c r="C92" s="68"/>
      <c r="D92" s="69"/>
      <c r="E92" s="70"/>
      <c r="F92" s="32"/>
      <c r="G92" s="33">
        <f t="shared" si="29"/>
        <v>0</v>
      </c>
      <c r="H92" s="32"/>
      <c r="I92" s="46"/>
      <c r="J92" s="40"/>
      <c r="K92" s="40"/>
      <c r="L92" s="40"/>
      <c r="M92" s="47">
        <f t="shared" si="30"/>
        <v>0</v>
      </c>
      <c r="N92" s="40">
        <f t="shared" si="31"/>
        <v>0</v>
      </c>
      <c r="O92" s="79"/>
    </row>
    <row r="93" customFormat="1" ht="155" customHeight="1" spans="1:15">
      <c r="A93" s="27">
        <v>36</v>
      </c>
      <c r="B93" s="28" t="s">
        <v>252</v>
      </c>
      <c r="C93" s="28" t="s">
        <v>253</v>
      </c>
      <c r="D93" s="28" t="s">
        <v>163</v>
      </c>
      <c r="E93" s="40">
        <v>4</v>
      </c>
      <c r="F93" s="32">
        <v>0</v>
      </c>
      <c r="G93" s="33">
        <f t="shared" si="29"/>
        <v>2346.71</v>
      </c>
      <c r="H93" s="40">
        <v>2346.71</v>
      </c>
      <c r="I93" s="46">
        <v>0</v>
      </c>
      <c r="J93" s="40">
        <v>0</v>
      </c>
      <c r="K93" s="40">
        <f>(F93+G93+J93)*K5</f>
        <v>46.9342</v>
      </c>
      <c r="L93" s="40">
        <f>(F93+G93+J93+K93)*L5</f>
        <v>215.427978</v>
      </c>
      <c r="M93" s="47">
        <f t="shared" si="30"/>
        <v>2609.072178</v>
      </c>
      <c r="N93" s="40">
        <f t="shared" si="31"/>
        <v>10436.288712</v>
      </c>
      <c r="O93" s="52" t="s">
        <v>254</v>
      </c>
    </row>
    <row r="94" customFormat="1" ht="46" customHeight="1" spans="1:15">
      <c r="A94" s="27">
        <v>37</v>
      </c>
      <c r="B94" s="28" t="s">
        <v>255</v>
      </c>
      <c r="C94" s="28" t="s">
        <v>256</v>
      </c>
      <c r="D94" s="28" t="s">
        <v>184</v>
      </c>
      <c r="E94" s="40">
        <v>14</v>
      </c>
      <c r="F94" s="32">
        <v>0</v>
      </c>
      <c r="G94" s="33">
        <f t="shared" ref="G94:G97" si="32">H94*(1+I94)</f>
        <v>520.44</v>
      </c>
      <c r="H94" s="40">
        <v>520.44</v>
      </c>
      <c r="I94" s="46">
        <v>0</v>
      </c>
      <c r="J94" s="40">
        <v>0</v>
      </c>
      <c r="K94" s="40">
        <f>(F94+G94+J94)*K5</f>
        <v>10.4088</v>
      </c>
      <c r="L94" s="40">
        <f>(F94+G94+J94+K94)*L5</f>
        <v>47.776392</v>
      </c>
      <c r="M94" s="47">
        <f t="shared" ref="M94:M97" si="33">F94+G94+J94+K94+L94</f>
        <v>578.625192</v>
      </c>
      <c r="N94" s="40">
        <f t="shared" ref="N94:N97" si="34">E94*M94</f>
        <v>8100.752688</v>
      </c>
      <c r="O94" s="52" t="s">
        <v>257</v>
      </c>
    </row>
    <row r="95" customFormat="1" ht="36" customHeight="1" spans="1:15">
      <c r="A95" s="27">
        <v>38</v>
      </c>
      <c r="B95" s="28" t="s">
        <v>211</v>
      </c>
      <c r="C95" s="28" t="s">
        <v>258</v>
      </c>
      <c r="D95" s="28" t="s">
        <v>213</v>
      </c>
      <c r="E95" s="40">
        <v>300</v>
      </c>
      <c r="F95" s="32">
        <v>0</v>
      </c>
      <c r="G95" s="33">
        <f t="shared" si="32"/>
        <v>2.84</v>
      </c>
      <c r="H95" s="40">
        <v>2.84</v>
      </c>
      <c r="I95" s="46">
        <v>0</v>
      </c>
      <c r="J95" s="40">
        <v>0</v>
      </c>
      <c r="K95" s="40">
        <f>(F95+G95+J95)*K5</f>
        <v>0.0568</v>
      </c>
      <c r="L95" s="40">
        <f>(F95+G95+J95+K95)*L5</f>
        <v>0.260712</v>
      </c>
      <c r="M95" s="47">
        <f t="shared" si="33"/>
        <v>3.157512</v>
      </c>
      <c r="N95" s="40">
        <f t="shared" si="34"/>
        <v>947.2536</v>
      </c>
      <c r="O95" s="52" t="s">
        <v>240</v>
      </c>
    </row>
    <row r="96" customFormat="1" ht="36" customHeight="1" spans="1:15">
      <c r="A96" s="27">
        <v>39</v>
      </c>
      <c r="B96" s="28" t="s">
        <v>241</v>
      </c>
      <c r="C96" s="28" t="s">
        <v>242</v>
      </c>
      <c r="D96" s="28" t="s">
        <v>213</v>
      </c>
      <c r="E96" s="40">
        <v>200</v>
      </c>
      <c r="F96" s="32">
        <v>0</v>
      </c>
      <c r="G96" s="33">
        <f t="shared" si="32"/>
        <v>9.46</v>
      </c>
      <c r="H96" s="40">
        <v>9.46</v>
      </c>
      <c r="I96" s="46">
        <v>0</v>
      </c>
      <c r="J96" s="40">
        <v>0</v>
      </c>
      <c r="K96" s="40">
        <f>(F96+G96+J96)*K5</f>
        <v>0.1892</v>
      </c>
      <c r="L96" s="40">
        <f>(F96+G96+J96+K96)*L5</f>
        <v>0.868428</v>
      </c>
      <c r="M96" s="47">
        <f t="shared" si="33"/>
        <v>10.517628</v>
      </c>
      <c r="N96" s="40">
        <f t="shared" si="34"/>
        <v>2103.5256</v>
      </c>
      <c r="O96" s="52"/>
    </row>
    <row r="97" customFormat="1" ht="33" customHeight="1" spans="1:15">
      <c r="A97" s="27">
        <v>40</v>
      </c>
      <c r="B97" s="28" t="s">
        <v>259</v>
      </c>
      <c r="C97" s="28" t="s">
        <v>180</v>
      </c>
      <c r="D97" s="28" t="s">
        <v>35</v>
      </c>
      <c r="E97" s="40">
        <v>1</v>
      </c>
      <c r="F97" s="32">
        <v>0</v>
      </c>
      <c r="G97" s="33">
        <f t="shared" si="32"/>
        <v>2628.69</v>
      </c>
      <c r="H97" s="40">
        <v>2628.69</v>
      </c>
      <c r="I97" s="46">
        <v>0</v>
      </c>
      <c r="J97" s="40">
        <v>0</v>
      </c>
      <c r="K97" s="40">
        <f>(F97+G97+J97)*K5</f>
        <v>52.5738</v>
      </c>
      <c r="L97" s="40">
        <f>(F97+G97+J97+K97)*L5</f>
        <v>241.313742</v>
      </c>
      <c r="M97" s="47">
        <f t="shared" si="33"/>
        <v>2922.577542</v>
      </c>
      <c r="N97" s="40">
        <f t="shared" si="34"/>
        <v>2922.577542</v>
      </c>
      <c r="O97" s="52"/>
    </row>
    <row r="98" s="57" customFormat="1" ht="38" customHeight="1" spans="1:15">
      <c r="A98" s="34"/>
      <c r="B98" s="36"/>
      <c r="C98" s="73" t="s">
        <v>260</v>
      </c>
      <c r="D98" s="34"/>
      <c r="E98" s="72"/>
      <c r="F98" s="32"/>
      <c r="G98" s="33"/>
      <c r="H98" s="32"/>
      <c r="I98" s="46"/>
      <c r="J98" s="40"/>
      <c r="K98" s="40"/>
      <c r="L98" s="40"/>
      <c r="M98" s="47"/>
      <c r="N98" s="81">
        <f>SUM(N58:N97)</f>
        <v>121250.562102</v>
      </c>
      <c r="O98" s="80"/>
    </row>
    <row r="99" customFormat="1" ht="33" customHeight="1" spans="1:15">
      <c r="A99" s="27"/>
      <c r="B99" s="67" t="s">
        <v>261</v>
      </c>
      <c r="C99" s="68"/>
      <c r="D99" s="28"/>
      <c r="E99" s="40"/>
      <c r="F99" s="32"/>
      <c r="G99" s="33"/>
      <c r="H99" s="40"/>
      <c r="I99" s="46"/>
      <c r="J99" s="40"/>
      <c r="K99" s="40"/>
      <c r="L99" s="40"/>
      <c r="M99" s="47"/>
      <c r="N99" s="40"/>
      <c r="O99" s="52"/>
    </row>
    <row r="100" customFormat="1" ht="38" customHeight="1" spans="1:15">
      <c r="A100" s="27" t="s">
        <v>262</v>
      </c>
      <c r="B100" s="67" t="s">
        <v>263</v>
      </c>
      <c r="C100" s="68"/>
      <c r="D100" s="69"/>
      <c r="E100" s="70"/>
      <c r="F100" s="32"/>
      <c r="G100" s="33">
        <f t="shared" ref="G100:G106" si="35">H100*(1+I100)</f>
        <v>0</v>
      </c>
      <c r="H100" s="32"/>
      <c r="I100" s="46"/>
      <c r="J100" s="40"/>
      <c r="K100" s="40"/>
      <c r="L100" s="40"/>
      <c r="M100" s="47">
        <f t="shared" ref="M100:M106" si="36">F100+G100+J100+K100+L100</f>
        <v>0</v>
      </c>
      <c r="N100" s="40">
        <f t="shared" ref="N100:N106" si="37">E100*M100</f>
        <v>0</v>
      </c>
      <c r="O100" s="79"/>
    </row>
    <row r="101" customFormat="1" ht="81.95" customHeight="1" spans="1:15">
      <c r="A101" s="27">
        <v>3</v>
      </c>
      <c r="B101" s="28" t="s">
        <v>264</v>
      </c>
      <c r="C101" s="28" t="s">
        <v>265</v>
      </c>
      <c r="D101" s="28" t="s">
        <v>266</v>
      </c>
      <c r="E101" s="40">
        <f>29.15+74.65+5.61</f>
        <v>109.41</v>
      </c>
      <c r="F101" s="32">
        <v>95</v>
      </c>
      <c r="G101" s="33">
        <f t="shared" si="35"/>
        <v>483</v>
      </c>
      <c r="H101" s="32">
        <v>460</v>
      </c>
      <c r="I101" s="46">
        <v>0.05</v>
      </c>
      <c r="J101" s="40">
        <v>115</v>
      </c>
      <c r="K101" s="40">
        <f>(F101+G101+J101)*K5</f>
        <v>13.86</v>
      </c>
      <c r="L101" s="40">
        <f>(F101+G101+J101+K101)*L5</f>
        <v>63.6174</v>
      </c>
      <c r="M101" s="47">
        <f t="shared" si="36"/>
        <v>770.4774</v>
      </c>
      <c r="N101" s="40">
        <f t="shared" si="37"/>
        <v>84297.932334</v>
      </c>
      <c r="O101" s="52" t="s">
        <v>267</v>
      </c>
    </row>
    <row r="102" customFormat="1" ht="92.1" customHeight="1" spans="1:15">
      <c r="A102" s="27">
        <v>4</v>
      </c>
      <c r="B102" s="28" t="s">
        <v>268</v>
      </c>
      <c r="C102" s="28" t="s">
        <v>269</v>
      </c>
      <c r="D102" s="28" t="s">
        <v>266</v>
      </c>
      <c r="E102" s="40">
        <f>29.15+74.65+5.61</f>
        <v>109.41</v>
      </c>
      <c r="F102" s="32">
        <v>100</v>
      </c>
      <c r="G102" s="33">
        <f t="shared" si="35"/>
        <v>430.5</v>
      </c>
      <c r="H102" s="32">
        <v>410</v>
      </c>
      <c r="I102" s="46">
        <v>0.05</v>
      </c>
      <c r="J102" s="40">
        <v>78</v>
      </c>
      <c r="K102" s="40">
        <f>(F102+G102+J102)*K5</f>
        <v>12.17</v>
      </c>
      <c r="L102" s="40">
        <f>(F102+G102+J102+K102)*L5</f>
        <v>55.8603</v>
      </c>
      <c r="M102" s="47">
        <f t="shared" si="36"/>
        <v>676.5303</v>
      </c>
      <c r="N102" s="40">
        <f t="shared" si="37"/>
        <v>74019.180123</v>
      </c>
      <c r="O102" s="52" t="s">
        <v>270</v>
      </c>
    </row>
    <row r="103" s="57" customFormat="1" ht="38" customHeight="1" spans="1:15">
      <c r="A103" s="34"/>
      <c r="B103" s="36"/>
      <c r="C103" s="73" t="s">
        <v>271</v>
      </c>
      <c r="D103" s="34"/>
      <c r="E103" s="72"/>
      <c r="F103" s="32"/>
      <c r="G103" s="33"/>
      <c r="H103" s="32"/>
      <c r="I103" s="46"/>
      <c r="J103" s="40"/>
      <c r="K103" s="40"/>
      <c r="L103" s="40"/>
      <c r="M103" s="47"/>
      <c r="N103" s="81">
        <f>N102-N101</f>
        <v>-10278.752211</v>
      </c>
      <c r="O103" s="80"/>
    </row>
    <row r="104" customFormat="1" ht="38" customHeight="1" spans="1:15">
      <c r="A104" s="27" t="s">
        <v>262</v>
      </c>
      <c r="B104" s="67" t="s">
        <v>272</v>
      </c>
      <c r="C104" s="68"/>
      <c r="D104" s="69"/>
      <c r="E104" s="70"/>
      <c r="F104" s="32"/>
      <c r="G104" s="33">
        <f t="shared" si="35"/>
        <v>0</v>
      </c>
      <c r="H104" s="32"/>
      <c r="I104" s="46"/>
      <c r="J104" s="40"/>
      <c r="K104" s="40"/>
      <c r="L104" s="40"/>
      <c r="M104" s="47">
        <f t="shared" si="36"/>
        <v>0</v>
      </c>
      <c r="N104" s="40">
        <f t="shared" si="37"/>
        <v>0</v>
      </c>
      <c r="O104" s="79"/>
    </row>
    <row r="105" customFormat="1" ht="80.25" customHeight="1" spans="1:15">
      <c r="A105" s="27">
        <v>5</v>
      </c>
      <c r="B105" s="28" t="s">
        <v>273</v>
      </c>
      <c r="C105" s="28" t="s">
        <v>274</v>
      </c>
      <c r="D105" s="28" t="s">
        <v>266</v>
      </c>
      <c r="E105" s="40">
        <v>21.01</v>
      </c>
      <c r="F105" s="32">
        <v>30</v>
      </c>
      <c r="G105" s="33">
        <f t="shared" si="35"/>
        <v>420</v>
      </c>
      <c r="H105" s="32">
        <v>420</v>
      </c>
      <c r="I105" s="46">
        <v>0</v>
      </c>
      <c r="J105" s="40">
        <v>82</v>
      </c>
      <c r="K105" s="40">
        <f>(F105+G105+J105)*K5</f>
        <v>10.64</v>
      </c>
      <c r="L105" s="40">
        <f>(F105+G105+J105+K105)*L5</f>
        <v>48.8376</v>
      </c>
      <c r="M105" s="47">
        <f t="shared" si="36"/>
        <v>591.4776</v>
      </c>
      <c r="N105" s="40">
        <f t="shared" si="37"/>
        <v>12426.944376</v>
      </c>
      <c r="O105" s="52" t="s">
        <v>275</v>
      </c>
    </row>
    <row r="106" customFormat="1" ht="92.1" customHeight="1" spans="1:15">
      <c r="A106" s="27">
        <v>4</v>
      </c>
      <c r="B106" s="28" t="s">
        <v>268</v>
      </c>
      <c r="C106" s="28" t="s">
        <v>269</v>
      </c>
      <c r="D106" s="28" t="s">
        <v>266</v>
      </c>
      <c r="E106" s="40">
        <v>21.01</v>
      </c>
      <c r="F106" s="32">
        <v>100</v>
      </c>
      <c r="G106" s="33">
        <f t="shared" si="35"/>
        <v>430.5</v>
      </c>
      <c r="H106" s="32">
        <v>410</v>
      </c>
      <c r="I106" s="46">
        <v>0.05</v>
      </c>
      <c r="J106" s="40">
        <v>78</v>
      </c>
      <c r="K106" s="40">
        <f>(F106+G106+J106)*K5</f>
        <v>12.17</v>
      </c>
      <c r="L106" s="40">
        <f>(F106+G106+J106+K106)*L5</f>
        <v>55.8603</v>
      </c>
      <c r="M106" s="47">
        <f t="shared" si="36"/>
        <v>676.5303</v>
      </c>
      <c r="N106" s="40">
        <f t="shared" si="37"/>
        <v>14213.901603</v>
      </c>
      <c r="O106" s="52" t="s">
        <v>270</v>
      </c>
    </row>
    <row r="107" s="57" customFormat="1" ht="38" customHeight="1" spans="1:15">
      <c r="A107" s="34"/>
      <c r="B107" s="36"/>
      <c r="C107" s="73" t="s">
        <v>276</v>
      </c>
      <c r="D107" s="34"/>
      <c r="E107" s="72"/>
      <c r="F107" s="32"/>
      <c r="G107" s="33"/>
      <c r="H107" s="32"/>
      <c r="I107" s="46"/>
      <c r="J107" s="40"/>
      <c r="K107" s="40"/>
      <c r="L107" s="40"/>
      <c r="M107" s="47"/>
      <c r="N107" s="81">
        <f>N106-N105</f>
        <v>1786.957227</v>
      </c>
      <c r="O107" s="80"/>
    </row>
    <row r="108" customFormat="1" ht="36" customHeight="1" spans="1:15">
      <c r="A108" s="27"/>
      <c r="B108" s="67" t="s">
        <v>277</v>
      </c>
      <c r="C108" s="68"/>
      <c r="D108" s="28"/>
      <c r="E108" s="40"/>
      <c r="F108" s="32"/>
      <c r="G108" s="33"/>
      <c r="H108" s="32"/>
      <c r="I108" s="46"/>
      <c r="J108" s="40"/>
      <c r="K108" s="40"/>
      <c r="L108" s="40"/>
      <c r="M108" s="47"/>
      <c r="N108" s="40"/>
      <c r="O108" s="52"/>
    </row>
    <row r="109" customFormat="1" ht="38" customHeight="1" spans="1:15">
      <c r="A109" s="27"/>
      <c r="B109" s="67" t="s">
        <v>278</v>
      </c>
      <c r="C109" s="68"/>
      <c r="D109" s="28"/>
      <c r="E109" s="40"/>
      <c r="F109" s="32"/>
      <c r="G109" s="33"/>
      <c r="H109" s="32"/>
      <c r="I109" s="46"/>
      <c r="J109" s="40"/>
      <c r="K109" s="40"/>
      <c r="L109" s="40"/>
      <c r="M109" s="47"/>
      <c r="N109" s="40"/>
      <c r="O109" s="52"/>
    </row>
    <row r="110" s="4" customFormat="1" ht="80" customHeight="1" spans="1:19">
      <c r="A110" s="27">
        <v>262</v>
      </c>
      <c r="B110" s="84" t="s">
        <v>279</v>
      </c>
      <c r="C110" s="39" t="s">
        <v>280</v>
      </c>
      <c r="D110" s="85" t="s">
        <v>266</v>
      </c>
      <c r="E110" s="86">
        <v>11.3</v>
      </c>
      <c r="F110" s="87">
        <v>100</v>
      </c>
      <c r="G110" s="88">
        <f>H110*(1+I110)</f>
        <v>850</v>
      </c>
      <c r="H110" s="87">
        <v>850</v>
      </c>
      <c r="I110" s="89">
        <v>0</v>
      </c>
      <c r="J110" s="90">
        <v>20</v>
      </c>
      <c r="K110" s="90">
        <f>(F110+G110+J110)*K5</f>
        <v>19.4</v>
      </c>
      <c r="L110" s="90">
        <f>(F110+G110+J110+K110)*L5</f>
        <v>89.046</v>
      </c>
      <c r="M110" s="91">
        <f>F110+G110+J110+K110+L110</f>
        <v>1078.446</v>
      </c>
      <c r="N110" s="90">
        <f>E110*M110</f>
        <v>12186.4398</v>
      </c>
      <c r="O110" s="92" t="s">
        <v>281</v>
      </c>
      <c r="S110" s="4" t="e">
        <f>P110*#REF!</f>
        <v>#REF!</v>
      </c>
    </row>
    <row r="111" s="57" customFormat="1" ht="38" customHeight="1" spans="1:15">
      <c r="A111" s="34"/>
      <c r="B111" s="36"/>
      <c r="C111" s="34" t="s">
        <v>76</v>
      </c>
      <c r="D111" s="34"/>
      <c r="E111" s="72"/>
      <c r="F111" s="32"/>
      <c r="G111" s="33"/>
      <c r="H111" s="40"/>
      <c r="I111" s="46"/>
      <c r="J111" s="40"/>
      <c r="K111" s="40"/>
      <c r="L111" s="40"/>
      <c r="M111" s="47"/>
      <c r="N111" s="40">
        <f>SUM(N110)</f>
        <v>12186.4398</v>
      </c>
      <c r="O111" s="80"/>
    </row>
    <row r="112" customFormat="1" ht="49.5" customHeight="1" spans="1:15">
      <c r="A112" s="27"/>
      <c r="B112" s="67" t="s">
        <v>282</v>
      </c>
      <c r="C112" s="68"/>
      <c r="D112" s="28"/>
      <c r="E112" s="40"/>
      <c r="F112" s="32"/>
      <c r="G112" s="33"/>
      <c r="H112" s="32"/>
      <c r="I112" s="46"/>
      <c r="J112" s="40"/>
      <c r="K112" s="40"/>
      <c r="L112" s="40"/>
      <c r="M112" s="47"/>
      <c r="N112" s="40"/>
      <c r="O112" s="52"/>
    </row>
    <row r="113" customFormat="1" ht="68" customHeight="1" spans="1:15">
      <c r="A113" s="27">
        <v>56</v>
      </c>
      <c r="B113" s="28" t="s">
        <v>283</v>
      </c>
      <c r="C113" s="28" t="s">
        <v>284</v>
      </c>
      <c r="D113" s="28" t="s">
        <v>266</v>
      </c>
      <c r="E113" s="40">
        <v>10.39</v>
      </c>
      <c r="F113" s="32">
        <v>0</v>
      </c>
      <c r="G113" s="33">
        <f t="shared" ref="G113:G118" si="38">H113*(1+I113)</f>
        <v>1287.76</v>
      </c>
      <c r="H113" s="40">
        <v>1287.76</v>
      </c>
      <c r="I113" s="46">
        <v>0</v>
      </c>
      <c r="J113" s="40">
        <v>0</v>
      </c>
      <c r="K113" s="40">
        <f>(F113+G113+J113)*K5</f>
        <v>25.7552</v>
      </c>
      <c r="L113" s="40">
        <f>(F113+G113+J113+K113)*L5</f>
        <v>118.216368</v>
      </c>
      <c r="M113" s="47">
        <f t="shared" ref="M113:M119" si="39">F113+G113+J113+K113+L113</f>
        <v>1431.731568</v>
      </c>
      <c r="N113" s="40">
        <f t="shared" ref="N113:N119" si="40">E113*M113</f>
        <v>14875.69099152</v>
      </c>
      <c r="O113" s="52" t="s">
        <v>285</v>
      </c>
    </row>
    <row r="114" customFormat="1" ht="64" customHeight="1" spans="1:15">
      <c r="A114" s="27">
        <v>57</v>
      </c>
      <c r="B114" s="28" t="s">
        <v>286</v>
      </c>
      <c r="C114" s="28" t="s">
        <v>284</v>
      </c>
      <c r="D114" s="28" t="s">
        <v>62</v>
      </c>
      <c r="E114" s="40">
        <v>2</v>
      </c>
      <c r="F114" s="32">
        <v>0</v>
      </c>
      <c r="G114" s="33">
        <f t="shared" si="38"/>
        <v>1287.76</v>
      </c>
      <c r="H114" s="40">
        <v>1287.76</v>
      </c>
      <c r="I114" s="46">
        <v>0</v>
      </c>
      <c r="J114" s="40">
        <v>0</v>
      </c>
      <c r="K114" s="40">
        <f>(F114+G114+J114)*K5</f>
        <v>25.7552</v>
      </c>
      <c r="L114" s="40">
        <f>(F114+G114+J114+K114)*L5</f>
        <v>118.216368</v>
      </c>
      <c r="M114" s="47">
        <f t="shared" si="39"/>
        <v>1431.731568</v>
      </c>
      <c r="N114" s="40">
        <f t="shared" si="40"/>
        <v>2863.463136</v>
      </c>
      <c r="O114" s="52" t="s">
        <v>285</v>
      </c>
    </row>
    <row r="115" customFormat="1" ht="67" customHeight="1" spans="1:15">
      <c r="A115" s="27">
        <v>58</v>
      </c>
      <c r="B115" s="28" t="s">
        <v>287</v>
      </c>
      <c r="C115" s="28" t="s">
        <v>284</v>
      </c>
      <c r="D115" s="28" t="s">
        <v>266</v>
      </c>
      <c r="E115" s="40">
        <v>12.91</v>
      </c>
      <c r="F115" s="32">
        <v>0</v>
      </c>
      <c r="G115" s="33">
        <f t="shared" si="38"/>
        <v>1057.8</v>
      </c>
      <c r="H115" s="40">
        <v>1057.8</v>
      </c>
      <c r="I115" s="46">
        <v>0</v>
      </c>
      <c r="J115" s="40">
        <v>0</v>
      </c>
      <c r="K115" s="40">
        <f>(F115+G115+J115)*K5</f>
        <v>21.156</v>
      </c>
      <c r="L115" s="40">
        <f>(F115+G115+J115+K115)*L5</f>
        <v>97.10604</v>
      </c>
      <c r="M115" s="47">
        <f t="shared" si="39"/>
        <v>1176.06204</v>
      </c>
      <c r="N115" s="40">
        <f t="shared" si="40"/>
        <v>15182.9609364</v>
      </c>
      <c r="O115" s="52" t="s">
        <v>285</v>
      </c>
    </row>
    <row r="116" customFormat="1" ht="69" customHeight="1" spans="1:15">
      <c r="A116" s="27">
        <v>59</v>
      </c>
      <c r="B116" s="28" t="s">
        <v>288</v>
      </c>
      <c r="C116" s="28" t="s">
        <v>284</v>
      </c>
      <c r="D116" s="28" t="s">
        <v>289</v>
      </c>
      <c r="E116" s="40">
        <v>4</v>
      </c>
      <c r="F116" s="32">
        <v>0</v>
      </c>
      <c r="G116" s="33">
        <f t="shared" si="38"/>
        <v>1057.8</v>
      </c>
      <c r="H116" s="40">
        <v>1057.8</v>
      </c>
      <c r="I116" s="46">
        <v>0</v>
      </c>
      <c r="J116" s="40">
        <v>0</v>
      </c>
      <c r="K116" s="40">
        <f>(F116+G116+J116)*K5</f>
        <v>21.156</v>
      </c>
      <c r="L116" s="40">
        <f>(F116+G116+J116+K116)*L5</f>
        <v>97.10604</v>
      </c>
      <c r="M116" s="47">
        <f t="shared" si="39"/>
        <v>1176.06204</v>
      </c>
      <c r="N116" s="40">
        <f t="shared" si="40"/>
        <v>4704.24816</v>
      </c>
      <c r="O116" s="52" t="s">
        <v>285</v>
      </c>
    </row>
    <row r="117" customFormat="1" ht="69" customHeight="1" spans="1:15">
      <c r="A117" s="27">
        <v>60</v>
      </c>
      <c r="B117" s="28" t="s">
        <v>290</v>
      </c>
      <c r="C117" s="28" t="s">
        <v>284</v>
      </c>
      <c r="D117" s="28" t="s">
        <v>266</v>
      </c>
      <c r="E117" s="40">
        <v>12.91</v>
      </c>
      <c r="F117" s="32">
        <v>0</v>
      </c>
      <c r="G117" s="33">
        <f t="shared" si="38"/>
        <v>107.31</v>
      </c>
      <c r="H117" s="32">
        <v>107.31</v>
      </c>
      <c r="I117" s="46">
        <v>0</v>
      </c>
      <c r="J117" s="40">
        <v>0</v>
      </c>
      <c r="K117" s="40">
        <f>(F117+G117+J117)*K5</f>
        <v>2.1462</v>
      </c>
      <c r="L117" s="40">
        <f>(F117+G117+J117+K117)*L5</f>
        <v>9.851058</v>
      </c>
      <c r="M117" s="47">
        <f t="shared" si="39"/>
        <v>119.307258</v>
      </c>
      <c r="N117" s="40">
        <f t="shared" si="40"/>
        <v>1540.25670078</v>
      </c>
      <c r="O117" s="52" t="s">
        <v>285</v>
      </c>
    </row>
    <row r="118" customFormat="1" ht="72" customHeight="1" spans="1:15">
      <c r="A118" s="27">
        <v>61</v>
      </c>
      <c r="B118" s="28" t="s">
        <v>291</v>
      </c>
      <c r="C118" s="28" t="s">
        <v>284</v>
      </c>
      <c r="D118" s="28" t="s">
        <v>266</v>
      </c>
      <c r="E118" s="40">
        <v>6.32</v>
      </c>
      <c r="F118" s="32">
        <v>0</v>
      </c>
      <c r="G118" s="33">
        <f t="shared" si="38"/>
        <v>122.64</v>
      </c>
      <c r="H118" s="32">
        <v>122.64</v>
      </c>
      <c r="I118" s="46">
        <v>0</v>
      </c>
      <c r="J118" s="40">
        <v>0</v>
      </c>
      <c r="K118" s="40">
        <f>(F118+G118+J118)*K5</f>
        <v>2.4528</v>
      </c>
      <c r="L118" s="40">
        <f>(F118+G118+J118+K118)*L5</f>
        <v>11.258352</v>
      </c>
      <c r="M118" s="47">
        <f t="shared" si="39"/>
        <v>136.351152</v>
      </c>
      <c r="N118" s="40">
        <f t="shared" si="40"/>
        <v>861.73928064</v>
      </c>
      <c r="O118" s="52" t="s">
        <v>285</v>
      </c>
    </row>
    <row r="119" customFormat="1" ht="39" customHeight="1" spans="1:15">
      <c r="A119" s="27">
        <v>62</v>
      </c>
      <c r="B119" s="28" t="s">
        <v>292</v>
      </c>
      <c r="C119" s="28" t="s">
        <v>293</v>
      </c>
      <c r="D119" s="28" t="s">
        <v>35</v>
      </c>
      <c r="E119" s="40">
        <v>1</v>
      </c>
      <c r="F119" s="32">
        <v>0</v>
      </c>
      <c r="G119" s="33">
        <v>996.48</v>
      </c>
      <c r="H119" s="40">
        <v>996.48</v>
      </c>
      <c r="I119" s="46">
        <v>0</v>
      </c>
      <c r="J119" s="40">
        <v>0</v>
      </c>
      <c r="K119" s="40">
        <f>(F119+G119+J119)*K5</f>
        <v>19.9296</v>
      </c>
      <c r="L119" s="40">
        <f>(F119+G119+J119+K119)*L5</f>
        <v>91.476864</v>
      </c>
      <c r="M119" s="47">
        <f t="shared" si="39"/>
        <v>1107.886464</v>
      </c>
      <c r="N119" s="40">
        <f t="shared" si="40"/>
        <v>1107.886464</v>
      </c>
      <c r="O119" s="52"/>
    </row>
    <row r="120" s="57" customFormat="1" ht="38" customHeight="1" spans="1:15">
      <c r="A120" s="34"/>
      <c r="B120" s="36"/>
      <c r="C120" s="34" t="s">
        <v>76</v>
      </c>
      <c r="D120" s="34"/>
      <c r="E120" s="72"/>
      <c r="F120" s="32"/>
      <c r="G120" s="33"/>
      <c r="H120" s="40"/>
      <c r="I120" s="46"/>
      <c r="J120" s="40"/>
      <c r="K120" s="40"/>
      <c r="L120" s="40"/>
      <c r="M120" s="47"/>
      <c r="N120" s="40">
        <f>SUM(N113:N119)</f>
        <v>41136.24566934</v>
      </c>
      <c r="O120" s="80"/>
    </row>
    <row r="121" customFormat="1" ht="43" customHeight="1" spans="1:15">
      <c r="A121" s="27"/>
      <c r="B121" s="67" t="s">
        <v>294</v>
      </c>
      <c r="C121" s="68"/>
      <c r="D121" s="28"/>
      <c r="E121" s="40"/>
      <c r="F121" s="32"/>
      <c r="G121" s="33"/>
      <c r="H121" s="32"/>
      <c r="I121" s="46"/>
      <c r="J121" s="40"/>
      <c r="K121" s="40"/>
      <c r="L121" s="40"/>
      <c r="M121" s="47"/>
      <c r="N121" s="40"/>
      <c r="O121" s="52"/>
    </row>
    <row r="122" customFormat="1" ht="81" customHeight="1" spans="1:15">
      <c r="A122" s="27">
        <v>66</v>
      </c>
      <c r="B122" s="28" t="s">
        <v>295</v>
      </c>
      <c r="C122" s="28" t="s">
        <v>296</v>
      </c>
      <c r="D122" s="28" t="s">
        <v>266</v>
      </c>
      <c r="E122" s="40">
        <v>4.29</v>
      </c>
      <c r="F122" s="32">
        <v>0</v>
      </c>
      <c r="G122" s="33">
        <f t="shared" ref="G122:G125" si="41">H122*(1+I122)</f>
        <v>2047.72</v>
      </c>
      <c r="H122" s="40">
        <v>2047.72</v>
      </c>
      <c r="I122" s="46">
        <v>0</v>
      </c>
      <c r="J122" s="40">
        <v>0</v>
      </c>
      <c r="K122" s="40">
        <f>(F122+G122+J122)*K5</f>
        <v>40.9544</v>
      </c>
      <c r="L122" s="40">
        <f>(F122+G122+J122+K122)*L5</f>
        <v>187.980696</v>
      </c>
      <c r="M122" s="47">
        <f t="shared" ref="M122:M126" si="42">F122+G122+J122+K122+L122</f>
        <v>2276.655096</v>
      </c>
      <c r="N122" s="40">
        <f t="shared" ref="N122:N126" si="43">E122*M122</f>
        <v>9766.85036184</v>
      </c>
      <c r="O122" s="52" t="s">
        <v>297</v>
      </c>
    </row>
    <row r="123" customFormat="1" ht="79" customHeight="1" spans="1:15">
      <c r="A123" s="27">
        <v>67</v>
      </c>
      <c r="B123" s="28" t="s">
        <v>298</v>
      </c>
      <c r="C123" s="28" t="s">
        <v>296</v>
      </c>
      <c r="D123" s="28" t="s">
        <v>266</v>
      </c>
      <c r="E123" s="40">
        <v>10</v>
      </c>
      <c r="F123" s="32">
        <v>0</v>
      </c>
      <c r="G123" s="33">
        <f t="shared" si="41"/>
        <v>172.08</v>
      </c>
      <c r="H123" s="40">
        <v>172.08</v>
      </c>
      <c r="I123" s="46">
        <v>0</v>
      </c>
      <c r="J123" s="40">
        <v>0</v>
      </c>
      <c r="K123" s="40">
        <f>(F123+G123+J123)*K5</f>
        <v>3.4416</v>
      </c>
      <c r="L123" s="40">
        <f>(F123+G123+J123+K123)*L5</f>
        <v>15.796944</v>
      </c>
      <c r="M123" s="47">
        <f t="shared" si="42"/>
        <v>191.318544</v>
      </c>
      <c r="N123" s="40">
        <f t="shared" si="43"/>
        <v>1913.18544</v>
      </c>
      <c r="O123" s="52" t="s">
        <v>297</v>
      </c>
    </row>
    <row r="124" customFormat="1" ht="78" customHeight="1" spans="1:15">
      <c r="A124" s="27">
        <v>68</v>
      </c>
      <c r="B124" s="28" t="s">
        <v>299</v>
      </c>
      <c r="C124" s="28" t="s">
        <v>296</v>
      </c>
      <c r="D124" s="28" t="s">
        <v>35</v>
      </c>
      <c r="E124" s="40">
        <v>1</v>
      </c>
      <c r="F124" s="32">
        <v>0</v>
      </c>
      <c r="G124" s="33">
        <f t="shared" si="41"/>
        <v>1170.12</v>
      </c>
      <c r="H124" s="40">
        <v>1170.12</v>
      </c>
      <c r="I124" s="46">
        <v>0</v>
      </c>
      <c r="J124" s="40">
        <v>0</v>
      </c>
      <c r="K124" s="40">
        <f>(F124+G124+J124)*K5</f>
        <v>23.4024</v>
      </c>
      <c r="L124" s="40">
        <f>(F124+G124+J124+K124)*L5</f>
        <v>107.417016</v>
      </c>
      <c r="M124" s="47">
        <f t="shared" si="42"/>
        <v>1300.939416</v>
      </c>
      <c r="N124" s="40">
        <f t="shared" si="43"/>
        <v>1300.939416</v>
      </c>
      <c r="O124" s="52" t="s">
        <v>297</v>
      </c>
    </row>
    <row r="125" customFormat="1" ht="78" customHeight="1" spans="1:15">
      <c r="A125" s="27">
        <v>68</v>
      </c>
      <c r="B125" s="28" t="s">
        <v>300</v>
      </c>
      <c r="C125" s="28" t="s">
        <v>296</v>
      </c>
      <c r="D125" s="28" t="s">
        <v>289</v>
      </c>
      <c r="E125" s="40">
        <v>2</v>
      </c>
      <c r="F125" s="32">
        <v>0</v>
      </c>
      <c r="G125" s="33">
        <f t="shared" si="41"/>
        <v>4301.92</v>
      </c>
      <c r="H125" s="40">
        <v>4301.92</v>
      </c>
      <c r="I125" s="46">
        <v>0</v>
      </c>
      <c r="J125" s="40">
        <v>0</v>
      </c>
      <c r="K125" s="40">
        <f>(F125+G125+J125)*K5</f>
        <v>86.0384</v>
      </c>
      <c r="L125" s="40">
        <f>(F125+G125+J125+K125)*L5</f>
        <v>394.916256</v>
      </c>
      <c r="M125" s="47">
        <f t="shared" si="42"/>
        <v>4782.874656</v>
      </c>
      <c r="N125" s="40">
        <f t="shared" si="43"/>
        <v>9565.749312</v>
      </c>
      <c r="O125" s="52" t="s">
        <v>297</v>
      </c>
    </row>
    <row r="126" customFormat="1" ht="40" customHeight="1" spans="1:15">
      <c r="A126" s="27">
        <v>69</v>
      </c>
      <c r="B126" s="28" t="s">
        <v>301</v>
      </c>
      <c r="C126" s="28" t="s">
        <v>302</v>
      </c>
      <c r="D126" s="28" t="s">
        <v>35</v>
      </c>
      <c r="E126" s="40">
        <v>1</v>
      </c>
      <c r="F126" s="32">
        <v>0</v>
      </c>
      <c r="G126" s="33">
        <f t="shared" ref="G126:G133" si="44">H126*(1+I126)</f>
        <v>1720.77</v>
      </c>
      <c r="H126" s="40">
        <v>1720.77</v>
      </c>
      <c r="I126" s="46">
        <v>0</v>
      </c>
      <c r="J126" s="40">
        <v>0</v>
      </c>
      <c r="K126" s="40">
        <f>(F126+G126+J126)*K5</f>
        <v>34.4154</v>
      </c>
      <c r="L126" s="40">
        <f>(F126+G126+J126+K126)*L5</f>
        <v>157.966686</v>
      </c>
      <c r="M126" s="47">
        <f t="shared" si="42"/>
        <v>1913.152086</v>
      </c>
      <c r="N126" s="40">
        <f t="shared" si="43"/>
        <v>1913.152086</v>
      </c>
      <c r="O126" s="52" t="s">
        <v>297</v>
      </c>
    </row>
    <row r="127" s="57" customFormat="1" ht="38" customHeight="1" spans="1:15">
      <c r="A127" s="34"/>
      <c r="B127" s="36"/>
      <c r="C127" s="34" t="s">
        <v>76</v>
      </c>
      <c r="D127" s="34"/>
      <c r="E127" s="72"/>
      <c r="F127" s="32"/>
      <c r="G127" s="33"/>
      <c r="H127" s="40"/>
      <c r="I127" s="46"/>
      <c r="J127" s="40"/>
      <c r="K127" s="40"/>
      <c r="L127" s="40"/>
      <c r="M127" s="47"/>
      <c r="N127" s="40">
        <f>SUM(N122:N126)</f>
        <v>24459.87661584</v>
      </c>
      <c r="O127" s="80"/>
    </row>
    <row r="128" s="57" customFormat="1" ht="38" customHeight="1" spans="1:15">
      <c r="A128" s="34"/>
      <c r="B128" s="36"/>
      <c r="C128" s="73" t="s">
        <v>303</v>
      </c>
      <c r="D128" s="34"/>
      <c r="E128" s="72"/>
      <c r="F128" s="32"/>
      <c r="G128" s="33"/>
      <c r="H128" s="32"/>
      <c r="I128" s="46"/>
      <c r="J128" s="40"/>
      <c r="K128" s="40"/>
      <c r="L128" s="40"/>
      <c r="M128" s="47"/>
      <c r="N128" s="81">
        <f>N127+N120-N111</f>
        <v>53409.68248518</v>
      </c>
      <c r="O128" s="80"/>
    </row>
    <row r="129" customFormat="1" ht="43" customHeight="1" spans="1:15">
      <c r="A129" s="27"/>
      <c r="B129" s="67" t="s">
        <v>304</v>
      </c>
      <c r="C129" s="68"/>
      <c r="D129" s="28"/>
      <c r="E129" s="40"/>
      <c r="F129" s="32"/>
      <c r="G129" s="33"/>
      <c r="H129" s="32"/>
      <c r="I129" s="46"/>
      <c r="J129" s="40"/>
      <c r="K129" s="40"/>
      <c r="L129" s="40"/>
      <c r="M129" s="47"/>
      <c r="N129" s="40"/>
      <c r="O129" s="52"/>
    </row>
    <row r="130" customFormat="1" ht="46" customHeight="1" spans="1:15">
      <c r="A130" s="27">
        <v>1</v>
      </c>
      <c r="B130" s="28" t="s">
        <v>305</v>
      </c>
      <c r="C130" s="28" t="s">
        <v>306</v>
      </c>
      <c r="D130" s="28" t="s">
        <v>35</v>
      </c>
      <c r="E130" s="40">
        <v>1</v>
      </c>
      <c r="F130" s="32">
        <v>0</v>
      </c>
      <c r="G130" s="33">
        <f t="shared" si="44"/>
        <v>2000</v>
      </c>
      <c r="H130" s="40">
        <v>2000</v>
      </c>
      <c r="I130" s="46">
        <v>0</v>
      </c>
      <c r="J130" s="40">
        <v>0</v>
      </c>
      <c r="K130" s="40">
        <v>0</v>
      </c>
      <c r="L130" s="40">
        <v>0</v>
      </c>
      <c r="M130" s="47">
        <f t="shared" ref="M130:M133" si="45">F130+G130+J130+K130+L130</f>
        <v>2000</v>
      </c>
      <c r="N130" s="40">
        <f t="shared" ref="N130:N133" si="46">E130*M130</f>
        <v>2000</v>
      </c>
      <c r="O130" s="52"/>
    </row>
    <row r="131" customFormat="1" ht="49" customHeight="1" spans="1:15">
      <c r="A131" s="27">
        <v>2</v>
      </c>
      <c r="B131" s="28" t="s">
        <v>307</v>
      </c>
      <c r="C131" s="28" t="s">
        <v>308</v>
      </c>
      <c r="D131" s="28" t="s">
        <v>35</v>
      </c>
      <c r="E131" s="40">
        <v>1</v>
      </c>
      <c r="F131" s="32">
        <v>0</v>
      </c>
      <c r="G131" s="33">
        <f t="shared" si="44"/>
        <v>1500</v>
      </c>
      <c r="H131" s="40">
        <v>1500</v>
      </c>
      <c r="I131" s="46">
        <v>0</v>
      </c>
      <c r="J131" s="40">
        <v>0</v>
      </c>
      <c r="K131" s="40">
        <v>0</v>
      </c>
      <c r="L131" s="40">
        <v>0</v>
      </c>
      <c r="M131" s="47">
        <f t="shared" si="45"/>
        <v>1500</v>
      </c>
      <c r="N131" s="40">
        <f t="shared" si="46"/>
        <v>1500</v>
      </c>
      <c r="O131" s="52"/>
    </row>
    <row r="132" customFormat="1" ht="49" customHeight="1" spans="1:15">
      <c r="A132" s="27"/>
      <c r="B132" s="28" t="s">
        <v>309</v>
      </c>
      <c r="C132" s="28" t="s">
        <v>310</v>
      </c>
      <c r="D132" s="28" t="s">
        <v>35</v>
      </c>
      <c r="E132" s="40">
        <v>1</v>
      </c>
      <c r="F132" s="32">
        <v>0</v>
      </c>
      <c r="G132" s="33">
        <f t="shared" si="44"/>
        <v>1500</v>
      </c>
      <c r="H132" s="40">
        <v>1500</v>
      </c>
      <c r="I132" s="46">
        <v>0</v>
      </c>
      <c r="J132" s="40">
        <v>0</v>
      </c>
      <c r="K132" s="40">
        <v>0</v>
      </c>
      <c r="L132" s="40">
        <v>0</v>
      </c>
      <c r="M132" s="47">
        <f t="shared" si="45"/>
        <v>1500</v>
      </c>
      <c r="N132" s="40">
        <f t="shared" si="46"/>
        <v>1500</v>
      </c>
      <c r="O132" s="52"/>
    </row>
    <row r="133" customFormat="1" ht="49" customHeight="1" spans="1:15">
      <c r="A133" s="27"/>
      <c r="B133" s="28" t="s">
        <v>311</v>
      </c>
      <c r="C133" s="28" t="s">
        <v>312</v>
      </c>
      <c r="D133" s="28" t="s">
        <v>35</v>
      </c>
      <c r="E133" s="40">
        <v>1</v>
      </c>
      <c r="F133" s="32">
        <v>0</v>
      </c>
      <c r="G133" s="33">
        <f t="shared" si="44"/>
        <v>3000</v>
      </c>
      <c r="H133" s="40">
        <v>3000</v>
      </c>
      <c r="I133" s="46">
        <v>0</v>
      </c>
      <c r="J133" s="40">
        <v>0</v>
      </c>
      <c r="K133" s="40">
        <v>0</v>
      </c>
      <c r="L133" s="40">
        <v>0</v>
      </c>
      <c r="M133" s="47">
        <f t="shared" si="45"/>
        <v>3000</v>
      </c>
      <c r="N133" s="40">
        <f t="shared" si="46"/>
        <v>3000</v>
      </c>
      <c r="O133" s="52"/>
    </row>
    <row r="134" s="57" customFormat="1" ht="38" customHeight="1" spans="1:15">
      <c r="A134" s="34"/>
      <c r="B134" s="36"/>
      <c r="C134" s="93" t="s">
        <v>313</v>
      </c>
      <c r="D134" s="93"/>
      <c r="E134" s="94"/>
      <c r="F134" s="95"/>
      <c r="G134" s="96"/>
      <c r="H134" s="97"/>
      <c r="I134" s="104"/>
      <c r="J134" s="97"/>
      <c r="K134" s="97"/>
      <c r="L134" s="97"/>
      <c r="M134" s="105"/>
      <c r="N134" s="81">
        <f>SUM(N130:N133)</f>
        <v>8000</v>
      </c>
      <c r="O134" s="80"/>
    </row>
    <row r="135" customFormat="1" ht="43" customHeight="1" spans="1:15">
      <c r="A135" s="27"/>
      <c r="B135" s="67" t="s">
        <v>314</v>
      </c>
      <c r="C135" s="68"/>
      <c r="D135" s="28"/>
      <c r="E135" s="40"/>
      <c r="F135" s="32"/>
      <c r="G135" s="33"/>
      <c r="H135" s="32"/>
      <c r="I135" s="46"/>
      <c r="J135" s="40"/>
      <c r="K135" s="40"/>
      <c r="L135" s="40"/>
      <c r="M135" s="47"/>
      <c r="N135" s="40"/>
      <c r="O135" s="52"/>
    </row>
    <row r="136" customFormat="1" ht="47" customHeight="1" spans="1:15">
      <c r="A136" s="27">
        <v>77</v>
      </c>
      <c r="B136" s="28" t="s">
        <v>315</v>
      </c>
      <c r="C136" s="28" t="s">
        <v>316</v>
      </c>
      <c r="D136" s="28" t="s">
        <v>62</v>
      </c>
      <c r="E136" s="40">
        <v>1</v>
      </c>
      <c r="F136" s="32">
        <v>0</v>
      </c>
      <c r="G136" s="33">
        <f>H136*(1+I136)</f>
        <v>82579.35</v>
      </c>
      <c r="H136" s="40">
        <v>82579.35</v>
      </c>
      <c r="I136" s="46">
        <v>0</v>
      </c>
      <c r="J136" s="40">
        <v>0</v>
      </c>
      <c r="K136" s="40">
        <f>(F136+G136+J136)*K5</f>
        <v>1651.587</v>
      </c>
      <c r="L136" s="40">
        <f>(F136+G136+J136+K136)*L5</f>
        <v>7580.78433</v>
      </c>
      <c r="M136" s="47">
        <f>F136+G136+J136+K136+L136</f>
        <v>91811.72133</v>
      </c>
      <c r="N136" s="40">
        <f>E136*M136</f>
        <v>91811.72133</v>
      </c>
      <c r="O136" s="52" t="s">
        <v>317</v>
      </c>
    </row>
    <row r="137" customFormat="1" ht="45" customHeight="1" spans="1:15">
      <c r="A137" s="27">
        <v>78</v>
      </c>
      <c r="B137" s="28" t="s">
        <v>318</v>
      </c>
      <c r="C137" s="28" t="s">
        <v>319</v>
      </c>
      <c r="D137" s="28" t="s">
        <v>35</v>
      </c>
      <c r="E137" s="40">
        <v>1</v>
      </c>
      <c r="F137" s="32">
        <v>0</v>
      </c>
      <c r="G137" s="33">
        <f>H137*(1+I137)</f>
        <v>28811.03</v>
      </c>
      <c r="H137" s="40">
        <v>28811.03</v>
      </c>
      <c r="I137" s="46">
        <v>0</v>
      </c>
      <c r="J137" s="40">
        <v>0</v>
      </c>
      <c r="K137" s="40">
        <f>(F137+G137+J137)*K5</f>
        <v>576.2206</v>
      </c>
      <c r="L137" s="40">
        <f>(F137+G137+J137+K137)*L5</f>
        <v>2644.852554</v>
      </c>
      <c r="M137" s="47">
        <f>F137+G137+J137+K137+L137</f>
        <v>32032.103154</v>
      </c>
      <c r="N137" s="40">
        <f>E137*M137</f>
        <v>32032.103154</v>
      </c>
      <c r="O137" s="52" t="s">
        <v>317</v>
      </c>
    </row>
    <row r="138" customFormat="1" ht="49.5" customHeight="1" spans="1:15">
      <c r="A138" s="27">
        <v>79</v>
      </c>
      <c r="B138" s="28" t="s">
        <v>320</v>
      </c>
      <c r="C138" s="28" t="s">
        <v>321</v>
      </c>
      <c r="D138" s="28" t="s">
        <v>35</v>
      </c>
      <c r="E138" s="40">
        <v>1</v>
      </c>
      <c r="F138" s="32">
        <v>0</v>
      </c>
      <c r="G138" s="33">
        <f>H138*(1+I138)</f>
        <v>62337.54</v>
      </c>
      <c r="H138" s="40">
        <v>62337.54</v>
      </c>
      <c r="I138" s="46">
        <v>0</v>
      </c>
      <c r="J138" s="40">
        <v>0</v>
      </c>
      <c r="K138" s="40">
        <f>(F138+G138+J138)*K5</f>
        <v>1246.7508</v>
      </c>
      <c r="L138" s="40">
        <f>(F138+G138+J138+K138)*L5</f>
        <v>5722.586172</v>
      </c>
      <c r="M138" s="47">
        <f>F138+G138+J138+K138+L138</f>
        <v>69306.876972</v>
      </c>
      <c r="N138" s="40">
        <f>E138*M138</f>
        <v>69306.876972</v>
      </c>
      <c r="O138" s="52" t="s">
        <v>317</v>
      </c>
    </row>
    <row r="139" customFormat="1" ht="42" customHeight="1" spans="1:15">
      <c r="A139" s="27">
        <v>80</v>
      </c>
      <c r="B139" s="28" t="s">
        <v>322</v>
      </c>
      <c r="C139" s="28" t="s">
        <v>323</v>
      </c>
      <c r="D139" s="28" t="s">
        <v>35</v>
      </c>
      <c r="E139" s="40">
        <v>1</v>
      </c>
      <c r="F139" s="32">
        <v>0</v>
      </c>
      <c r="G139" s="33">
        <f>H139*(1+I139)</f>
        <v>2709.5</v>
      </c>
      <c r="H139" s="40">
        <v>2709.5</v>
      </c>
      <c r="I139" s="46">
        <v>0</v>
      </c>
      <c r="J139" s="40">
        <v>0</v>
      </c>
      <c r="K139" s="40">
        <f>(F139+G139+J139)*K5</f>
        <v>54.19</v>
      </c>
      <c r="L139" s="40">
        <f>(F139+G139+J139+K139)*L5</f>
        <v>248.7321</v>
      </c>
      <c r="M139" s="47">
        <f>F139+G139+J139+K139+L139</f>
        <v>3012.4221</v>
      </c>
      <c r="N139" s="40">
        <f>E139*M139</f>
        <v>3012.4221</v>
      </c>
      <c r="O139" s="52" t="s">
        <v>317</v>
      </c>
    </row>
    <row r="140" customFormat="1" ht="42" customHeight="1" spans="1:15">
      <c r="A140" s="27">
        <v>81</v>
      </c>
      <c r="B140" s="28" t="s">
        <v>324</v>
      </c>
      <c r="C140" s="28" t="s">
        <v>325</v>
      </c>
      <c r="D140" s="28" t="s">
        <v>35</v>
      </c>
      <c r="E140" s="40">
        <v>1</v>
      </c>
      <c r="F140" s="32">
        <v>0</v>
      </c>
      <c r="G140" s="33">
        <f>H140*(1+I140)</f>
        <v>13563.13</v>
      </c>
      <c r="H140" s="40">
        <v>13563.13</v>
      </c>
      <c r="I140" s="46">
        <v>0</v>
      </c>
      <c r="J140" s="40">
        <v>0</v>
      </c>
      <c r="K140" s="40">
        <f>(F140+G140+J140)*K5</f>
        <v>271.2626</v>
      </c>
      <c r="L140" s="40">
        <f>(F140+G140+J140+K140)*L5</f>
        <v>1245.095334</v>
      </c>
      <c r="M140" s="47">
        <f>F140+G140+J140+K140+L140</f>
        <v>15079.487934</v>
      </c>
      <c r="N140" s="40">
        <f>E140*M140</f>
        <v>15079.487934</v>
      </c>
      <c r="O140" s="52" t="s">
        <v>317</v>
      </c>
    </row>
    <row r="141" s="57" customFormat="1" ht="38" customHeight="1" spans="1:15">
      <c r="A141" s="34"/>
      <c r="B141" s="36"/>
      <c r="C141" s="93" t="s">
        <v>326</v>
      </c>
      <c r="D141" s="93"/>
      <c r="E141" s="94"/>
      <c r="F141" s="95"/>
      <c r="G141" s="96"/>
      <c r="H141" s="97"/>
      <c r="I141" s="104"/>
      <c r="J141" s="97"/>
      <c r="K141" s="97"/>
      <c r="L141" s="97"/>
      <c r="M141" s="105"/>
      <c r="N141" s="81">
        <f>SUM(N136:N140)</f>
        <v>211242.61149</v>
      </c>
      <c r="O141" s="80"/>
    </row>
    <row r="142" customFormat="1" ht="38" customHeight="1" spans="1:15">
      <c r="A142" s="27"/>
      <c r="B142" s="67" t="s">
        <v>327</v>
      </c>
      <c r="C142" s="68"/>
      <c r="D142" s="69"/>
      <c r="E142" s="70"/>
      <c r="F142" s="32"/>
      <c r="G142" s="33">
        <f t="shared" ref="G142:G144" si="47">H142*(1+I142)</f>
        <v>0</v>
      </c>
      <c r="H142" s="32"/>
      <c r="I142" s="46"/>
      <c r="J142" s="40"/>
      <c r="K142" s="40"/>
      <c r="L142" s="40"/>
      <c r="M142" s="47">
        <f t="shared" ref="M142:M144" si="48">F142+G142+J142+K142+L142</f>
        <v>0</v>
      </c>
      <c r="N142" s="40">
        <f t="shared" ref="N142:N144" si="49">E142*M142</f>
        <v>0</v>
      </c>
      <c r="O142" s="79"/>
    </row>
    <row r="143" s="4" customFormat="1" ht="48" customHeight="1" spans="1:15">
      <c r="A143" s="27">
        <v>159</v>
      </c>
      <c r="B143" s="39" t="s">
        <v>328</v>
      </c>
      <c r="C143" s="28" t="s">
        <v>329</v>
      </c>
      <c r="D143" s="28" t="s">
        <v>330</v>
      </c>
      <c r="E143" s="40">
        <v>1</v>
      </c>
      <c r="F143" s="32">
        <v>150</v>
      </c>
      <c r="G143" s="33">
        <v>4800</v>
      </c>
      <c r="H143" s="32">
        <v>4800</v>
      </c>
      <c r="I143" s="46">
        <v>0</v>
      </c>
      <c r="J143" s="40">
        <v>350</v>
      </c>
      <c r="K143" s="40">
        <f>(F143+G143+J143)*K5</f>
        <v>106</v>
      </c>
      <c r="L143" s="40">
        <f>(F143+G143+J143+K143)*L5</f>
        <v>486.54</v>
      </c>
      <c r="M143" s="47">
        <f t="shared" si="48"/>
        <v>5892.54</v>
      </c>
      <c r="N143" s="40">
        <f t="shared" si="49"/>
        <v>5892.54</v>
      </c>
      <c r="O143" s="53"/>
    </row>
    <row r="144" customFormat="1" ht="92.1" customHeight="1" spans="1:15">
      <c r="A144" s="27">
        <v>4</v>
      </c>
      <c r="B144" s="28" t="s">
        <v>331</v>
      </c>
      <c r="C144" s="28" t="s">
        <v>332</v>
      </c>
      <c r="D144" s="28" t="s">
        <v>62</v>
      </c>
      <c r="E144" s="40">
        <v>1</v>
      </c>
      <c r="F144" s="32">
        <v>0</v>
      </c>
      <c r="G144" s="33">
        <f t="shared" si="47"/>
        <v>10416</v>
      </c>
      <c r="H144" s="40">
        <v>10416</v>
      </c>
      <c r="I144" s="46">
        <v>0</v>
      </c>
      <c r="J144" s="40">
        <v>0</v>
      </c>
      <c r="K144" s="40">
        <f>(F144+G144+J144)*K5</f>
        <v>208.32</v>
      </c>
      <c r="L144" s="40">
        <f>(F144+G144+J144+K144)*L5</f>
        <v>956.1888</v>
      </c>
      <c r="M144" s="47">
        <f t="shared" si="48"/>
        <v>11580.5088</v>
      </c>
      <c r="N144" s="40">
        <f t="shared" si="49"/>
        <v>11580.5088</v>
      </c>
      <c r="O144" s="52" t="s">
        <v>270</v>
      </c>
    </row>
    <row r="145" s="57" customFormat="1" ht="38" customHeight="1" spans="1:15">
      <c r="A145" s="34"/>
      <c r="B145" s="36"/>
      <c r="C145" s="73" t="s">
        <v>333</v>
      </c>
      <c r="D145" s="34"/>
      <c r="E145" s="72"/>
      <c r="F145" s="32"/>
      <c r="G145" s="33"/>
      <c r="H145" s="32"/>
      <c r="I145" s="46"/>
      <c r="J145" s="40"/>
      <c r="K145" s="40"/>
      <c r="L145" s="40"/>
      <c r="M145" s="47"/>
      <c r="N145" s="81">
        <f>N144-N143</f>
        <v>5687.9688</v>
      </c>
      <c r="O145" s="80"/>
    </row>
    <row r="146" customFormat="1" ht="38" customHeight="1" spans="1:15">
      <c r="A146" s="27"/>
      <c r="B146" s="67" t="s">
        <v>334</v>
      </c>
      <c r="C146" s="68"/>
      <c r="D146" s="69"/>
      <c r="E146" s="70"/>
      <c r="F146" s="32"/>
      <c r="G146" s="33">
        <f t="shared" ref="G146:G156" si="50">H146*(1+I146)</f>
        <v>0</v>
      </c>
      <c r="H146" s="32"/>
      <c r="I146" s="46"/>
      <c r="J146" s="40"/>
      <c r="K146" s="40"/>
      <c r="L146" s="40"/>
      <c r="M146" s="47">
        <f t="shared" ref="M146:M157" si="51">F146+G146+J146+K146+L146</f>
        <v>0</v>
      </c>
      <c r="N146" s="40">
        <f t="shared" ref="N146:N157" si="52">E146*M146</f>
        <v>0</v>
      </c>
      <c r="O146" s="79"/>
    </row>
    <row r="147" customFormat="1" ht="79" customHeight="1" spans="1:15">
      <c r="A147" s="27">
        <v>77</v>
      </c>
      <c r="B147" s="28" t="s">
        <v>335</v>
      </c>
      <c r="C147" s="28" t="s">
        <v>336</v>
      </c>
      <c r="D147" s="28" t="s">
        <v>266</v>
      </c>
      <c r="E147" s="40">
        <v>14</v>
      </c>
      <c r="F147" s="32">
        <v>60</v>
      </c>
      <c r="G147" s="33">
        <f t="shared" si="50"/>
        <v>207.9</v>
      </c>
      <c r="H147" s="32">
        <v>198</v>
      </c>
      <c r="I147" s="46">
        <v>0.05</v>
      </c>
      <c r="J147" s="40">
        <v>60</v>
      </c>
      <c r="K147" s="40">
        <f>(F147+G147+J147)*K5</f>
        <v>6.558</v>
      </c>
      <c r="L147" s="40">
        <f>(F147+G147+J147+K147)*L5</f>
        <v>30.10122</v>
      </c>
      <c r="M147" s="47">
        <f t="shared" si="51"/>
        <v>364.55922</v>
      </c>
      <c r="N147" s="40">
        <f t="shared" si="52"/>
        <v>5103.82908</v>
      </c>
      <c r="O147" s="52" t="s">
        <v>270</v>
      </c>
    </row>
    <row r="148" customFormat="1" ht="146.25" customHeight="1" spans="1:15">
      <c r="A148" s="27">
        <v>13</v>
      </c>
      <c r="B148" s="28" t="s">
        <v>337</v>
      </c>
      <c r="C148" s="28" t="s">
        <v>338</v>
      </c>
      <c r="D148" s="28" t="s">
        <v>266</v>
      </c>
      <c r="E148" s="40">
        <v>27</v>
      </c>
      <c r="F148" s="32">
        <v>105</v>
      </c>
      <c r="G148" s="33">
        <f t="shared" si="50"/>
        <v>120</v>
      </c>
      <c r="H148" s="32">
        <v>120</v>
      </c>
      <c r="I148" s="46">
        <v>0</v>
      </c>
      <c r="J148" s="40">
        <v>23</v>
      </c>
      <c r="K148" s="40">
        <f>(F148+G148+J148)*K5</f>
        <v>4.96</v>
      </c>
      <c r="L148" s="40">
        <f>(F148+G148+J148+K148)*L5</f>
        <v>22.7664</v>
      </c>
      <c r="M148" s="47">
        <f t="shared" si="51"/>
        <v>275.7264</v>
      </c>
      <c r="N148" s="40">
        <f t="shared" si="52"/>
        <v>7444.6128</v>
      </c>
      <c r="O148" s="52" t="s">
        <v>339</v>
      </c>
    </row>
    <row r="149" customFormat="1" ht="64.5" customHeight="1" spans="1:15">
      <c r="A149" s="27">
        <v>31</v>
      </c>
      <c r="B149" s="28" t="s">
        <v>340</v>
      </c>
      <c r="C149" s="28" t="s">
        <v>341</v>
      </c>
      <c r="D149" s="28" t="s">
        <v>266</v>
      </c>
      <c r="E149" s="40">
        <v>35</v>
      </c>
      <c r="F149" s="32">
        <v>110</v>
      </c>
      <c r="G149" s="33">
        <f t="shared" si="50"/>
        <v>170</v>
      </c>
      <c r="H149" s="32">
        <v>170</v>
      </c>
      <c r="I149" s="46">
        <v>0</v>
      </c>
      <c r="J149" s="40">
        <v>20</v>
      </c>
      <c r="K149" s="40">
        <f>(F149+G149+J149)*K5</f>
        <v>6</v>
      </c>
      <c r="L149" s="40">
        <f>(F149+G149+J149+K149)*L5</f>
        <v>27.54</v>
      </c>
      <c r="M149" s="47">
        <f t="shared" si="51"/>
        <v>333.54</v>
      </c>
      <c r="N149" s="40">
        <f t="shared" si="52"/>
        <v>11673.9</v>
      </c>
      <c r="O149" s="52" t="s">
        <v>339</v>
      </c>
    </row>
    <row r="150" customFormat="1" ht="57" customHeight="1" spans="1:15">
      <c r="A150" s="27">
        <v>87</v>
      </c>
      <c r="B150" s="28" t="s">
        <v>342</v>
      </c>
      <c r="C150" s="28" t="s">
        <v>343</v>
      </c>
      <c r="D150" s="28" t="s">
        <v>266</v>
      </c>
      <c r="E150" s="40">
        <v>34</v>
      </c>
      <c r="F150" s="32">
        <v>47</v>
      </c>
      <c r="G150" s="33">
        <f t="shared" si="50"/>
        <v>0</v>
      </c>
      <c r="H150" s="32"/>
      <c r="I150" s="46">
        <v>0</v>
      </c>
      <c r="J150" s="40">
        <v>23</v>
      </c>
      <c r="K150" s="40">
        <f>(F150+G150+J150)*K5</f>
        <v>1.4</v>
      </c>
      <c r="L150" s="40">
        <f>(F150+G150+J150+K150)*L5</f>
        <v>6.426</v>
      </c>
      <c r="M150" s="47">
        <f t="shared" si="51"/>
        <v>77.826</v>
      </c>
      <c r="N150" s="40">
        <f t="shared" si="52"/>
        <v>2646.084</v>
      </c>
      <c r="O150" s="53" t="s">
        <v>344</v>
      </c>
    </row>
    <row r="151" s="4" customFormat="1" ht="39" customHeight="1" spans="1:15">
      <c r="A151" s="27">
        <v>177</v>
      </c>
      <c r="B151" s="28" t="s">
        <v>345</v>
      </c>
      <c r="C151" s="28" t="s">
        <v>346</v>
      </c>
      <c r="D151" s="28" t="s">
        <v>347</v>
      </c>
      <c r="E151" s="40">
        <v>40</v>
      </c>
      <c r="F151" s="32">
        <v>15</v>
      </c>
      <c r="G151" s="33">
        <f t="shared" si="50"/>
        <v>40</v>
      </c>
      <c r="H151" s="32">
        <v>40</v>
      </c>
      <c r="I151" s="46">
        <v>0</v>
      </c>
      <c r="J151" s="40">
        <v>3</v>
      </c>
      <c r="K151" s="40">
        <f>(F151+G151+J151)*K5</f>
        <v>1.16</v>
      </c>
      <c r="L151" s="40">
        <f>(F151+G151+J151+K151)*L5</f>
        <v>5.3244</v>
      </c>
      <c r="M151" s="47">
        <f t="shared" si="51"/>
        <v>64.4844</v>
      </c>
      <c r="N151" s="40">
        <f t="shared" si="52"/>
        <v>2579.376</v>
      </c>
      <c r="O151" s="52" t="s">
        <v>348</v>
      </c>
    </row>
    <row r="152" s="4" customFormat="1" ht="60" customHeight="1" spans="1:15">
      <c r="A152" s="27">
        <v>216</v>
      </c>
      <c r="B152" s="28" t="s">
        <v>349</v>
      </c>
      <c r="C152" s="75" t="s">
        <v>350</v>
      </c>
      <c r="D152" s="28" t="s">
        <v>35</v>
      </c>
      <c r="E152" s="40">
        <v>1</v>
      </c>
      <c r="F152" s="32">
        <v>150</v>
      </c>
      <c r="G152" s="33">
        <f t="shared" si="50"/>
        <v>1000</v>
      </c>
      <c r="H152" s="32">
        <v>1000</v>
      </c>
      <c r="I152" s="46">
        <v>0</v>
      </c>
      <c r="J152" s="40">
        <v>50</v>
      </c>
      <c r="K152" s="40">
        <f>(F152+G152+J152)*K5</f>
        <v>24</v>
      </c>
      <c r="L152" s="40">
        <f>(F152+G152+J152+K152)*L5</f>
        <v>110.16</v>
      </c>
      <c r="M152" s="47">
        <f t="shared" si="51"/>
        <v>1334.16</v>
      </c>
      <c r="N152" s="40">
        <f t="shared" si="52"/>
        <v>1334.16</v>
      </c>
      <c r="O152" s="53"/>
    </row>
    <row r="153" customFormat="1" ht="48" customHeight="1" spans="1:15">
      <c r="A153" s="27"/>
      <c r="B153" s="28" t="s">
        <v>351</v>
      </c>
      <c r="C153" s="28" t="s">
        <v>352</v>
      </c>
      <c r="D153" s="28" t="s">
        <v>266</v>
      </c>
      <c r="E153" s="40">
        <v>45</v>
      </c>
      <c r="F153" s="32">
        <v>100</v>
      </c>
      <c r="G153" s="33">
        <f t="shared" si="50"/>
        <v>750</v>
      </c>
      <c r="H153" s="32">
        <v>750</v>
      </c>
      <c r="I153" s="46">
        <v>0</v>
      </c>
      <c r="J153" s="40">
        <v>155</v>
      </c>
      <c r="K153" s="40">
        <f>(F153+G153+J153)*K5</f>
        <v>20.1</v>
      </c>
      <c r="L153" s="40">
        <f>(F153+G153+J153+K153)*L5</f>
        <v>92.259</v>
      </c>
      <c r="M153" s="47">
        <f t="shared" si="51"/>
        <v>1117.359</v>
      </c>
      <c r="N153" s="40">
        <f t="shared" si="52"/>
        <v>50281.155</v>
      </c>
      <c r="O153" s="52" t="s">
        <v>353</v>
      </c>
    </row>
    <row r="154" customFormat="1" ht="48" customHeight="1" spans="1:15">
      <c r="A154" s="27"/>
      <c r="B154" s="28" t="s">
        <v>354</v>
      </c>
      <c r="C154" s="28" t="s">
        <v>352</v>
      </c>
      <c r="D154" s="28" t="s">
        <v>266</v>
      </c>
      <c r="E154" s="40">
        <v>4.2</v>
      </c>
      <c r="F154" s="32">
        <v>100</v>
      </c>
      <c r="G154" s="33">
        <f t="shared" si="50"/>
        <v>750</v>
      </c>
      <c r="H154" s="32">
        <v>750</v>
      </c>
      <c r="I154" s="46">
        <v>0</v>
      </c>
      <c r="J154" s="40">
        <v>155</v>
      </c>
      <c r="K154" s="40">
        <f>(F154+G154+J154)*K5</f>
        <v>20.1</v>
      </c>
      <c r="L154" s="40">
        <f>(F154+G154+J154+K154)*L5</f>
        <v>92.259</v>
      </c>
      <c r="M154" s="47">
        <f t="shared" si="51"/>
        <v>1117.359</v>
      </c>
      <c r="N154" s="40">
        <f t="shared" si="52"/>
        <v>4692.9078</v>
      </c>
      <c r="O154" s="52" t="s">
        <v>353</v>
      </c>
    </row>
    <row r="155" s="4" customFormat="1" ht="45" customHeight="1" spans="1:15">
      <c r="A155" s="27">
        <v>184</v>
      </c>
      <c r="B155" s="28" t="s">
        <v>355</v>
      </c>
      <c r="C155" s="28" t="s">
        <v>356</v>
      </c>
      <c r="D155" s="28" t="s">
        <v>347</v>
      </c>
      <c r="E155" s="40">
        <v>6.2</v>
      </c>
      <c r="F155" s="32">
        <v>20</v>
      </c>
      <c r="G155" s="33">
        <f t="shared" si="50"/>
        <v>120</v>
      </c>
      <c r="H155" s="32">
        <v>120</v>
      </c>
      <c r="I155" s="46">
        <v>0</v>
      </c>
      <c r="J155" s="40">
        <v>120</v>
      </c>
      <c r="K155" s="40">
        <f t="shared" ref="K155:K157" si="53">(F155+G155+J155)*K5</f>
        <v>5.2</v>
      </c>
      <c r="L155" s="40">
        <f t="shared" ref="L155:L157" si="54">(F155+G155+J155+K155)*L5</f>
        <v>23.868</v>
      </c>
      <c r="M155" s="47">
        <f t="shared" si="51"/>
        <v>289.068</v>
      </c>
      <c r="N155" s="40">
        <f t="shared" si="52"/>
        <v>1792.2216</v>
      </c>
      <c r="O155" s="52" t="s">
        <v>135</v>
      </c>
    </row>
    <row r="156" customFormat="1" ht="48" customHeight="1" spans="1:15">
      <c r="A156" s="27"/>
      <c r="B156" s="28" t="s">
        <v>357</v>
      </c>
      <c r="C156" s="28" t="s">
        <v>356</v>
      </c>
      <c r="D156" s="28" t="s">
        <v>62</v>
      </c>
      <c r="E156" s="40">
        <v>4</v>
      </c>
      <c r="F156" s="32">
        <v>0</v>
      </c>
      <c r="G156" s="33">
        <f t="shared" si="50"/>
        <v>1900</v>
      </c>
      <c r="H156" s="32">
        <v>1900</v>
      </c>
      <c r="I156" s="46">
        <v>0</v>
      </c>
      <c r="J156" s="40">
        <v>0</v>
      </c>
      <c r="K156" s="40">
        <f t="shared" si="53"/>
        <v>0</v>
      </c>
      <c r="L156" s="40">
        <f t="shared" si="54"/>
        <v>0</v>
      </c>
      <c r="M156" s="47">
        <f t="shared" si="51"/>
        <v>1900</v>
      </c>
      <c r="N156" s="40">
        <f t="shared" si="52"/>
        <v>7600</v>
      </c>
      <c r="O156" s="52" t="s">
        <v>135</v>
      </c>
    </row>
    <row r="157" s="4" customFormat="1" ht="45" customHeight="1" spans="1:15">
      <c r="A157" s="27">
        <v>184</v>
      </c>
      <c r="B157" s="28" t="s">
        <v>358</v>
      </c>
      <c r="C157" s="28" t="s">
        <v>356</v>
      </c>
      <c r="D157" s="28" t="s">
        <v>347</v>
      </c>
      <c r="E157" s="40">
        <v>6.4</v>
      </c>
      <c r="F157" s="32">
        <v>20</v>
      </c>
      <c r="G157" s="33">
        <f t="shared" ref="G157:G164" si="55">H157*(1+I157)</f>
        <v>120</v>
      </c>
      <c r="H157" s="32">
        <v>120</v>
      </c>
      <c r="I157" s="46">
        <v>0</v>
      </c>
      <c r="J157" s="40">
        <v>120</v>
      </c>
      <c r="K157" s="40">
        <f>(F157+G157+J157)*K5</f>
        <v>5.2</v>
      </c>
      <c r="L157" s="40">
        <f>(F157+G157+J157+K157)*L5</f>
        <v>23.868</v>
      </c>
      <c r="M157" s="47">
        <f t="shared" si="51"/>
        <v>289.068</v>
      </c>
      <c r="N157" s="40">
        <f t="shared" si="52"/>
        <v>1850.0352</v>
      </c>
      <c r="O157" s="52" t="s">
        <v>135</v>
      </c>
    </row>
    <row r="158" customFormat="1" ht="42.75" customHeight="1" spans="1:15">
      <c r="A158" s="27"/>
      <c r="B158" s="28" t="s">
        <v>359</v>
      </c>
      <c r="C158" s="28" t="s">
        <v>360</v>
      </c>
      <c r="D158" s="28" t="s">
        <v>35</v>
      </c>
      <c r="E158" s="40">
        <v>1</v>
      </c>
      <c r="F158" s="32">
        <v>0</v>
      </c>
      <c r="G158" s="33">
        <f t="shared" si="55"/>
        <v>30000</v>
      </c>
      <c r="H158" s="32">
        <v>30000</v>
      </c>
      <c r="I158" s="46">
        <v>0</v>
      </c>
      <c r="J158" s="40">
        <v>0</v>
      </c>
      <c r="K158" s="40">
        <v>0</v>
      </c>
      <c r="L158" s="40">
        <v>0</v>
      </c>
      <c r="M158" s="47">
        <f t="shared" ref="M158:M164" si="56">F158+G158+J158+K158+L158</f>
        <v>30000</v>
      </c>
      <c r="N158" s="40">
        <f t="shared" ref="N158:N164" si="57">E158*M158</f>
        <v>30000</v>
      </c>
      <c r="O158" s="52" t="s">
        <v>361</v>
      </c>
    </row>
    <row r="159" customFormat="1" ht="42.75" customHeight="1" spans="1:15">
      <c r="A159" s="27"/>
      <c r="B159" s="28" t="s">
        <v>362</v>
      </c>
      <c r="C159" s="41" t="s">
        <v>363</v>
      </c>
      <c r="D159" s="28" t="s">
        <v>35</v>
      </c>
      <c r="E159" s="40">
        <v>1</v>
      </c>
      <c r="F159" s="32">
        <v>0</v>
      </c>
      <c r="G159" s="33">
        <f t="shared" si="55"/>
        <v>6440</v>
      </c>
      <c r="H159" s="32">
        <v>6440</v>
      </c>
      <c r="I159" s="46">
        <v>0</v>
      </c>
      <c r="J159" s="40">
        <v>0</v>
      </c>
      <c r="K159" s="40">
        <v>0</v>
      </c>
      <c r="L159" s="40">
        <v>0</v>
      </c>
      <c r="M159" s="47">
        <f t="shared" si="56"/>
        <v>6440</v>
      </c>
      <c r="N159" s="40">
        <f t="shared" si="57"/>
        <v>6440</v>
      </c>
      <c r="O159" s="52" t="s">
        <v>135</v>
      </c>
    </row>
    <row r="160" customFormat="1" ht="81" customHeight="1" spans="1:15">
      <c r="A160" s="27"/>
      <c r="B160" s="28" t="s">
        <v>364</v>
      </c>
      <c r="C160" s="28" t="s">
        <v>365</v>
      </c>
      <c r="D160" s="28" t="s">
        <v>266</v>
      </c>
      <c r="E160" s="40">
        <v>7.6</v>
      </c>
      <c r="F160" s="32">
        <v>40</v>
      </c>
      <c r="G160" s="33">
        <f t="shared" si="55"/>
        <v>252</v>
      </c>
      <c r="H160" s="32">
        <v>240</v>
      </c>
      <c r="I160" s="46">
        <v>0.05</v>
      </c>
      <c r="J160" s="40">
        <v>82</v>
      </c>
      <c r="K160" s="40">
        <f>(F160+G160+J160)*K5</f>
        <v>7.48</v>
      </c>
      <c r="L160" s="40">
        <f>(F160+G160+J160+K160)*L5</f>
        <v>34.3332</v>
      </c>
      <c r="M160" s="47">
        <f t="shared" si="56"/>
        <v>415.8132</v>
      </c>
      <c r="N160" s="40">
        <f t="shared" si="57"/>
        <v>3160.18032</v>
      </c>
      <c r="O160" s="52" t="s">
        <v>366</v>
      </c>
    </row>
    <row r="161" customFormat="1" ht="76" customHeight="1" spans="1:15">
      <c r="A161" s="27"/>
      <c r="B161" s="28" t="s">
        <v>367</v>
      </c>
      <c r="C161" s="28" t="s">
        <v>368</v>
      </c>
      <c r="D161" s="28" t="s">
        <v>266</v>
      </c>
      <c r="E161" s="40">
        <v>1.386</v>
      </c>
      <c r="F161" s="32">
        <v>95</v>
      </c>
      <c r="G161" s="33">
        <f t="shared" si="55"/>
        <v>483</v>
      </c>
      <c r="H161" s="32">
        <v>460</v>
      </c>
      <c r="I161" s="46">
        <v>0.05</v>
      </c>
      <c r="J161" s="40">
        <v>260</v>
      </c>
      <c r="K161" s="40">
        <f>(F161+G161+J161)*K5</f>
        <v>16.76</v>
      </c>
      <c r="L161" s="40">
        <f>(F161+G161+J161+K161)*L5</f>
        <v>76.9284</v>
      </c>
      <c r="M161" s="47">
        <f t="shared" si="56"/>
        <v>931.6884</v>
      </c>
      <c r="N161" s="40">
        <f t="shared" si="57"/>
        <v>1291.3201224</v>
      </c>
      <c r="O161" s="52" t="s">
        <v>267</v>
      </c>
    </row>
    <row r="162" customFormat="1" ht="46" customHeight="1" spans="1:15">
      <c r="A162" s="27"/>
      <c r="B162" s="28" t="s">
        <v>369</v>
      </c>
      <c r="C162" s="28" t="s">
        <v>370</v>
      </c>
      <c r="D162" s="28" t="s">
        <v>35</v>
      </c>
      <c r="E162" s="40">
        <v>1</v>
      </c>
      <c r="F162" s="32">
        <v>0</v>
      </c>
      <c r="G162" s="33">
        <f t="shared" si="55"/>
        <v>4100</v>
      </c>
      <c r="H162" s="32">
        <v>4100</v>
      </c>
      <c r="I162" s="46">
        <v>0</v>
      </c>
      <c r="J162" s="40">
        <v>0</v>
      </c>
      <c r="K162" s="40">
        <v>0</v>
      </c>
      <c r="L162" s="40">
        <v>0</v>
      </c>
      <c r="M162" s="47">
        <f t="shared" si="56"/>
        <v>4100</v>
      </c>
      <c r="N162" s="40">
        <f t="shared" si="57"/>
        <v>4100</v>
      </c>
      <c r="O162" s="52" t="s">
        <v>135</v>
      </c>
    </row>
    <row r="163" customFormat="1" ht="48" customHeight="1" spans="1:15">
      <c r="A163" s="27"/>
      <c r="B163" s="28" t="s">
        <v>371</v>
      </c>
      <c r="C163" s="28" t="s">
        <v>372</v>
      </c>
      <c r="D163" s="28" t="s">
        <v>35</v>
      </c>
      <c r="E163" s="40">
        <v>1</v>
      </c>
      <c r="F163" s="32">
        <v>0</v>
      </c>
      <c r="G163" s="33">
        <f t="shared" si="55"/>
        <v>1500</v>
      </c>
      <c r="H163" s="32">
        <v>1500</v>
      </c>
      <c r="I163" s="46">
        <v>0</v>
      </c>
      <c r="J163" s="40">
        <v>0</v>
      </c>
      <c r="K163" s="40">
        <v>0</v>
      </c>
      <c r="L163" s="40">
        <v>0</v>
      </c>
      <c r="M163" s="47">
        <f t="shared" si="56"/>
        <v>1500</v>
      </c>
      <c r="N163" s="40">
        <f t="shared" si="57"/>
        <v>1500</v>
      </c>
      <c r="O163" s="52" t="s">
        <v>135</v>
      </c>
    </row>
    <row r="164" customFormat="1" ht="48" customHeight="1" spans="1:15">
      <c r="A164" s="27"/>
      <c r="B164" s="28" t="s">
        <v>373</v>
      </c>
      <c r="C164" s="28" t="s">
        <v>374</v>
      </c>
      <c r="D164" s="28" t="s">
        <v>35</v>
      </c>
      <c r="E164" s="40">
        <v>1</v>
      </c>
      <c r="F164" s="32">
        <v>0</v>
      </c>
      <c r="G164" s="33">
        <f t="shared" si="55"/>
        <v>4000</v>
      </c>
      <c r="H164" s="32">
        <v>4000</v>
      </c>
      <c r="I164" s="46">
        <v>0</v>
      </c>
      <c r="J164" s="40">
        <v>0</v>
      </c>
      <c r="K164" s="40">
        <v>0</v>
      </c>
      <c r="L164" s="40">
        <v>0</v>
      </c>
      <c r="M164" s="47">
        <f t="shared" si="56"/>
        <v>4000</v>
      </c>
      <c r="N164" s="40">
        <f t="shared" si="57"/>
        <v>4000</v>
      </c>
      <c r="O164" s="52" t="s">
        <v>135</v>
      </c>
    </row>
    <row r="165" customFormat="1" ht="55.5" customHeight="1" spans="1:15">
      <c r="A165" s="27"/>
      <c r="B165" s="28" t="s">
        <v>375</v>
      </c>
      <c r="C165" s="28" t="s">
        <v>343</v>
      </c>
      <c r="D165" s="28" t="s">
        <v>266</v>
      </c>
      <c r="E165" s="40">
        <v>367</v>
      </c>
      <c r="F165" s="32">
        <v>0</v>
      </c>
      <c r="G165" s="33">
        <v>36</v>
      </c>
      <c r="H165" s="32">
        <v>36.07</v>
      </c>
      <c r="I165" s="46">
        <v>0</v>
      </c>
      <c r="J165" s="40">
        <v>0</v>
      </c>
      <c r="K165" s="40">
        <v>0</v>
      </c>
      <c r="L165" s="40">
        <v>0</v>
      </c>
      <c r="M165" s="47">
        <f t="shared" ref="M165:M169" si="58">F165+G165+J165+K165+L165</f>
        <v>36</v>
      </c>
      <c r="N165" s="40">
        <f t="shared" ref="N165:N169" si="59">E165*M165</f>
        <v>13212</v>
      </c>
      <c r="O165" s="52" t="s">
        <v>376</v>
      </c>
    </row>
    <row r="166" customFormat="1" ht="43" customHeight="1" spans="1:15">
      <c r="A166" s="27"/>
      <c r="B166" s="28" t="s">
        <v>377</v>
      </c>
      <c r="C166" s="28" t="s">
        <v>378</v>
      </c>
      <c r="D166" s="28" t="s">
        <v>347</v>
      </c>
      <c r="E166" s="90">
        <v>13.1</v>
      </c>
      <c r="F166" s="32">
        <v>0</v>
      </c>
      <c r="G166" s="33">
        <v>280</v>
      </c>
      <c r="H166" s="32">
        <v>280</v>
      </c>
      <c r="I166" s="46">
        <v>0</v>
      </c>
      <c r="J166" s="40">
        <v>0</v>
      </c>
      <c r="K166" s="40">
        <v>0</v>
      </c>
      <c r="L166" s="40">
        <v>0</v>
      </c>
      <c r="M166" s="47">
        <f t="shared" si="58"/>
        <v>280</v>
      </c>
      <c r="N166" s="40">
        <f t="shared" si="59"/>
        <v>3668</v>
      </c>
      <c r="O166" s="52"/>
    </row>
    <row r="167" customFormat="1" ht="43" customHeight="1" spans="1:15">
      <c r="A167" s="27"/>
      <c r="B167" s="28" t="s">
        <v>379</v>
      </c>
      <c r="C167" s="28" t="s">
        <v>378</v>
      </c>
      <c r="D167" s="28" t="s">
        <v>266</v>
      </c>
      <c r="E167" s="90">
        <v>4.1</v>
      </c>
      <c r="F167" s="32">
        <v>0</v>
      </c>
      <c r="G167" s="33">
        <v>520</v>
      </c>
      <c r="H167" s="32">
        <v>520</v>
      </c>
      <c r="I167" s="46">
        <v>0</v>
      </c>
      <c r="J167" s="40">
        <v>0</v>
      </c>
      <c r="K167" s="40">
        <v>0</v>
      </c>
      <c r="L167" s="40">
        <v>0</v>
      </c>
      <c r="M167" s="47">
        <f t="shared" si="58"/>
        <v>520</v>
      </c>
      <c r="N167" s="40">
        <f t="shared" si="59"/>
        <v>2132</v>
      </c>
      <c r="O167" s="52"/>
    </row>
    <row r="168" customFormat="1" ht="43" customHeight="1" spans="1:15">
      <c r="A168" s="27"/>
      <c r="B168" s="28" t="s">
        <v>380</v>
      </c>
      <c r="C168" s="28" t="s">
        <v>381</v>
      </c>
      <c r="D168" s="28" t="s">
        <v>35</v>
      </c>
      <c r="E168" s="40">
        <v>1</v>
      </c>
      <c r="F168" s="32">
        <v>0</v>
      </c>
      <c r="G168" s="33">
        <f>H168*(1+I168)</f>
        <v>3400</v>
      </c>
      <c r="H168" s="32">
        <v>3400</v>
      </c>
      <c r="I168" s="46">
        <v>0</v>
      </c>
      <c r="J168" s="40">
        <v>0</v>
      </c>
      <c r="K168" s="40">
        <v>0</v>
      </c>
      <c r="L168" s="40">
        <v>0</v>
      </c>
      <c r="M168" s="47">
        <f t="shared" si="58"/>
        <v>3400</v>
      </c>
      <c r="N168" s="40">
        <f t="shared" si="59"/>
        <v>3400</v>
      </c>
      <c r="O168" s="52"/>
    </row>
    <row r="169" customFormat="1" ht="43" customHeight="1" spans="1:15">
      <c r="A169" s="27"/>
      <c r="B169" s="28" t="s">
        <v>382</v>
      </c>
      <c r="C169" s="28" t="s">
        <v>381</v>
      </c>
      <c r="D169" s="28" t="s">
        <v>35</v>
      </c>
      <c r="E169" s="40">
        <v>1</v>
      </c>
      <c r="F169" s="32">
        <v>0</v>
      </c>
      <c r="G169" s="33">
        <f>H169*(1+I169)</f>
        <v>4200</v>
      </c>
      <c r="H169" s="32">
        <v>4200</v>
      </c>
      <c r="I169" s="46">
        <v>0</v>
      </c>
      <c r="J169" s="40">
        <v>0</v>
      </c>
      <c r="K169" s="40">
        <v>0</v>
      </c>
      <c r="L169" s="40">
        <v>0</v>
      </c>
      <c r="M169" s="47">
        <f t="shared" si="58"/>
        <v>4200</v>
      </c>
      <c r="N169" s="40">
        <f t="shared" si="59"/>
        <v>4200</v>
      </c>
      <c r="O169" s="52"/>
    </row>
    <row r="170" customFormat="1" ht="39.75" customHeight="1" spans="1:15">
      <c r="A170" s="27"/>
      <c r="B170" s="28"/>
      <c r="C170" s="73" t="s">
        <v>333</v>
      </c>
      <c r="D170" s="34"/>
      <c r="E170" s="72"/>
      <c r="F170" s="32"/>
      <c r="G170" s="33"/>
      <c r="H170" s="32"/>
      <c r="I170" s="46"/>
      <c r="J170" s="40"/>
      <c r="K170" s="40"/>
      <c r="L170" s="40"/>
      <c r="M170" s="47"/>
      <c r="N170" s="81">
        <f>SUM(N147:N167)</f>
        <v>166501.7819224</v>
      </c>
      <c r="O170" s="53"/>
    </row>
    <row r="171" customFormat="1" ht="40" customHeight="1" spans="1:15">
      <c r="A171" s="27"/>
      <c r="B171" s="67" t="s">
        <v>383</v>
      </c>
      <c r="C171" s="68"/>
      <c r="D171" s="69"/>
      <c r="E171" s="70"/>
      <c r="F171" s="32"/>
      <c r="G171" s="33">
        <f t="shared" ref="G171:G189" si="60">H171*(1+I171)</f>
        <v>0</v>
      </c>
      <c r="H171" s="32"/>
      <c r="I171" s="46"/>
      <c r="J171" s="40"/>
      <c r="K171" s="40"/>
      <c r="L171" s="40"/>
      <c r="M171" s="47">
        <f t="shared" ref="M171:M189" si="61">F171+G171+J171+K171+L171</f>
        <v>0</v>
      </c>
      <c r="N171" s="40">
        <f t="shared" ref="N171:N189" si="62">E171*M171</f>
        <v>0</v>
      </c>
      <c r="O171" s="79"/>
    </row>
    <row r="172" customFormat="1" ht="40" customHeight="1" spans="1:15">
      <c r="A172" s="27">
        <v>1</v>
      </c>
      <c r="B172" s="28" t="s">
        <v>384</v>
      </c>
      <c r="C172" s="28" t="s">
        <v>385</v>
      </c>
      <c r="D172" s="28" t="s">
        <v>347</v>
      </c>
      <c r="E172" s="40">
        <v>19</v>
      </c>
      <c r="F172" s="32">
        <v>0</v>
      </c>
      <c r="G172" s="33">
        <f t="shared" si="60"/>
        <v>272.59</v>
      </c>
      <c r="H172" s="40">
        <v>272.59</v>
      </c>
      <c r="I172" s="46">
        <v>0</v>
      </c>
      <c r="J172" s="40">
        <v>0</v>
      </c>
      <c r="K172" s="40">
        <f>(F172+G172+J172)*K5</f>
        <v>5.4518</v>
      </c>
      <c r="L172" s="40">
        <f>(F172+G172+J172+K172)*L5</f>
        <v>25.023762</v>
      </c>
      <c r="M172" s="47">
        <f t="shared" si="61"/>
        <v>303.065562</v>
      </c>
      <c r="N172" s="40">
        <f t="shared" si="62"/>
        <v>5758.245678</v>
      </c>
      <c r="O172" s="53"/>
    </row>
    <row r="173" customFormat="1" ht="40" customHeight="1" spans="1:15">
      <c r="A173" s="27">
        <v>2</v>
      </c>
      <c r="B173" s="28" t="s">
        <v>386</v>
      </c>
      <c r="C173" s="28" t="s">
        <v>385</v>
      </c>
      <c r="D173" s="28" t="s">
        <v>347</v>
      </c>
      <c r="E173" s="40">
        <v>19</v>
      </c>
      <c r="F173" s="32">
        <v>0</v>
      </c>
      <c r="G173" s="33">
        <f t="shared" si="60"/>
        <v>136.7</v>
      </c>
      <c r="H173" s="40">
        <v>136.7</v>
      </c>
      <c r="I173" s="46">
        <v>0</v>
      </c>
      <c r="J173" s="40">
        <v>0</v>
      </c>
      <c r="K173" s="40">
        <f>(F173+G173+J173)*K5</f>
        <v>2.734</v>
      </c>
      <c r="L173" s="40">
        <f>(F173+G173+J173+K173)*L5</f>
        <v>12.54906</v>
      </c>
      <c r="M173" s="47">
        <f t="shared" si="61"/>
        <v>151.98306</v>
      </c>
      <c r="N173" s="40">
        <f t="shared" si="62"/>
        <v>2887.67814</v>
      </c>
      <c r="O173" s="52"/>
    </row>
    <row r="174" customFormat="1" ht="40" customHeight="1" spans="1:15">
      <c r="A174" s="27">
        <v>3</v>
      </c>
      <c r="B174" s="28" t="s">
        <v>387</v>
      </c>
      <c r="C174" s="28" t="s">
        <v>385</v>
      </c>
      <c r="D174" s="28" t="s">
        <v>347</v>
      </c>
      <c r="E174" s="40">
        <v>9.3</v>
      </c>
      <c r="F174" s="32">
        <v>0</v>
      </c>
      <c r="G174" s="33">
        <f t="shared" si="60"/>
        <v>128.56</v>
      </c>
      <c r="H174" s="40">
        <v>128.56</v>
      </c>
      <c r="I174" s="46">
        <v>0</v>
      </c>
      <c r="J174" s="40">
        <v>0</v>
      </c>
      <c r="K174" s="40">
        <f>(F174+G174+J174)*K5</f>
        <v>2.5712</v>
      </c>
      <c r="L174" s="40">
        <f>(F174+G174+J174+K174)*L5</f>
        <v>11.801808</v>
      </c>
      <c r="M174" s="47">
        <f t="shared" si="61"/>
        <v>142.933008</v>
      </c>
      <c r="N174" s="40">
        <f t="shared" si="62"/>
        <v>1329.2769744</v>
      </c>
      <c r="O174" s="52"/>
    </row>
    <row r="175" customFormat="1" ht="40" customHeight="1" spans="1:15">
      <c r="A175" s="27">
        <v>4</v>
      </c>
      <c r="B175" s="28" t="s">
        <v>388</v>
      </c>
      <c r="C175" s="28" t="s">
        <v>385</v>
      </c>
      <c r="D175" s="28" t="s">
        <v>347</v>
      </c>
      <c r="E175" s="40">
        <v>9</v>
      </c>
      <c r="F175" s="32">
        <v>0</v>
      </c>
      <c r="G175" s="33">
        <f t="shared" si="60"/>
        <v>256.31</v>
      </c>
      <c r="H175" s="40">
        <v>256.31</v>
      </c>
      <c r="I175" s="46">
        <v>0</v>
      </c>
      <c r="J175" s="40">
        <v>0</v>
      </c>
      <c r="K175" s="40">
        <f>(F175+G175+J175)*K5</f>
        <v>5.1262</v>
      </c>
      <c r="L175" s="40">
        <f>(F175+G175+J175+K175)*L5</f>
        <v>23.529258</v>
      </c>
      <c r="M175" s="47">
        <f t="shared" si="61"/>
        <v>284.965458</v>
      </c>
      <c r="N175" s="40">
        <f t="shared" si="62"/>
        <v>2564.689122</v>
      </c>
      <c r="O175" s="52"/>
    </row>
    <row r="176" customFormat="1" ht="40" customHeight="1" spans="1:15">
      <c r="A176" s="27">
        <v>5</v>
      </c>
      <c r="B176" s="28" t="s">
        <v>389</v>
      </c>
      <c r="C176" s="28" t="s">
        <v>385</v>
      </c>
      <c r="D176" s="28" t="s">
        <v>347</v>
      </c>
      <c r="E176" s="40">
        <v>9</v>
      </c>
      <c r="F176" s="40">
        <v>0</v>
      </c>
      <c r="G176" s="33">
        <f t="shared" si="60"/>
        <v>44.75</v>
      </c>
      <c r="H176" s="40">
        <v>44.75</v>
      </c>
      <c r="I176" s="46">
        <v>0</v>
      </c>
      <c r="J176" s="40">
        <v>0</v>
      </c>
      <c r="K176" s="40">
        <f>(F176+G176+J176)*K5</f>
        <v>0.895</v>
      </c>
      <c r="L176" s="40">
        <f>(F176+G176+J176+K176)*L5</f>
        <v>4.10805</v>
      </c>
      <c r="M176" s="47">
        <f t="shared" si="61"/>
        <v>49.75305</v>
      </c>
      <c r="N176" s="40">
        <f t="shared" si="62"/>
        <v>447.77745</v>
      </c>
      <c r="O176" s="52"/>
    </row>
    <row r="177" customFormat="1" ht="40" customHeight="1" spans="1:15">
      <c r="A177" s="27">
        <v>6</v>
      </c>
      <c r="B177" s="28" t="s">
        <v>390</v>
      </c>
      <c r="C177" s="28" t="s">
        <v>385</v>
      </c>
      <c r="D177" s="28" t="s">
        <v>347</v>
      </c>
      <c r="E177" s="40">
        <v>9</v>
      </c>
      <c r="F177" s="40">
        <v>0</v>
      </c>
      <c r="G177" s="33">
        <f t="shared" si="60"/>
        <v>124.49</v>
      </c>
      <c r="H177" s="40">
        <v>124.49</v>
      </c>
      <c r="I177" s="46">
        <v>0</v>
      </c>
      <c r="J177" s="40">
        <v>0</v>
      </c>
      <c r="K177" s="40">
        <f>(F177+G177+J177)*K5</f>
        <v>2.4898</v>
      </c>
      <c r="L177" s="40">
        <f>(F177+G177+J177+K177)*L5</f>
        <v>11.428182</v>
      </c>
      <c r="M177" s="47">
        <f t="shared" si="61"/>
        <v>138.407982</v>
      </c>
      <c r="N177" s="40">
        <f t="shared" si="62"/>
        <v>1245.671838</v>
      </c>
      <c r="O177" s="52"/>
    </row>
    <row r="178" customFormat="1" ht="40" customHeight="1" spans="1:15">
      <c r="A178" s="27">
        <v>7</v>
      </c>
      <c r="B178" s="28" t="s">
        <v>391</v>
      </c>
      <c r="C178" s="28" t="s">
        <v>385</v>
      </c>
      <c r="D178" s="28" t="s">
        <v>347</v>
      </c>
      <c r="E178" s="40">
        <v>10.8</v>
      </c>
      <c r="F178" s="40">
        <v>0</v>
      </c>
      <c r="G178" s="33">
        <f t="shared" si="60"/>
        <v>223.77</v>
      </c>
      <c r="H178" s="40">
        <v>223.77</v>
      </c>
      <c r="I178" s="46">
        <v>0</v>
      </c>
      <c r="J178" s="40">
        <v>0</v>
      </c>
      <c r="K178" s="40">
        <f>(F178+G178+J178)*K5</f>
        <v>4.4754</v>
      </c>
      <c r="L178" s="40">
        <f>(F178+G178+J178+K178)*L5</f>
        <v>20.542086</v>
      </c>
      <c r="M178" s="47">
        <f t="shared" si="61"/>
        <v>248.787486</v>
      </c>
      <c r="N178" s="40">
        <f t="shared" si="62"/>
        <v>2686.9048488</v>
      </c>
      <c r="O178" s="52"/>
    </row>
    <row r="179" customFormat="1" ht="40" customHeight="1" spans="1:15">
      <c r="A179" s="27">
        <v>8</v>
      </c>
      <c r="B179" s="28" t="s">
        <v>392</v>
      </c>
      <c r="C179" s="28" t="s">
        <v>385</v>
      </c>
      <c r="D179" s="28" t="s">
        <v>347</v>
      </c>
      <c r="E179" s="40">
        <v>10.8</v>
      </c>
      <c r="F179" s="40">
        <v>0</v>
      </c>
      <c r="G179" s="33">
        <f t="shared" si="60"/>
        <v>44.75</v>
      </c>
      <c r="H179" s="40">
        <v>44.75</v>
      </c>
      <c r="I179" s="46">
        <v>0</v>
      </c>
      <c r="J179" s="40">
        <v>0</v>
      </c>
      <c r="K179" s="40">
        <f>(F179+G179+J179)*K5</f>
        <v>0.895</v>
      </c>
      <c r="L179" s="40">
        <f>(F179+G179+J179+K179)*L5</f>
        <v>4.10805</v>
      </c>
      <c r="M179" s="47">
        <f t="shared" si="61"/>
        <v>49.75305</v>
      </c>
      <c r="N179" s="40">
        <f t="shared" si="62"/>
        <v>537.33294</v>
      </c>
      <c r="O179" s="52"/>
    </row>
    <row r="180" customFormat="1" ht="40" customHeight="1" spans="1:15">
      <c r="A180" s="27">
        <v>9</v>
      </c>
      <c r="B180" s="28" t="s">
        <v>393</v>
      </c>
      <c r="C180" s="28" t="s">
        <v>385</v>
      </c>
      <c r="D180" s="28" t="s">
        <v>347</v>
      </c>
      <c r="E180" s="40">
        <v>6</v>
      </c>
      <c r="F180" s="40">
        <v>0</v>
      </c>
      <c r="G180" s="33">
        <f t="shared" si="60"/>
        <v>65.1</v>
      </c>
      <c r="H180" s="40">
        <v>65.1</v>
      </c>
      <c r="I180" s="46">
        <v>0</v>
      </c>
      <c r="J180" s="40">
        <v>0</v>
      </c>
      <c r="K180" s="40">
        <f>(F180+G180+J180)*K5</f>
        <v>1.302</v>
      </c>
      <c r="L180" s="40">
        <f>(F180+G180+J180+K180)*L5</f>
        <v>5.97618</v>
      </c>
      <c r="M180" s="47">
        <f t="shared" si="61"/>
        <v>72.37818</v>
      </c>
      <c r="N180" s="40">
        <f t="shared" si="62"/>
        <v>434.26908</v>
      </c>
      <c r="O180" s="52"/>
    </row>
    <row r="181" customFormat="1" ht="40" customHeight="1" spans="1:15">
      <c r="A181" s="27">
        <v>10</v>
      </c>
      <c r="B181" s="28" t="s">
        <v>394</v>
      </c>
      <c r="C181" s="28" t="s">
        <v>385</v>
      </c>
      <c r="D181" s="28" t="s">
        <v>347</v>
      </c>
      <c r="E181" s="40">
        <v>10.8</v>
      </c>
      <c r="F181" s="40">
        <v>0</v>
      </c>
      <c r="G181" s="33">
        <f t="shared" si="60"/>
        <v>136.7</v>
      </c>
      <c r="H181" s="40">
        <v>136.7</v>
      </c>
      <c r="I181" s="46">
        <v>0</v>
      </c>
      <c r="J181" s="40">
        <v>0</v>
      </c>
      <c r="K181" s="40">
        <f>(F181+G181+J181)*K5</f>
        <v>2.734</v>
      </c>
      <c r="L181" s="40">
        <f>(F181+G181+J181+K181)*L5</f>
        <v>12.54906</v>
      </c>
      <c r="M181" s="47">
        <f t="shared" si="61"/>
        <v>151.98306</v>
      </c>
      <c r="N181" s="40">
        <f t="shared" si="62"/>
        <v>1641.417048</v>
      </c>
      <c r="O181" s="52"/>
    </row>
    <row r="182" customFormat="1" ht="40" customHeight="1" spans="1:15">
      <c r="A182" s="27">
        <v>11</v>
      </c>
      <c r="B182" s="28" t="s">
        <v>395</v>
      </c>
      <c r="C182" s="28" t="s">
        <v>385</v>
      </c>
      <c r="D182" s="28" t="s">
        <v>347</v>
      </c>
      <c r="E182" s="40">
        <v>9</v>
      </c>
      <c r="F182" s="40">
        <v>0</v>
      </c>
      <c r="G182" s="33">
        <f t="shared" si="60"/>
        <v>256.31</v>
      </c>
      <c r="H182" s="40">
        <v>256.31</v>
      </c>
      <c r="I182" s="46">
        <v>0</v>
      </c>
      <c r="J182" s="40">
        <v>0</v>
      </c>
      <c r="K182" s="40">
        <f>(F182+G182+J182)*K5</f>
        <v>5.1262</v>
      </c>
      <c r="L182" s="40">
        <f>(F182+G182+J182+K182)*L5</f>
        <v>23.529258</v>
      </c>
      <c r="M182" s="47">
        <f t="shared" si="61"/>
        <v>284.965458</v>
      </c>
      <c r="N182" s="40">
        <f t="shared" si="62"/>
        <v>2564.689122</v>
      </c>
      <c r="O182" s="52"/>
    </row>
    <row r="183" customFormat="1" ht="40" customHeight="1" spans="1:15">
      <c r="A183" s="27">
        <v>12</v>
      </c>
      <c r="B183" s="28" t="s">
        <v>396</v>
      </c>
      <c r="C183" s="28" t="s">
        <v>385</v>
      </c>
      <c r="D183" s="28" t="s">
        <v>347</v>
      </c>
      <c r="E183" s="40">
        <v>9</v>
      </c>
      <c r="F183" s="40">
        <v>0</v>
      </c>
      <c r="G183" s="33">
        <f t="shared" si="60"/>
        <v>44.75</v>
      </c>
      <c r="H183" s="40">
        <v>44.75</v>
      </c>
      <c r="I183" s="46">
        <v>0</v>
      </c>
      <c r="J183" s="40">
        <v>0</v>
      </c>
      <c r="K183" s="40">
        <f>(F183+G183+J183)*K5</f>
        <v>0.895</v>
      </c>
      <c r="L183" s="40">
        <f>(F183+G183+J183+K183)*L5</f>
        <v>4.10805</v>
      </c>
      <c r="M183" s="47">
        <f t="shared" si="61"/>
        <v>49.75305</v>
      </c>
      <c r="N183" s="40">
        <f t="shared" si="62"/>
        <v>447.77745</v>
      </c>
      <c r="O183" s="52"/>
    </row>
    <row r="184" customFormat="1" ht="40" customHeight="1" spans="1:15">
      <c r="A184" s="27">
        <v>13</v>
      </c>
      <c r="B184" s="28" t="s">
        <v>397</v>
      </c>
      <c r="C184" s="28" t="s">
        <v>385</v>
      </c>
      <c r="D184" s="28" t="s">
        <v>347</v>
      </c>
      <c r="E184" s="40">
        <v>9</v>
      </c>
      <c r="F184" s="40">
        <v>0</v>
      </c>
      <c r="G184" s="33">
        <f t="shared" si="60"/>
        <v>132.63</v>
      </c>
      <c r="H184" s="40">
        <v>132.63</v>
      </c>
      <c r="I184" s="46">
        <v>0</v>
      </c>
      <c r="J184" s="40">
        <v>0</v>
      </c>
      <c r="K184" s="40">
        <f>(F184+G184+J184)*K5</f>
        <v>2.6526</v>
      </c>
      <c r="L184" s="40">
        <f>(F184+G184+J184+K184)*L5</f>
        <v>12.175434</v>
      </c>
      <c r="M184" s="47">
        <f t="shared" si="61"/>
        <v>147.458034</v>
      </c>
      <c r="N184" s="40">
        <f t="shared" si="62"/>
        <v>1327.122306</v>
      </c>
      <c r="O184" s="52"/>
    </row>
    <row r="185" customFormat="1" ht="30" customHeight="1" spans="1:15">
      <c r="A185" s="27">
        <v>14</v>
      </c>
      <c r="B185" s="28" t="s">
        <v>398</v>
      </c>
      <c r="C185" s="28" t="s">
        <v>399</v>
      </c>
      <c r="D185" s="28" t="s">
        <v>266</v>
      </c>
      <c r="E185" s="27">
        <v>1.32</v>
      </c>
      <c r="F185" s="40">
        <v>0</v>
      </c>
      <c r="G185" s="33">
        <f t="shared" si="60"/>
        <v>193.66</v>
      </c>
      <c r="H185" s="40">
        <v>193.66</v>
      </c>
      <c r="I185" s="46">
        <v>0</v>
      </c>
      <c r="J185" s="40">
        <v>0</v>
      </c>
      <c r="K185" s="40">
        <f>(F185+G185+J185)*K5</f>
        <v>3.8732</v>
      </c>
      <c r="L185" s="40">
        <f>(F185+G185+J185+K185)*L5</f>
        <v>17.777988</v>
      </c>
      <c r="M185" s="47">
        <f t="shared" si="61"/>
        <v>215.311188</v>
      </c>
      <c r="N185" s="40">
        <f t="shared" si="62"/>
        <v>284.21076816</v>
      </c>
      <c r="O185" s="52"/>
    </row>
    <row r="186" customFormat="1" ht="30" customHeight="1" spans="1:15">
      <c r="A186" s="27">
        <v>15</v>
      </c>
      <c r="B186" s="98" t="s">
        <v>400</v>
      </c>
      <c r="C186" s="28" t="s">
        <v>401</v>
      </c>
      <c r="D186" s="28" t="s">
        <v>266</v>
      </c>
      <c r="E186" s="99">
        <v>1</v>
      </c>
      <c r="F186" s="40">
        <v>0</v>
      </c>
      <c r="G186" s="33">
        <f t="shared" si="60"/>
        <v>260.38</v>
      </c>
      <c r="H186" s="40">
        <v>260.38</v>
      </c>
      <c r="I186" s="46">
        <v>0</v>
      </c>
      <c r="J186" s="40">
        <v>0</v>
      </c>
      <c r="K186" s="40">
        <f>(F186+G186+J186)*K5</f>
        <v>5.2076</v>
      </c>
      <c r="L186" s="40">
        <f>(F186+G186+J186+K186)*L5</f>
        <v>23.902884</v>
      </c>
      <c r="M186" s="47">
        <f t="shared" si="61"/>
        <v>289.490484</v>
      </c>
      <c r="N186" s="40">
        <f t="shared" si="62"/>
        <v>289.490484</v>
      </c>
      <c r="O186" s="52"/>
    </row>
    <row r="187" s="4" customFormat="1" ht="40" customHeight="1" spans="1:15">
      <c r="A187" s="27">
        <v>16</v>
      </c>
      <c r="B187" s="28" t="s">
        <v>402</v>
      </c>
      <c r="C187" s="28" t="s">
        <v>403</v>
      </c>
      <c r="D187" s="28" t="s">
        <v>266</v>
      </c>
      <c r="E187" s="40">
        <v>1.46</v>
      </c>
      <c r="F187" s="40">
        <v>0</v>
      </c>
      <c r="G187" s="33">
        <f t="shared" si="60"/>
        <v>179.01</v>
      </c>
      <c r="H187" s="40">
        <v>179.01</v>
      </c>
      <c r="I187" s="46">
        <v>0</v>
      </c>
      <c r="J187" s="40">
        <v>0</v>
      </c>
      <c r="K187" s="40">
        <f>(F187+G187+J187)*K5</f>
        <v>3.5802</v>
      </c>
      <c r="L187" s="40">
        <f>(F187+G187+J187+K187)*L5</f>
        <v>16.433118</v>
      </c>
      <c r="M187" s="47">
        <f t="shared" si="61"/>
        <v>199.023318</v>
      </c>
      <c r="N187" s="40">
        <f t="shared" si="62"/>
        <v>290.57404428</v>
      </c>
      <c r="O187" s="52"/>
    </row>
    <row r="188" s="4" customFormat="1" ht="40" customHeight="1" spans="1:15">
      <c r="A188" s="27">
        <v>17</v>
      </c>
      <c r="B188" s="28" t="s">
        <v>404</v>
      </c>
      <c r="C188" s="28" t="s">
        <v>405</v>
      </c>
      <c r="D188" s="28" t="s">
        <v>62</v>
      </c>
      <c r="E188" s="40">
        <v>1</v>
      </c>
      <c r="F188" s="40">
        <v>0</v>
      </c>
      <c r="G188" s="33">
        <f t="shared" si="60"/>
        <v>2343.44</v>
      </c>
      <c r="H188" s="40">
        <v>2343.44</v>
      </c>
      <c r="I188" s="46">
        <v>0</v>
      </c>
      <c r="J188" s="40">
        <v>0</v>
      </c>
      <c r="K188" s="40">
        <f>(F188+G188+J188)*K5</f>
        <v>46.8688</v>
      </c>
      <c r="L188" s="40">
        <f>(F188+G188+J188+K188)*L5</f>
        <v>215.127792</v>
      </c>
      <c r="M188" s="47">
        <f t="shared" si="61"/>
        <v>2605.436592</v>
      </c>
      <c r="N188" s="40">
        <f t="shared" si="62"/>
        <v>2605.436592</v>
      </c>
      <c r="O188" s="52"/>
    </row>
    <row r="189" s="4" customFormat="1" ht="40" customHeight="1" spans="1:15">
      <c r="A189" s="27">
        <v>18</v>
      </c>
      <c r="B189" s="28" t="s">
        <v>406</v>
      </c>
      <c r="C189" s="28" t="s">
        <v>407</v>
      </c>
      <c r="D189" s="28" t="s">
        <v>62</v>
      </c>
      <c r="E189" s="40">
        <v>1</v>
      </c>
      <c r="F189" s="32">
        <v>150</v>
      </c>
      <c r="G189" s="33">
        <f t="shared" si="60"/>
        <v>406.85</v>
      </c>
      <c r="H189" s="32">
        <v>406.85</v>
      </c>
      <c r="I189" s="46">
        <v>0</v>
      </c>
      <c r="J189" s="40">
        <v>0</v>
      </c>
      <c r="K189" s="40">
        <f>(F189+G189+J189)*K5</f>
        <v>11.137</v>
      </c>
      <c r="L189" s="40">
        <f>(F189+G189+J189+K189)*L5</f>
        <v>51.11883</v>
      </c>
      <c r="M189" s="47">
        <f t="shared" si="61"/>
        <v>619.10583</v>
      </c>
      <c r="N189" s="40">
        <f t="shared" si="62"/>
        <v>619.10583</v>
      </c>
      <c r="O189" s="53"/>
    </row>
    <row r="190" customFormat="1" ht="39.75" customHeight="1" spans="1:15">
      <c r="A190" s="27"/>
      <c r="B190" s="28"/>
      <c r="C190" s="73" t="s">
        <v>408</v>
      </c>
      <c r="D190" s="34"/>
      <c r="E190" s="72"/>
      <c r="F190" s="32"/>
      <c r="G190" s="33"/>
      <c r="H190" s="32"/>
      <c r="I190" s="46"/>
      <c r="J190" s="40"/>
      <c r="K190" s="40"/>
      <c r="L190" s="40"/>
      <c r="M190" s="47"/>
      <c r="N190" s="81">
        <f>SUM(N172:N189)</f>
        <v>27961.66971564</v>
      </c>
      <c r="O190" s="53"/>
    </row>
    <row r="191" ht="51" customHeight="1" spans="1:15">
      <c r="A191" s="27"/>
      <c r="B191" s="100"/>
      <c r="C191" s="101" t="s">
        <v>409</v>
      </c>
      <c r="D191" s="101"/>
      <c r="E191" s="101"/>
      <c r="F191" s="102"/>
      <c r="G191" s="103"/>
      <c r="H191" s="102"/>
      <c r="I191" s="106"/>
      <c r="J191" s="107"/>
      <c r="K191" s="107"/>
      <c r="L191" s="107"/>
      <c r="M191" s="108"/>
      <c r="N191" s="107">
        <f>N190+N170+N145+N141+N134+N128+N107+N103+N98+N55+N34+N12</f>
        <v>663829.92294522</v>
      </c>
      <c r="O191" s="109"/>
    </row>
  </sheetData>
  <autoFilter xmlns:etc="http://www.wps.cn/officeDocument/2017/etCustomData" ref="A1:O191" etc:filterBottomFollowUsedRange="0">
    <extLst/>
  </autoFilter>
  <mergeCells count="14">
    <mergeCell ref="A1:O1"/>
    <mergeCell ref="A2:F2"/>
    <mergeCell ref="G2:M2"/>
    <mergeCell ref="N2:O2"/>
    <mergeCell ref="F3:L3"/>
    <mergeCell ref="A3:A5"/>
    <mergeCell ref="B3:B5"/>
    <mergeCell ref="C3:C5"/>
    <mergeCell ref="D3:D5"/>
    <mergeCell ref="E3:E5"/>
    <mergeCell ref="F4:F5"/>
    <mergeCell ref="J4:J5"/>
    <mergeCell ref="M3:M5"/>
    <mergeCell ref="O3:O5"/>
  </mergeCells>
  <pageMargins left="0.75" right="0.75" top="1" bottom="1" header="0.5" footer="0.5"/>
  <pageSetup paperSize="9" scale="60"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6"/>
  <sheetViews>
    <sheetView view="pageBreakPreview" zoomScaleNormal="100" workbookViewId="0">
      <pane ySplit="5" topLeftCell="A7" activePane="bottomLeft" state="frozen"/>
      <selection/>
      <selection pane="bottomLeft" activeCell="O15" sqref="O15"/>
    </sheetView>
  </sheetViews>
  <sheetFormatPr defaultColWidth="9" defaultRowHeight="10.8"/>
  <cols>
    <col min="1" max="1" width="6.13888888888889" style="20" customWidth="1"/>
    <col min="2" max="2" width="15.1388888888889" style="21" customWidth="1"/>
    <col min="3" max="3" width="36.1388888888889" style="21" customWidth="1"/>
    <col min="4" max="4" width="6.42592592592593" style="20" customWidth="1"/>
    <col min="5" max="5" width="6.72222222222222" style="20" customWidth="1"/>
    <col min="6" max="6" width="8.42592592592593" style="20" customWidth="1"/>
    <col min="7" max="7" width="10.1111111111111" style="20" customWidth="1"/>
    <col min="8" max="8" width="10.287037037037" style="20" customWidth="1"/>
    <col min="9" max="9" width="7.57407407407407" style="20" customWidth="1"/>
    <col min="10" max="10" width="9" style="20" customWidth="1"/>
    <col min="11" max="11" width="10.4259259259259" style="20" customWidth="1"/>
    <col min="12" max="12" width="9.86111111111111" style="20" customWidth="1"/>
    <col min="13" max="13" width="9.28703703703704" style="20" customWidth="1"/>
    <col min="14" max="14" width="11.7222222222222" style="22" customWidth="1"/>
    <col min="15" max="15" width="14" style="23" customWidth="1"/>
    <col min="16" max="16" width="9" style="21"/>
    <col min="17" max="18" width="11" style="21"/>
    <col min="19" max="16384" width="9" style="21"/>
  </cols>
  <sheetData>
    <row r="1" ht="35.1" customHeight="1" spans="1:15">
      <c r="A1" s="24" t="s">
        <v>410</v>
      </c>
      <c r="B1" s="24"/>
      <c r="C1" s="24"/>
      <c r="D1" s="24"/>
      <c r="E1" s="24"/>
      <c r="F1" s="24"/>
      <c r="G1" s="24"/>
      <c r="H1" s="24"/>
      <c r="I1" s="24"/>
      <c r="J1" s="24"/>
      <c r="K1" s="24"/>
      <c r="L1" s="24"/>
      <c r="M1" s="24"/>
      <c r="N1" s="44"/>
      <c r="O1" s="24"/>
    </row>
    <row r="2" ht="18.95" customHeight="1" spans="1:15">
      <c r="A2" s="25" t="s">
        <v>411</v>
      </c>
      <c r="B2" s="25"/>
      <c r="C2" s="25"/>
      <c r="D2" s="25"/>
      <c r="E2" s="25"/>
      <c r="F2" s="25"/>
      <c r="G2" s="26"/>
      <c r="H2" s="26"/>
      <c r="I2" s="26"/>
      <c r="J2" s="26"/>
      <c r="K2" s="26"/>
      <c r="L2" s="26"/>
      <c r="M2" s="26"/>
      <c r="N2" s="45"/>
      <c r="O2" s="26"/>
    </row>
    <row r="3" spans="1:15">
      <c r="A3" s="27" t="s">
        <v>41</v>
      </c>
      <c r="B3" s="28" t="s">
        <v>42</v>
      </c>
      <c r="C3" s="28" t="s">
        <v>43</v>
      </c>
      <c r="D3" s="27" t="s">
        <v>30</v>
      </c>
      <c r="E3" s="27" t="s">
        <v>44</v>
      </c>
      <c r="F3" s="27" t="s">
        <v>45</v>
      </c>
      <c r="G3" s="27"/>
      <c r="H3" s="27"/>
      <c r="I3" s="27"/>
      <c r="J3" s="27"/>
      <c r="K3" s="27"/>
      <c r="L3" s="27"/>
      <c r="M3" s="27" t="s">
        <v>46</v>
      </c>
      <c r="N3" s="40" t="s">
        <v>47</v>
      </c>
      <c r="O3" s="27" t="s">
        <v>412</v>
      </c>
    </row>
    <row r="4" ht="51" customHeight="1" spans="1:15">
      <c r="A4" s="27"/>
      <c r="B4" s="28"/>
      <c r="C4" s="28"/>
      <c r="D4" s="27"/>
      <c r="E4" s="27"/>
      <c r="F4" s="27" t="s">
        <v>49</v>
      </c>
      <c r="G4" s="27" t="s">
        <v>50</v>
      </c>
      <c r="H4" s="27" t="s">
        <v>51</v>
      </c>
      <c r="I4" s="27" t="s">
        <v>52</v>
      </c>
      <c r="J4" s="27" t="s">
        <v>53</v>
      </c>
      <c r="K4" s="27" t="s">
        <v>54</v>
      </c>
      <c r="L4" s="27" t="s">
        <v>55</v>
      </c>
      <c r="M4" s="27"/>
      <c r="N4" s="40"/>
      <c r="O4" s="27"/>
    </row>
    <row r="5" spans="1:15">
      <c r="A5" s="27"/>
      <c r="B5" s="28"/>
      <c r="C5" s="28"/>
      <c r="D5" s="27"/>
      <c r="E5" s="27"/>
      <c r="F5" s="27"/>
      <c r="G5" s="27" t="s">
        <v>56</v>
      </c>
      <c r="H5" s="27" t="s">
        <v>57</v>
      </c>
      <c r="I5" s="27" t="s">
        <v>58</v>
      </c>
      <c r="J5" s="27"/>
      <c r="K5" s="46">
        <v>0.02</v>
      </c>
      <c r="L5" s="46">
        <v>0.09</v>
      </c>
      <c r="M5" s="27"/>
      <c r="N5" s="40"/>
      <c r="O5" s="27"/>
    </row>
    <row r="6" s="18" customFormat="1" ht="27" customHeight="1" spans="1:17">
      <c r="A6" s="29" t="s">
        <v>33</v>
      </c>
      <c r="B6" s="30" t="s">
        <v>413</v>
      </c>
      <c r="C6" s="30"/>
      <c r="D6" s="31"/>
      <c r="E6" s="31"/>
      <c r="F6" s="32"/>
      <c r="G6" s="33">
        <f>H6*(1+I6)</f>
        <v>0</v>
      </c>
      <c r="H6" s="32"/>
      <c r="I6" s="46"/>
      <c r="J6" s="40"/>
      <c r="K6" s="40"/>
      <c r="L6" s="40"/>
      <c r="M6" s="47">
        <f>F6+G6+J6+K6+L6</f>
        <v>0</v>
      </c>
      <c r="N6" s="40">
        <f>E6*M6</f>
        <v>0</v>
      </c>
      <c r="O6" s="48"/>
      <c r="P6" s="49"/>
      <c r="Q6" s="49"/>
    </row>
    <row r="7" s="18" customFormat="1" ht="29.1" customHeight="1" spans="1:15">
      <c r="A7" s="34">
        <v>1</v>
      </c>
      <c r="B7" s="35" t="s">
        <v>414</v>
      </c>
      <c r="C7" s="36"/>
      <c r="D7" s="34"/>
      <c r="E7" s="27"/>
      <c r="F7" s="32"/>
      <c r="G7" s="33">
        <f>H7*(1+I7)</f>
        <v>0</v>
      </c>
      <c r="H7" s="32"/>
      <c r="I7" s="46"/>
      <c r="J7" s="40"/>
      <c r="K7" s="40"/>
      <c r="L7" s="40"/>
      <c r="M7" s="47">
        <f>F7+G7+J7+K7+L7</f>
        <v>0</v>
      </c>
      <c r="N7" s="40">
        <f>E7*M7</f>
        <v>0</v>
      </c>
      <c r="O7" s="50"/>
    </row>
    <row r="8" s="18" customFormat="1" ht="42" customHeight="1" spans="1:15">
      <c r="A8" s="34">
        <v>1.4</v>
      </c>
      <c r="B8" s="36" t="s">
        <v>415</v>
      </c>
      <c r="C8" s="36" t="s">
        <v>416</v>
      </c>
      <c r="D8" s="34" t="s">
        <v>163</v>
      </c>
      <c r="E8" s="27">
        <v>1</v>
      </c>
      <c r="F8" s="32">
        <v>0</v>
      </c>
      <c r="G8" s="33">
        <f>H8*(1+I8)</f>
        <v>12500</v>
      </c>
      <c r="H8" s="32">
        <v>12500</v>
      </c>
      <c r="I8" s="46">
        <v>0</v>
      </c>
      <c r="J8" s="40">
        <v>0</v>
      </c>
      <c r="K8" s="40">
        <f>(F8+G8+J8)*K5</f>
        <v>250</v>
      </c>
      <c r="L8" s="40">
        <f>(F8+G8+J8+K8)*L5</f>
        <v>1147.5</v>
      </c>
      <c r="M8" s="47">
        <f>F8+G8+J8+K8+L8</f>
        <v>13897.5</v>
      </c>
      <c r="N8" s="40">
        <f>E8*M8</f>
        <v>13897.5</v>
      </c>
      <c r="O8" s="51" t="s">
        <v>417</v>
      </c>
    </row>
    <row r="9" s="18" customFormat="1" ht="44.1" customHeight="1" spans="1:15">
      <c r="A9" s="34">
        <v>1.5</v>
      </c>
      <c r="B9" s="36" t="s">
        <v>418</v>
      </c>
      <c r="C9" s="36" t="s">
        <v>419</v>
      </c>
      <c r="D9" s="34" t="s">
        <v>163</v>
      </c>
      <c r="E9" s="27">
        <v>1</v>
      </c>
      <c r="F9" s="32">
        <v>0</v>
      </c>
      <c r="G9" s="33">
        <f t="shared" ref="G9:G15" si="0">H9*(1+I9)</f>
        <v>6000</v>
      </c>
      <c r="H9" s="32">
        <v>6000</v>
      </c>
      <c r="I9" s="46">
        <v>0</v>
      </c>
      <c r="J9" s="40">
        <v>0</v>
      </c>
      <c r="K9" s="40">
        <f>(F9+G9+J9)*K5</f>
        <v>120</v>
      </c>
      <c r="L9" s="40">
        <f>(F9+G9+J9+K9)*L5</f>
        <v>550.8</v>
      </c>
      <c r="M9" s="47">
        <f t="shared" ref="M9:M15" si="1">F9+G9+J9+K9+L9</f>
        <v>6670.8</v>
      </c>
      <c r="N9" s="40">
        <f t="shared" ref="N9:N15" si="2">E9*M9</f>
        <v>6670.8</v>
      </c>
      <c r="O9" s="51" t="s">
        <v>420</v>
      </c>
    </row>
    <row r="10" s="18" customFormat="1" ht="42" customHeight="1" spans="1:15">
      <c r="A10" s="34">
        <v>1.7</v>
      </c>
      <c r="B10" s="36" t="s">
        <v>421</v>
      </c>
      <c r="C10" s="36" t="s">
        <v>422</v>
      </c>
      <c r="D10" s="34" t="s">
        <v>163</v>
      </c>
      <c r="E10" s="27">
        <v>1</v>
      </c>
      <c r="F10" s="32">
        <v>0</v>
      </c>
      <c r="G10" s="33">
        <f t="shared" si="0"/>
        <v>4200</v>
      </c>
      <c r="H10" s="32">
        <v>4200</v>
      </c>
      <c r="I10" s="46">
        <v>0</v>
      </c>
      <c r="J10" s="40">
        <v>0</v>
      </c>
      <c r="K10" s="40">
        <f>(F10+G10+J10)*K5</f>
        <v>84</v>
      </c>
      <c r="L10" s="40">
        <f>(F10+G10+J10+K10)*L5</f>
        <v>385.56</v>
      </c>
      <c r="M10" s="47">
        <f t="shared" si="1"/>
        <v>4669.56</v>
      </c>
      <c r="N10" s="40">
        <f t="shared" si="2"/>
        <v>4669.56</v>
      </c>
      <c r="O10" s="51" t="s">
        <v>423</v>
      </c>
    </row>
    <row r="11" s="18" customFormat="1" ht="44.1" customHeight="1" spans="1:15">
      <c r="A11" s="34">
        <v>1.8</v>
      </c>
      <c r="B11" s="36" t="s">
        <v>424</v>
      </c>
      <c r="C11" s="36" t="s">
        <v>425</v>
      </c>
      <c r="D11" s="34" t="s">
        <v>163</v>
      </c>
      <c r="E11" s="27">
        <v>1</v>
      </c>
      <c r="F11" s="32">
        <v>0</v>
      </c>
      <c r="G11" s="33">
        <f t="shared" si="0"/>
        <v>2200</v>
      </c>
      <c r="H11" s="32">
        <v>2200</v>
      </c>
      <c r="I11" s="46">
        <v>0</v>
      </c>
      <c r="J11" s="40">
        <v>0</v>
      </c>
      <c r="K11" s="40">
        <f>(F11+G11+J11)*K5</f>
        <v>44</v>
      </c>
      <c r="L11" s="40">
        <f>(F11+G11+J11+K11)*L5</f>
        <v>201.96</v>
      </c>
      <c r="M11" s="47">
        <f t="shared" si="1"/>
        <v>2445.96</v>
      </c>
      <c r="N11" s="40">
        <f t="shared" si="2"/>
        <v>2445.96</v>
      </c>
      <c r="O11" s="51" t="s">
        <v>426</v>
      </c>
    </row>
    <row r="12" s="18" customFormat="1" ht="45" customHeight="1" spans="1:15">
      <c r="A12" s="34">
        <v>1.9</v>
      </c>
      <c r="B12" s="37" t="s">
        <v>427</v>
      </c>
      <c r="C12" s="36" t="s">
        <v>428</v>
      </c>
      <c r="D12" s="34" t="s">
        <v>163</v>
      </c>
      <c r="E12" s="27">
        <v>1</v>
      </c>
      <c r="F12" s="32">
        <v>0</v>
      </c>
      <c r="G12" s="33">
        <f t="shared" si="0"/>
        <v>6800</v>
      </c>
      <c r="H12" s="32">
        <v>6800</v>
      </c>
      <c r="I12" s="46">
        <v>0</v>
      </c>
      <c r="J12" s="40">
        <v>0</v>
      </c>
      <c r="K12" s="40">
        <f>(F12+G12+J12)*K5</f>
        <v>136</v>
      </c>
      <c r="L12" s="40">
        <f>(F12+G12+J12+K12)*L5</f>
        <v>624.24</v>
      </c>
      <c r="M12" s="47">
        <f t="shared" si="1"/>
        <v>7560.24</v>
      </c>
      <c r="N12" s="40">
        <f t="shared" si="2"/>
        <v>7560.24</v>
      </c>
      <c r="O12" s="51" t="s">
        <v>429</v>
      </c>
    </row>
    <row r="13" s="18" customFormat="1" ht="42" customHeight="1" spans="1:15">
      <c r="A13" s="38">
        <v>1.1</v>
      </c>
      <c r="B13" s="36" t="s">
        <v>430</v>
      </c>
      <c r="C13" s="36" t="s">
        <v>431</v>
      </c>
      <c r="D13" s="34" t="s">
        <v>163</v>
      </c>
      <c r="E13" s="27">
        <v>1</v>
      </c>
      <c r="F13" s="32">
        <v>0</v>
      </c>
      <c r="G13" s="33">
        <f t="shared" si="0"/>
        <v>6000</v>
      </c>
      <c r="H13" s="32">
        <v>6000</v>
      </c>
      <c r="I13" s="46">
        <v>0</v>
      </c>
      <c r="J13" s="40">
        <v>0</v>
      </c>
      <c r="K13" s="40">
        <f>(F13+G13+J13)*K5</f>
        <v>120</v>
      </c>
      <c r="L13" s="40">
        <f>(F13+G13+J13+K13)*L5</f>
        <v>550.8</v>
      </c>
      <c r="M13" s="47">
        <f t="shared" si="1"/>
        <v>6670.8</v>
      </c>
      <c r="N13" s="40">
        <f t="shared" si="2"/>
        <v>6670.8</v>
      </c>
      <c r="O13" s="51" t="s">
        <v>432</v>
      </c>
    </row>
    <row r="14" customFormat="1" ht="39" customHeight="1" spans="1:15">
      <c r="A14" s="27">
        <v>37</v>
      </c>
      <c r="B14" s="39" t="s">
        <v>433</v>
      </c>
      <c r="C14" s="28" t="s">
        <v>434</v>
      </c>
      <c r="D14" s="28" t="s">
        <v>35</v>
      </c>
      <c r="E14" s="40">
        <v>1</v>
      </c>
      <c r="F14" s="32">
        <v>300</v>
      </c>
      <c r="G14" s="33">
        <f t="shared" si="0"/>
        <v>6000</v>
      </c>
      <c r="H14" s="32">
        <v>6000</v>
      </c>
      <c r="I14" s="46">
        <v>0</v>
      </c>
      <c r="J14" s="40">
        <v>100</v>
      </c>
      <c r="K14" s="40">
        <f>(F14+G14+J14)*K5</f>
        <v>128</v>
      </c>
      <c r="L14" s="40">
        <f>(F14+G14+J14+K14)*L5</f>
        <v>587.52</v>
      </c>
      <c r="M14" s="47">
        <f t="shared" si="1"/>
        <v>7115.52</v>
      </c>
      <c r="N14" s="40">
        <f t="shared" si="2"/>
        <v>7115.52</v>
      </c>
      <c r="O14" s="52" t="s">
        <v>281</v>
      </c>
    </row>
    <row r="15" s="4" customFormat="1" ht="61" customHeight="1" spans="1:15">
      <c r="A15" s="27">
        <v>183</v>
      </c>
      <c r="B15" s="28" t="s">
        <v>435</v>
      </c>
      <c r="C15" s="41" t="s">
        <v>436</v>
      </c>
      <c r="D15" s="28" t="s">
        <v>35</v>
      </c>
      <c r="E15" s="40">
        <v>1</v>
      </c>
      <c r="F15" s="32">
        <v>0</v>
      </c>
      <c r="G15" s="33">
        <f t="shared" si="0"/>
        <v>3500</v>
      </c>
      <c r="H15" s="32">
        <v>3500</v>
      </c>
      <c r="I15" s="46">
        <v>0</v>
      </c>
      <c r="J15" s="40">
        <v>0</v>
      </c>
      <c r="K15" s="40">
        <f>(F15+G15+J15)*K5</f>
        <v>70</v>
      </c>
      <c r="L15" s="40">
        <f>(F15+G15+J15+K15)*L5</f>
        <v>321.3</v>
      </c>
      <c r="M15" s="47">
        <f t="shared" si="1"/>
        <v>3891.3</v>
      </c>
      <c r="N15" s="40">
        <f t="shared" si="2"/>
        <v>3891.3</v>
      </c>
      <c r="O15" s="53"/>
    </row>
    <row r="16" s="19" customFormat="1" ht="34" customHeight="1" spans="1:15">
      <c r="A16" s="42" t="s">
        <v>158</v>
      </c>
      <c r="B16" s="30" t="s">
        <v>437</v>
      </c>
      <c r="C16" s="30" t="s">
        <v>409</v>
      </c>
      <c r="D16" s="42"/>
      <c r="E16" s="42"/>
      <c r="F16" s="42"/>
      <c r="G16" s="42"/>
      <c r="H16" s="43"/>
      <c r="I16" s="42"/>
      <c r="J16" s="42"/>
      <c r="K16" s="42"/>
      <c r="L16" s="42"/>
      <c r="M16" s="42"/>
      <c r="N16" s="54">
        <f>SUM(N8:N15)</f>
        <v>52921.68</v>
      </c>
      <c r="O16" s="55"/>
    </row>
  </sheetData>
  <autoFilter xmlns:etc="http://www.wps.cn/officeDocument/2017/etCustomData" ref="A5:P16" etc:filterBottomFollowUsedRange="0">
    <extLst/>
  </autoFilter>
  <mergeCells count="17">
    <mergeCell ref="A1:O1"/>
    <mergeCell ref="A2:F2"/>
    <mergeCell ref="G2:M2"/>
    <mergeCell ref="N2:O2"/>
    <mergeCell ref="F3:L3"/>
    <mergeCell ref="B6:C6"/>
    <mergeCell ref="B16:C16"/>
    <mergeCell ref="A3:A5"/>
    <mergeCell ref="B3:B5"/>
    <mergeCell ref="C3:C5"/>
    <mergeCell ref="D3:D5"/>
    <mergeCell ref="E3:E5"/>
    <mergeCell ref="F4:F5"/>
    <mergeCell ref="J4:J5"/>
    <mergeCell ref="M3:M5"/>
    <mergeCell ref="N3:N5"/>
    <mergeCell ref="O3:O5"/>
  </mergeCells>
  <pageMargins left="0.751388888888889" right="0.751388888888889" top="1" bottom="1" header="0.5" footer="0.5"/>
  <pageSetup paperSize="9" scale="77" fitToHeight="0"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topLeftCell="N7" workbookViewId="0">
      <selection activeCell="F15" sqref="F15"/>
    </sheetView>
  </sheetViews>
  <sheetFormatPr defaultColWidth="9.13888888888889" defaultRowHeight="13.2"/>
  <cols>
    <col min="1" max="1" width="8" style="3" customWidth="1"/>
    <col min="2" max="2" width="27.1388888888889" style="4" customWidth="1"/>
    <col min="4" max="4" width="12.4259259259259" customWidth="1"/>
    <col min="5" max="6" width="13.287037037037" customWidth="1"/>
    <col min="7" max="7" width="12.5740740740741" customWidth="1"/>
    <col min="10" max="10" width="22" customWidth="1"/>
    <col min="18" max="18" width="14.5740740740741" customWidth="1"/>
  </cols>
  <sheetData>
    <row r="1" ht="41.1" customHeight="1" spans="1:31">
      <c r="A1" s="5" t="s">
        <v>438</v>
      </c>
      <c r="B1" s="6"/>
      <c r="C1" s="5"/>
      <c r="D1" s="5"/>
      <c r="E1" s="5"/>
      <c r="F1" s="5"/>
      <c r="G1" s="5"/>
      <c r="I1" s="5" t="s">
        <v>439</v>
      </c>
      <c r="J1" s="6"/>
      <c r="K1" s="5"/>
      <c r="L1" s="5"/>
      <c r="M1" s="5"/>
      <c r="N1" s="5"/>
      <c r="O1" s="5"/>
      <c r="Q1" s="5" t="s">
        <v>440</v>
      </c>
      <c r="R1" s="6"/>
      <c r="S1" s="5"/>
      <c r="T1" s="5"/>
      <c r="U1" s="5"/>
      <c r="V1" s="5"/>
      <c r="W1" s="5"/>
      <c r="Y1" s="5" t="s">
        <v>441</v>
      </c>
      <c r="Z1" s="6"/>
      <c r="AA1" s="5"/>
      <c r="AB1" s="5"/>
      <c r="AC1" s="5"/>
      <c r="AD1" s="5"/>
      <c r="AE1" s="5"/>
    </row>
    <row r="2" s="1" customFormat="1" ht="38.1" customHeight="1" spans="1:31">
      <c r="A2" s="7" t="s">
        <v>41</v>
      </c>
      <c r="B2" s="8" t="s">
        <v>29</v>
      </c>
      <c r="C2" s="7" t="s">
        <v>30</v>
      </c>
      <c r="D2" s="7" t="s">
        <v>442</v>
      </c>
      <c r="E2" s="7" t="s">
        <v>443</v>
      </c>
      <c r="F2" s="7" t="s">
        <v>409</v>
      </c>
      <c r="G2" s="7" t="s">
        <v>32</v>
      </c>
      <c r="I2" s="7" t="s">
        <v>41</v>
      </c>
      <c r="J2" s="8" t="s">
        <v>29</v>
      </c>
      <c r="K2" s="7" t="s">
        <v>30</v>
      </c>
      <c r="L2" s="7" t="s">
        <v>442</v>
      </c>
      <c r="M2" s="7" t="s">
        <v>443</v>
      </c>
      <c r="N2" s="7" t="s">
        <v>409</v>
      </c>
      <c r="O2" s="7" t="s">
        <v>32</v>
      </c>
      <c r="Q2" s="7" t="s">
        <v>41</v>
      </c>
      <c r="R2" s="8" t="s">
        <v>29</v>
      </c>
      <c r="S2" s="7" t="s">
        <v>30</v>
      </c>
      <c r="T2" s="7" t="s">
        <v>442</v>
      </c>
      <c r="U2" s="7" t="s">
        <v>443</v>
      </c>
      <c r="V2" s="7" t="s">
        <v>409</v>
      </c>
      <c r="W2" s="7" t="s">
        <v>32</v>
      </c>
      <c r="Y2" s="7" t="s">
        <v>41</v>
      </c>
      <c r="Z2" s="8" t="s">
        <v>29</v>
      </c>
      <c r="AA2" s="7" t="s">
        <v>30</v>
      </c>
      <c r="AB2" s="7" t="s">
        <v>442</v>
      </c>
      <c r="AC2" s="7" t="s">
        <v>443</v>
      </c>
      <c r="AD2" s="7" t="s">
        <v>409</v>
      </c>
      <c r="AE2" s="7" t="s">
        <v>32</v>
      </c>
    </row>
    <row r="3" s="2" customFormat="1" ht="38.1" customHeight="1" spans="1:31">
      <c r="A3" s="7"/>
      <c r="B3" s="9" t="s">
        <v>444</v>
      </c>
      <c r="C3" s="10"/>
      <c r="D3" s="10"/>
      <c r="E3" s="10"/>
      <c r="F3" s="10"/>
      <c r="G3" s="10"/>
      <c r="I3" s="7"/>
      <c r="J3" s="9" t="s">
        <v>444</v>
      </c>
      <c r="K3" s="10"/>
      <c r="L3" s="10"/>
      <c r="M3" s="10"/>
      <c r="N3" s="10"/>
      <c r="O3" s="10"/>
      <c r="Q3" s="7"/>
      <c r="R3" s="9" t="s">
        <v>444</v>
      </c>
      <c r="S3" s="10"/>
      <c r="T3" s="10"/>
      <c r="U3" s="10"/>
      <c r="V3" s="10"/>
      <c r="W3" s="10"/>
      <c r="Y3" s="7"/>
      <c r="Z3" s="9" t="s">
        <v>444</v>
      </c>
      <c r="AA3" s="10"/>
      <c r="AB3" s="10"/>
      <c r="AC3" s="10"/>
      <c r="AD3" s="10"/>
      <c r="AE3" s="10"/>
    </row>
    <row r="4" ht="48.95" customHeight="1" spans="1:31">
      <c r="A4" s="11">
        <v>1</v>
      </c>
      <c r="B4" s="12" t="s">
        <v>445</v>
      </c>
      <c r="C4" s="13" t="s">
        <v>248</v>
      </c>
      <c r="D4" s="14">
        <v>2</v>
      </c>
      <c r="E4" s="14"/>
      <c r="F4" s="14"/>
      <c r="G4" s="14"/>
      <c r="I4" s="11">
        <v>1</v>
      </c>
      <c r="J4" s="12" t="s">
        <v>445</v>
      </c>
      <c r="K4" s="13" t="s">
        <v>248</v>
      </c>
      <c r="L4" s="14">
        <v>2</v>
      </c>
      <c r="M4" s="14"/>
      <c r="N4" s="14"/>
      <c r="O4" s="14"/>
      <c r="Q4" s="11">
        <v>1</v>
      </c>
      <c r="R4" s="12" t="s">
        <v>445</v>
      </c>
      <c r="S4" s="13" t="s">
        <v>248</v>
      </c>
      <c r="T4" s="14">
        <v>2</v>
      </c>
      <c r="U4" s="14"/>
      <c r="V4" s="14"/>
      <c r="W4" s="14"/>
      <c r="Y4" s="11">
        <v>1</v>
      </c>
      <c r="Z4" s="12" t="s">
        <v>445</v>
      </c>
      <c r="AA4" s="13" t="s">
        <v>248</v>
      </c>
      <c r="AB4" s="14">
        <v>2</v>
      </c>
      <c r="AC4" s="14"/>
      <c r="AD4" s="14"/>
      <c r="AE4" s="14"/>
    </row>
    <row r="5" ht="48.95" customHeight="1" spans="1:31">
      <c r="A5" s="11">
        <v>3</v>
      </c>
      <c r="B5" s="15" t="s">
        <v>446</v>
      </c>
      <c r="C5" s="14" t="s">
        <v>347</v>
      </c>
      <c r="D5" s="14">
        <f>5.17*2</f>
        <v>10.34</v>
      </c>
      <c r="E5" s="14">
        <v>30.62</v>
      </c>
      <c r="F5" s="14">
        <f>E5*D5</f>
        <v>316.6108</v>
      </c>
      <c r="G5" s="14"/>
      <c r="I5" s="11">
        <v>3</v>
      </c>
      <c r="J5" s="15" t="s">
        <v>446</v>
      </c>
      <c r="K5" s="14" t="s">
        <v>347</v>
      </c>
      <c r="L5" s="14">
        <f>5.17*2</f>
        <v>10.34</v>
      </c>
      <c r="M5" s="14">
        <v>30.62</v>
      </c>
      <c r="N5" s="14">
        <f>M5*L5</f>
        <v>316.6108</v>
      </c>
      <c r="O5" s="14"/>
      <c r="Q5" s="11">
        <v>3</v>
      </c>
      <c r="R5" s="15" t="s">
        <v>446</v>
      </c>
      <c r="S5" s="14" t="s">
        <v>347</v>
      </c>
      <c r="T5" s="14">
        <f>5.17*2</f>
        <v>10.34</v>
      </c>
      <c r="U5" s="14">
        <v>30.62</v>
      </c>
      <c r="V5" s="14">
        <f>U5*T5</f>
        <v>316.6108</v>
      </c>
      <c r="W5" s="14"/>
      <c r="Y5" s="11">
        <v>3</v>
      </c>
      <c r="Z5" s="15" t="s">
        <v>446</v>
      </c>
      <c r="AA5" s="14" t="s">
        <v>347</v>
      </c>
      <c r="AB5" s="14">
        <f>5.17*2</f>
        <v>10.34</v>
      </c>
      <c r="AC5" s="14">
        <v>30.62</v>
      </c>
      <c r="AD5" s="14">
        <f>AC5*AB5</f>
        <v>316.6108</v>
      </c>
      <c r="AE5" s="14"/>
    </row>
    <row r="6" ht="48.95" customHeight="1" spans="1:31">
      <c r="A6" s="11">
        <v>4</v>
      </c>
      <c r="B6" s="15" t="s">
        <v>447</v>
      </c>
      <c r="C6" s="14" t="s">
        <v>347</v>
      </c>
      <c r="D6" s="14">
        <f>5.17*8</f>
        <v>41.36</v>
      </c>
      <c r="E6" s="14">
        <v>8</v>
      </c>
      <c r="F6" s="14">
        <f>E6*D6</f>
        <v>330.88</v>
      </c>
      <c r="G6" s="14"/>
      <c r="I6" s="11">
        <v>4</v>
      </c>
      <c r="J6" s="15" t="s">
        <v>447</v>
      </c>
      <c r="K6" s="14" t="s">
        <v>347</v>
      </c>
      <c r="L6" s="14">
        <f>5.17*8</f>
        <v>41.36</v>
      </c>
      <c r="M6" s="14">
        <v>8</v>
      </c>
      <c r="N6" s="14">
        <f>M6*L6</f>
        <v>330.88</v>
      </c>
      <c r="O6" s="14"/>
      <c r="Q6" s="11">
        <v>4</v>
      </c>
      <c r="R6" s="15" t="s">
        <v>447</v>
      </c>
      <c r="S6" s="14" t="s">
        <v>347</v>
      </c>
      <c r="T6" s="14">
        <f>5.17*8</f>
        <v>41.36</v>
      </c>
      <c r="U6" s="14">
        <v>8</v>
      </c>
      <c r="V6" s="14">
        <f>U6*T6</f>
        <v>330.88</v>
      </c>
      <c r="W6" s="14"/>
      <c r="Y6" s="11">
        <v>4</v>
      </c>
      <c r="Z6" s="15" t="s">
        <v>447</v>
      </c>
      <c r="AA6" s="14" t="s">
        <v>347</v>
      </c>
      <c r="AB6" s="14">
        <f>5.17*8</f>
        <v>41.36</v>
      </c>
      <c r="AC6" s="14">
        <v>8</v>
      </c>
      <c r="AD6" s="14">
        <f>AC6*AB6</f>
        <v>330.88</v>
      </c>
      <c r="AE6" s="14"/>
    </row>
    <row r="7" ht="48.95" customHeight="1" spans="1:31">
      <c r="A7" s="11">
        <v>5</v>
      </c>
      <c r="B7" s="15" t="s">
        <v>448</v>
      </c>
      <c r="C7" s="14" t="s">
        <v>347</v>
      </c>
      <c r="D7" s="14">
        <f>(0.575+0.495+0.858+0.11+0.19+0.787+0.148+0.148+0.475+0.675+0.495+0.855)*6</f>
        <v>34.866</v>
      </c>
      <c r="E7" s="14">
        <v>3.06</v>
      </c>
      <c r="F7" s="14">
        <f t="shared" ref="F7:F21" si="0">E7*D7</f>
        <v>106.68996</v>
      </c>
      <c r="G7" s="14"/>
      <c r="I7" s="11">
        <v>5</v>
      </c>
      <c r="J7" s="15" t="s">
        <v>448</v>
      </c>
      <c r="K7" s="14" t="s">
        <v>347</v>
      </c>
      <c r="L7" s="14">
        <f>(0.575+0.495+0.858+0.11+0.19+0.787+0.148+0.148+0.475+0.675+0.495+0.855)*6</f>
        <v>34.866</v>
      </c>
      <c r="M7" s="14">
        <v>3.06</v>
      </c>
      <c r="N7" s="14">
        <f t="shared" ref="N7:N16" si="1">M7*L7</f>
        <v>106.68996</v>
      </c>
      <c r="O7" s="14"/>
      <c r="Q7" s="11">
        <v>5</v>
      </c>
      <c r="R7" s="15" t="s">
        <v>448</v>
      </c>
      <c r="S7" s="14" t="s">
        <v>347</v>
      </c>
      <c r="T7" s="14">
        <f>(0.575+0.495+0.858+0.11+0.19+0.787+0.148+0.148+0.475+0.675+0.495+0.855)*6</f>
        <v>34.866</v>
      </c>
      <c r="U7" s="14">
        <v>3.06</v>
      </c>
      <c r="V7" s="14">
        <f t="shared" ref="V7:V16" si="2">U7*T7</f>
        <v>106.68996</v>
      </c>
      <c r="W7" s="14"/>
      <c r="Y7" s="11">
        <v>5</v>
      </c>
      <c r="Z7" s="15" t="s">
        <v>448</v>
      </c>
      <c r="AA7" s="14" t="s">
        <v>347</v>
      </c>
      <c r="AB7" s="14">
        <f>(0.575+0.495+0.858+0.11+0.19+0.787+0.148+0.148+0.475+0.675+0.495+0.855)*6</f>
        <v>34.866</v>
      </c>
      <c r="AC7" s="14">
        <v>3.06</v>
      </c>
      <c r="AD7" s="14">
        <f t="shared" ref="AD7:AD16" si="3">AC7*AB7</f>
        <v>106.68996</v>
      </c>
      <c r="AE7" s="14"/>
    </row>
    <row r="8" ht="48.95" customHeight="1" spans="1:31">
      <c r="A8" s="11">
        <v>6</v>
      </c>
      <c r="B8" s="15" t="s">
        <v>449</v>
      </c>
      <c r="C8" s="14" t="s">
        <v>347</v>
      </c>
      <c r="D8" s="14">
        <f>(0.185*2+0.085*2+0.11*2+0.135+0.11*2+0.185*2+0.085*2+0.135)*6</f>
        <v>10.74</v>
      </c>
      <c r="E8" s="14">
        <v>10</v>
      </c>
      <c r="F8" s="14">
        <f t="shared" si="0"/>
        <v>107.4</v>
      </c>
      <c r="G8" s="14"/>
      <c r="I8" s="11">
        <v>6</v>
      </c>
      <c r="J8" s="15" t="s">
        <v>449</v>
      </c>
      <c r="K8" s="14" t="s">
        <v>347</v>
      </c>
      <c r="L8" s="14">
        <f>(0.185*2+0.085*2+0.11*2+0.135+0.11*2+0.185*2+0.085*2+0.135)*6</f>
        <v>10.74</v>
      </c>
      <c r="M8" s="14">
        <v>10</v>
      </c>
      <c r="N8" s="14">
        <f t="shared" si="1"/>
        <v>107.4</v>
      </c>
      <c r="O8" s="14"/>
      <c r="Q8" s="11">
        <v>6</v>
      </c>
      <c r="R8" s="15" t="s">
        <v>449</v>
      </c>
      <c r="S8" s="14" t="s">
        <v>347</v>
      </c>
      <c r="T8" s="14">
        <f>(0.185*2+0.085*2+0.11*2+0.135+0.11*2+0.185*2+0.085*2+0.135)*6</f>
        <v>10.74</v>
      </c>
      <c r="U8" s="14">
        <v>10</v>
      </c>
      <c r="V8" s="14">
        <f t="shared" si="2"/>
        <v>107.4</v>
      </c>
      <c r="W8" s="14"/>
      <c r="Y8" s="11">
        <v>6</v>
      </c>
      <c r="Z8" s="15" t="s">
        <v>449</v>
      </c>
      <c r="AA8" s="14" t="s">
        <v>347</v>
      </c>
      <c r="AB8" s="14">
        <f>(0.185*2+0.085*2+0.11*2+0.135+0.11*2+0.185*2+0.085*2+0.135)*6</f>
        <v>10.74</v>
      </c>
      <c r="AC8" s="14">
        <v>10</v>
      </c>
      <c r="AD8" s="14">
        <f t="shared" si="3"/>
        <v>107.4</v>
      </c>
      <c r="AE8" s="14"/>
    </row>
    <row r="9" ht="78" customHeight="1" spans="1:31">
      <c r="A9" s="11">
        <v>7</v>
      </c>
      <c r="B9" s="12" t="s">
        <v>450</v>
      </c>
      <c r="C9" s="13" t="s">
        <v>248</v>
      </c>
      <c r="D9" s="14">
        <f>6*6</f>
        <v>36</v>
      </c>
      <c r="E9" s="14"/>
      <c r="F9" s="14">
        <f t="shared" si="0"/>
        <v>0</v>
      </c>
      <c r="G9" s="14"/>
      <c r="I9" s="11">
        <v>7</v>
      </c>
      <c r="J9" s="12" t="s">
        <v>450</v>
      </c>
      <c r="K9" s="13" t="s">
        <v>248</v>
      </c>
      <c r="L9" s="14">
        <f>6*6</f>
        <v>36</v>
      </c>
      <c r="M9" s="14"/>
      <c r="N9" s="14">
        <f t="shared" si="1"/>
        <v>0</v>
      </c>
      <c r="O9" s="14"/>
      <c r="Q9" s="11">
        <v>7</v>
      </c>
      <c r="R9" s="12" t="s">
        <v>450</v>
      </c>
      <c r="S9" s="13" t="s">
        <v>248</v>
      </c>
      <c r="T9" s="14">
        <f>6*6</f>
        <v>36</v>
      </c>
      <c r="U9" s="14"/>
      <c r="V9" s="14">
        <f t="shared" si="2"/>
        <v>0</v>
      </c>
      <c r="W9" s="14"/>
      <c r="Y9" s="11">
        <v>7</v>
      </c>
      <c r="Z9" s="12" t="s">
        <v>450</v>
      </c>
      <c r="AA9" s="13" t="s">
        <v>248</v>
      </c>
      <c r="AB9" s="14">
        <f>6*6</f>
        <v>36</v>
      </c>
      <c r="AC9" s="14"/>
      <c r="AD9" s="14">
        <f t="shared" si="3"/>
        <v>0</v>
      </c>
      <c r="AE9" s="14"/>
    </row>
    <row r="10" ht="78" customHeight="1" spans="1:31">
      <c r="A10" s="11"/>
      <c r="B10" s="12" t="s">
        <v>451</v>
      </c>
      <c r="C10" s="13"/>
      <c r="D10" s="14">
        <f>0.21*7</f>
        <v>1.47</v>
      </c>
      <c r="E10" s="14">
        <v>3.06</v>
      </c>
      <c r="F10" s="14">
        <f t="shared" si="0"/>
        <v>4.4982</v>
      </c>
      <c r="G10" s="14"/>
      <c r="I10" s="11"/>
      <c r="J10" s="12" t="s">
        <v>451</v>
      </c>
      <c r="K10" s="13"/>
      <c r="L10" s="14">
        <f>0.21*7</f>
        <v>1.47</v>
      </c>
      <c r="M10" s="14">
        <v>3.06</v>
      </c>
      <c r="N10" s="14">
        <f t="shared" si="1"/>
        <v>4.4982</v>
      </c>
      <c r="O10" s="14"/>
      <c r="Q10" s="11"/>
      <c r="R10" s="12" t="s">
        <v>451</v>
      </c>
      <c r="S10" s="13"/>
      <c r="T10" s="14">
        <f>0.21*7</f>
        <v>1.47</v>
      </c>
      <c r="U10" s="14">
        <v>3.06</v>
      </c>
      <c r="V10" s="14">
        <f t="shared" si="2"/>
        <v>4.4982</v>
      </c>
      <c r="W10" s="14"/>
      <c r="Y10" s="11"/>
      <c r="Z10" s="12" t="s">
        <v>451</v>
      </c>
      <c r="AA10" s="13"/>
      <c r="AB10" s="14">
        <f>0.21*7</f>
        <v>1.47</v>
      </c>
      <c r="AC10" s="14">
        <v>3.06</v>
      </c>
      <c r="AD10" s="14">
        <f t="shared" si="3"/>
        <v>4.4982</v>
      </c>
      <c r="AE10" s="14"/>
    </row>
    <row r="11" ht="42" customHeight="1" spans="1:31">
      <c r="A11" s="11"/>
      <c r="B11" s="16" t="s">
        <v>452</v>
      </c>
      <c r="C11" s="13"/>
      <c r="D11" s="14"/>
      <c r="E11" s="14"/>
      <c r="F11" s="14">
        <f t="shared" si="0"/>
        <v>0</v>
      </c>
      <c r="G11" s="14"/>
      <c r="I11" s="11"/>
      <c r="J11" s="16" t="s">
        <v>452</v>
      </c>
      <c r="K11" s="13"/>
      <c r="L11" s="14"/>
      <c r="M11" s="14"/>
      <c r="N11" s="14">
        <f t="shared" si="1"/>
        <v>0</v>
      </c>
      <c r="O11" s="14"/>
      <c r="Q11" s="11"/>
      <c r="R11" s="16" t="s">
        <v>452</v>
      </c>
      <c r="S11" s="13"/>
      <c r="T11" s="14"/>
      <c r="U11" s="14"/>
      <c r="V11" s="14">
        <f t="shared" si="2"/>
        <v>0</v>
      </c>
      <c r="W11" s="14"/>
      <c r="Y11" s="11"/>
      <c r="Z11" s="16" t="s">
        <v>452</v>
      </c>
      <c r="AA11" s="13"/>
      <c r="AB11" s="14"/>
      <c r="AC11" s="14"/>
      <c r="AD11" s="14">
        <f t="shared" si="3"/>
        <v>0</v>
      </c>
      <c r="AE11" s="14"/>
    </row>
    <row r="12" ht="48.95" customHeight="1" spans="1:31">
      <c r="A12" s="11">
        <v>1</v>
      </c>
      <c r="B12" s="15" t="s">
        <v>448</v>
      </c>
      <c r="C12" s="14" t="s">
        <v>347</v>
      </c>
      <c r="D12" s="14">
        <f>(0.547+0.156+0.686+1.112+1.137)*2+1.13*4+(0.547+0.156+0.686)*3*2+(1.55+1.7+1.055)*3</f>
        <v>33.045</v>
      </c>
      <c r="E12" s="14"/>
      <c r="F12" s="14">
        <f t="shared" si="0"/>
        <v>0</v>
      </c>
      <c r="G12" s="14"/>
      <c r="I12" s="11">
        <v>1</v>
      </c>
      <c r="J12" s="15" t="s">
        <v>448</v>
      </c>
      <c r="K12" s="14" t="s">
        <v>347</v>
      </c>
      <c r="L12" s="14">
        <f>(0.547+0.156+0.686+1.112+1.137)*2+1.13*4+(0.547+0.156+0.686)*3*2+(1.55+1.7+1.055)*3</f>
        <v>33.045</v>
      </c>
      <c r="M12" s="14">
        <f>M10</f>
        <v>3.06</v>
      </c>
      <c r="N12" s="14">
        <f t="shared" si="1"/>
        <v>101.1177</v>
      </c>
      <c r="O12" s="14"/>
      <c r="Q12" s="11">
        <v>1</v>
      </c>
      <c r="R12" s="15" t="s">
        <v>448</v>
      </c>
      <c r="S12" s="14" t="s">
        <v>347</v>
      </c>
      <c r="T12" s="14">
        <f>(0.547+0.156+0.686+1.112+1.137)*2+1.13*4+(0.547+0.156+0.686)*3*2+(1.55+1.7+1.055)*3</f>
        <v>33.045</v>
      </c>
      <c r="U12" s="14">
        <f>U10</f>
        <v>3.06</v>
      </c>
      <c r="V12" s="14">
        <f t="shared" si="2"/>
        <v>101.1177</v>
      </c>
      <c r="W12" s="14"/>
      <c r="Y12" s="11">
        <v>1</v>
      </c>
      <c r="Z12" s="15" t="s">
        <v>448</v>
      </c>
      <c r="AA12" s="14" t="s">
        <v>347</v>
      </c>
      <c r="AB12" s="14">
        <f>(0.547+0.156+0.686+1.112)*2+(0.547+0.156+0.686)*3*2+(1.55+1.055)*3</f>
        <v>21.151</v>
      </c>
      <c r="AC12" s="14">
        <f>AC10</f>
        <v>3.06</v>
      </c>
      <c r="AD12" s="14">
        <f t="shared" si="3"/>
        <v>64.72206</v>
      </c>
      <c r="AE12" s="14"/>
    </row>
    <row r="13" ht="48.95" customHeight="1" spans="1:31">
      <c r="A13" s="11"/>
      <c r="B13" s="12" t="s">
        <v>453</v>
      </c>
      <c r="C13" s="13" t="s">
        <v>248</v>
      </c>
      <c r="D13" s="14">
        <f>3*2</f>
        <v>6</v>
      </c>
      <c r="E13" s="14"/>
      <c r="F13" s="14">
        <f t="shared" si="0"/>
        <v>0</v>
      </c>
      <c r="G13" s="14"/>
      <c r="I13" s="11"/>
      <c r="J13" s="12" t="s">
        <v>453</v>
      </c>
      <c r="K13" s="13" t="s">
        <v>248</v>
      </c>
      <c r="L13" s="14">
        <f>3*2</f>
        <v>6</v>
      </c>
      <c r="M13" s="14"/>
      <c r="N13" s="14">
        <f t="shared" si="1"/>
        <v>0</v>
      </c>
      <c r="O13" s="14"/>
      <c r="Q13" s="11"/>
      <c r="R13" s="12" t="s">
        <v>453</v>
      </c>
      <c r="S13" s="13" t="s">
        <v>248</v>
      </c>
      <c r="T13" s="14">
        <f>3*2</f>
        <v>6</v>
      </c>
      <c r="U13" s="14"/>
      <c r="V13" s="14">
        <f t="shared" si="2"/>
        <v>0</v>
      </c>
      <c r="W13" s="14"/>
      <c r="Y13" s="11"/>
      <c r="Z13" s="12" t="s">
        <v>453</v>
      </c>
      <c r="AA13" s="13" t="s">
        <v>248</v>
      </c>
      <c r="AB13" s="14">
        <f>3*2</f>
        <v>6</v>
      </c>
      <c r="AC13" s="14"/>
      <c r="AD13" s="14">
        <f t="shared" si="3"/>
        <v>0</v>
      </c>
      <c r="AE13" s="14"/>
    </row>
    <row r="14" ht="48.95" customHeight="1" spans="1:31">
      <c r="A14" s="11"/>
      <c r="B14" s="16" t="s">
        <v>454</v>
      </c>
      <c r="C14" s="14"/>
      <c r="D14" s="14"/>
      <c r="E14" s="14"/>
      <c r="F14" s="14">
        <f t="shared" si="0"/>
        <v>0</v>
      </c>
      <c r="G14" s="14"/>
      <c r="I14" s="11"/>
      <c r="J14" s="16" t="s">
        <v>454</v>
      </c>
      <c r="K14" s="14"/>
      <c r="L14" s="14"/>
      <c r="M14" s="14"/>
      <c r="N14" s="14">
        <f t="shared" si="1"/>
        <v>0</v>
      </c>
      <c r="O14" s="14"/>
      <c r="Q14" s="11"/>
      <c r="R14" s="16" t="s">
        <v>454</v>
      </c>
      <c r="S14" s="14"/>
      <c r="T14" s="14"/>
      <c r="U14" s="14"/>
      <c r="V14" s="14">
        <f t="shared" si="2"/>
        <v>0</v>
      </c>
      <c r="W14" s="14"/>
      <c r="Y14" s="11"/>
      <c r="Z14" s="16" t="s">
        <v>454</v>
      </c>
      <c r="AA14" s="14"/>
      <c r="AB14" s="14"/>
      <c r="AC14" s="14"/>
      <c r="AD14" s="14">
        <f t="shared" si="3"/>
        <v>0</v>
      </c>
      <c r="AE14" s="14"/>
    </row>
    <row r="15" ht="48.95" customHeight="1" spans="1:31">
      <c r="A15" s="11"/>
      <c r="B15" s="15" t="s">
        <v>448</v>
      </c>
      <c r="C15" s="14" t="s">
        <v>347</v>
      </c>
      <c r="D15" s="14">
        <f>(0.543+0.156+0.686+1.112+1.133*2+0.296*3)*3+3.98*3+(1.55+1.7+1.055)*3</f>
        <v>41.808</v>
      </c>
      <c r="E15" s="14">
        <v>3.06</v>
      </c>
      <c r="F15" s="14">
        <f t="shared" si="0"/>
        <v>127.93248</v>
      </c>
      <c r="G15" s="14"/>
      <c r="I15" s="11"/>
      <c r="J15" s="15" t="s">
        <v>448</v>
      </c>
      <c r="K15" s="14" t="s">
        <v>347</v>
      </c>
      <c r="L15" s="14">
        <f>(0.543+0.156+0.686+1.112+1.133*2+0.296*3)*3+3.98*3+(1.55+1.7+1.055)*3</f>
        <v>41.808</v>
      </c>
      <c r="M15" s="14">
        <v>3.06</v>
      </c>
      <c r="N15" s="14">
        <f t="shared" si="1"/>
        <v>127.93248</v>
      </c>
      <c r="O15" s="14"/>
      <c r="Q15" s="11"/>
      <c r="R15" s="15" t="s">
        <v>448</v>
      </c>
      <c r="S15" s="14" t="s">
        <v>347</v>
      </c>
      <c r="T15" s="14">
        <f>(0.543+0.156+0.686+1.112+1.133*2+0.296*3)*3+3.98*3+(1.55+1.7+1.055)*3</f>
        <v>41.808</v>
      </c>
      <c r="U15" s="14">
        <v>3.06</v>
      </c>
      <c r="V15" s="14">
        <f t="shared" si="2"/>
        <v>127.93248</v>
      </c>
      <c r="W15" s="14"/>
      <c r="Y15" s="11"/>
      <c r="Z15" s="15" t="s">
        <v>448</v>
      </c>
      <c r="AA15" s="14" t="s">
        <v>347</v>
      </c>
      <c r="AB15" s="14">
        <f>(0.543+0.156+0.686+1.112+1.133*2+0.296*3)*3+3.98*3+(1.55+1.7+1.055)*3</f>
        <v>41.808</v>
      </c>
      <c r="AC15" s="14">
        <v>3.06</v>
      </c>
      <c r="AD15" s="14">
        <f t="shared" si="3"/>
        <v>127.93248</v>
      </c>
      <c r="AE15" s="14"/>
    </row>
    <row r="16" ht="48.95" customHeight="1" spans="1:31">
      <c r="A16" s="11"/>
      <c r="B16" s="12" t="s">
        <v>455</v>
      </c>
      <c r="C16" s="13" t="s">
        <v>248</v>
      </c>
      <c r="D16" s="14">
        <f>5*3</f>
        <v>15</v>
      </c>
      <c r="E16" s="14"/>
      <c r="F16" s="14">
        <f t="shared" si="0"/>
        <v>0</v>
      </c>
      <c r="G16" s="14"/>
      <c r="I16" s="11"/>
      <c r="J16" s="12" t="s">
        <v>455</v>
      </c>
      <c r="K16" s="13" t="s">
        <v>248</v>
      </c>
      <c r="L16" s="14">
        <f>5*3</f>
        <v>15</v>
      </c>
      <c r="M16" s="14"/>
      <c r="N16" s="14">
        <f t="shared" si="1"/>
        <v>0</v>
      </c>
      <c r="O16" s="14"/>
      <c r="Q16" s="11"/>
      <c r="R16" s="12" t="s">
        <v>455</v>
      </c>
      <c r="S16" s="13" t="s">
        <v>248</v>
      </c>
      <c r="T16" s="14">
        <f>5*3</f>
        <v>15</v>
      </c>
      <c r="U16" s="14"/>
      <c r="V16" s="14">
        <f t="shared" si="2"/>
        <v>0</v>
      </c>
      <c r="W16" s="14"/>
      <c r="Y16" s="11"/>
      <c r="Z16" s="12" t="s">
        <v>455</v>
      </c>
      <c r="AA16" s="13" t="s">
        <v>248</v>
      </c>
      <c r="AB16" s="14">
        <f>5*3</f>
        <v>15</v>
      </c>
      <c r="AC16" s="14"/>
      <c r="AD16" s="14">
        <f t="shared" si="3"/>
        <v>0</v>
      </c>
      <c r="AE16" s="14"/>
    </row>
    <row r="17" ht="48.95" customHeight="1" spans="1:31">
      <c r="A17" s="11"/>
      <c r="B17" s="17" t="s">
        <v>456</v>
      </c>
      <c r="C17" s="14"/>
      <c r="D17" s="14"/>
      <c r="E17" s="14"/>
      <c r="F17" s="14">
        <f t="shared" si="0"/>
        <v>0</v>
      </c>
      <c r="G17" s="14"/>
      <c r="I17" s="11"/>
      <c r="J17" s="17"/>
      <c r="K17" s="14"/>
      <c r="L17" s="14"/>
      <c r="M17" s="14"/>
      <c r="N17" s="14"/>
      <c r="O17" s="14"/>
      <c r="Q17" s="11"/>
      <c r="R17" s="17"/>
      <c r="S17" s="14"/>
      <c r="T17" s="14"/>
      <c r="U17" s="14"/>
      <c r="V17" s="14"/>
      <c r="W17" s="14"/>
      <c r="Y17" s="11"/>
      <c r="Z17" s="17"/>
      <c r="AA17" s="14"/>
      <c r="AB17" s="14"/>
      <c r="AC17" s="14"/>
      <c r="AD17" s="14"/>
      <c r="AE17" s="14"/>
    </row>
    <row r="18" ht="48.95" customHeight="1" spans="1:31">
      <c r="A18" s="11">
        <v>1</v>
      </c>
      <c r="B18" s="12" t="s">
        <v>457</v>
      </c>
      <c r="C18" s="14" t="s">
        <v>347</v>
      </c>
      <c r="D18" s="14">
        <f>2.55*4*2</f>
        <v>20.4</v>
      </c>
      <c r="E18" s="14">
        <v>10.21</v>
      </c>
      <c r="F18" s="14">
        <f t="shared" si="0"/>
        <v>208.284</v>
      </c>
      <c r="G18" s="14"/>
      <c r="I18" s="11"/>
      <c r="J18" s="12"/>
      <c r="K18" s="14"/>
      <c r="L18" s="14"/>
      <c r="M18" s="14"/>
      <c r="N18" s="14"/>
      <c r="O18" s="14"/>
      <c r="Q18" s="11"/>
      <c r="R18" s="12"/>
      <c r="S18" s="14"/>
      <c r="T18" s="14"/>
      <c r="U18" s="14"/>
      <c r="V18" s="14"/>
      <c r="W18" s="14"/>
      <c r="Y18" s="11"/>
      <c r="Z18" s="12"/>
      <c r="AA18" s="14"/>
      <c r="AB18" s="14"/>
      <c r="AC18" s="14"/>
      <c r="AD18" s="14"/>
      <c r="AE18" s="14"/>
    </row>
    <row r="19" ht="48.95" customHeight="1" spans="1:31">
      <c r="A19" s="11">
        <v>2</v>
      </c>
      <c r="B19" s="12" t="s">
        <v>458</v>
      </c>
      <c r="C19" s="14"/>
      <c r="D19" s="14">
        <f>3.568*3*2+2.55*4+0.17*6*4</f>
        <v>35.688</v>
      </c>
      <c r="E19" s="14">
        <v>3.06</v>
      </c>
      <c r="F19" s="14">
        <f t="shared" si="0"/>
        <v>109.20528</v>
      </c>
      <c r="G19" s="14"/>
      <c r="I19" s="11"/>
      <c r="J19" s="12"/>
      <c r="K19" s="14"/>
      <c r="L19" s="14"/>
      <c r="M19" s="14"/>
      <c r="N19" s="14"/>
      <c r="O19" s="14"/>
      <c r="Q19" s="11"/>
      <c r="R19" s="12"/>
      <c r="S19" s="14"/>
      <c r="T19" s="14"/>
      <c r="U19" s="14"/>
      <c r="V19" s="14"/>
      <c r="W19" s="14"/>
      <c r="Y19" s="11"/>
      <c r="Z19" s="12"/>
      <c r="AA19" s="14"/>
      <c r="AB19" s="14"/>
      <c r="AC19" s="14"/>
      <c r="AD19" s="14"/>
      <c r="AE19" s="14"/>
    </row>
    <row r="20" ht="93" customHeight="1" spans="1:31">
      <c r="A20" s="11">
        <v>3</v>
      </c>
      <c r="B20" s="12" t="s">
        <v>459</v>
      </c>
      <c r="C20" s="13" t="s">
        <v>248</v>
      </c>
      <c r="D20" s="14">
        <f>4*2+2</f>
        <v>10</v>
      </c>
      <c r="E20" s="14"/>
      <c r="F20" s="14">
        <f t="shared" si="0"/>
        <v>0</v>
      </c>
      <c r="G20" s="14"/>
      <c r="I20" s="11"/>
      <c r="J20" s="12"/>
      <c r="K20" s="13"/>
      <c r="L20" s="14"/>
      <c r="M20" s="14"/>
      <c r="N20" s="14"/>
      <c r="O20" s="14"/>
      <c r="Q20" s="11"/>
      <c r="R20" s="12"/>
      <c r="S20" s="13"/>
      <c r="T20" s="14"/>
      <c r="U20" s="14"/>
      <c r="V20" s="14"/>
      <c r="W20" s="14"/>
      <c r="Y20" s="11"/>
      <c r="Z20" s="12"/>
      <c r="AA20" s="13"/>
      <c r="AB20" s="14"/>
      <c r="AC20" s="14"/>
      <c r="AD20" s="14"/>
      <c r="AE20" s="14"/>
    </row>
    <row r="21" ht="44.1" customHeight="1" spans="1:31">
      <c r="A21" s="11"/>
      <c r="B21" s="15" t="s">
        <v>460</v>
      </c>
      <c r="C21" s="14" t="s">
        <v>347</v>
      </c>
      <c r="D21" s="14">
        <f>(23.77-6)*2</f>
        <v>35.54</v>
      </c>
      <c r="E21" s="14">
        <v>0.89</v>
      </c>
      <c r="F21" s="14">
        <f t="shared" si="0"/>
        <v>31.6306</v>
      </c>
      <c r="G21" s="14"/>
      <c r="I21" s="11"/>
      <c r="J21" s="15"/>
      <c r="K21" s="14"/>
      <c r="L21" s="14"/>
      <c r="M21" s="14"/>
      <c r="N21" s="14"/>
      <c r="O21" s="14"/>
      <c r="Q21" s="11"/>
      <c r="R21" s="15"/>
      <c r="S21" s="14"/>
      <c r="T21" s="14"/>
      <c r="U21" s="14"/>
      <c r="V21" s="14"/>
      <c r="W21" s="14"/>
      <c r="Y21" s="11"/>
      <c r="Z21" s="15"/>
      <c r="AA21" s="14"/>
      <c r="AB21" s="14"/>
      <c r="AC21" s="14"/>
      <c r="AD21" s="14"/>
      <c r="AE21" s="14"/>
    </row>
    <row r="22" ht="26.1" customHeight="1" spans="1:31">
      <c r="A22" s="11"/>
      <c r="B22" s="17" t="s">
        <v>409</v>
      </c>
      <c r="C22" s="14" t="s">
        <v>461</v>
      </c>
      <c r="D22" s="14"/>
      <c r="E22" s="14"/>
      <c r="F22" s="14">
        <f>SUM(F3:F21)</f>
        <v>1343.13132</v>
      </c>
      <c r="G22" s="14"/>
      <c r="I22" s="11"/>
      <c r="J22" s="17" t="s">
        <v>409</v>
      </c>
      <c r="K22" s="14" t="s">
        <v>461</v>
      </c>
      <c r="L22" s="14"/>
      <c r="M22" s="14"/>
      <c r="N22" s="14">
        <f>SUM(N3:N21)</f>
        <v>1095.12914</v>
      </c>
      <c r="O22" s="14"/>
      <c r="Q22" s="11"/>
      <c r="R22" s="17" t="s">
        <v>409</v>
      </c>
      <c r="S22" s="14" t="s">
        <v>461</v>
      </c>
      <c r="T22" s="14"/>
      <c r="U22" s="14"/>
      <c r="V22" s="14">
        <f>SUM(V3:V21)</f>
        <v>1095.12914</v>
      </c>
      <c r="W22" s="14"/>
      <c r="Y22" s="11"/>
      <c r="Z22" s="17" t="s">
        <v>409</v>
      </c>
      <c r="AA22" s="14" t="s">
        <v>461</v>
      </c>
      <c r="AB22" s="14"/>
      <c r="AC22" s="14"/>
      <c r="AD22" s="14">
        <f>SUM(AD3:AD21)</f>
        <v>1058.7335</v>
      </c>
      <c r="AE22" s="14"/>
    </row>
    <row r="26" ht="11.1" customHeight="1"/>
    <row r="27" hidden="1"/>
  </sheetData>
  <autoFilter xmlns:etc="http://www.wps.cn/officeDocument/2017/etCustomData" ref="A2:G22" etc:filterBottomFollowUsedRange="0">
    <extLst/>
  </autoFilter>
  <mergeCells count="4">
    <mergeCell ref="A1:G1"/>
    <mergeCell ref="I1:O1"/>
    <mergeCell ref="Q1:W1"/>
    <mergeCell ref="Y1:AE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7</vt:i4>
      </vt:variant>
    </vt:vector>
  </HeadingPairs>
  <TitlesOfParts>
    <vt:vector size="7" baseType="lpstr">
      <vt:lpstr>Sheet2</vt:lpstr>
      <vt:lpstr>清单报价说明</vt:lpstr>
      <vt:lpstr>01、汇总表</vt:lpstr>
      <vt:lpstr>Sheet1</vt:lpstr>
      <vt:lpstr>02、装饰工程变更</vt:lpstr>
      <vt:lpstr>02、取消工程</vt:lpstr>
      <vt:lpstr>门头钢结构工程量计算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谦谦</cp:lastModifiedBy>
  <dcterms:created xsi:type="dcterms:W3CDTF">2020-11-19T09:45:00Z</dcterms:created>
  <dcterms:modified xsi:type="dcterms:W3CDTF">2024-11-25T10:47:26Z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D098B10444274550BD10DBB6DB7FF322_13</vt:lpwstr>
  </property>
  <property fmtid="{D5CDD505-2E9C-101B-9397-08002B2CF9AE}" pid="4" name="KSOReadingLayout">
    <vt:bool>true</vt:bool>
  </property>
</Properties>
</file>