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tabRatio="434" firstSheet="2" activeTab="7"/>
  </bookViews>
  <sheets>
    <sheet name="Sheet2" sheetId="20" state="hidden" r:id="rId1"/>
    <sheet name="清单报价说明" sheetId="7" r:id="rId2"/>
    <sheet name="01、汇总表" sheetId="26" r:id="rId3"/>
    <sheet name="Sheet1" sheetId="19" state="hidden" r:id="rId4"/>
    <sheet name="02、装饰工程" sheetId="12" r:id="rId5"/>
    <sheet name="门头钢结构工程量计算" sheetId="13" state="hidden" r:id="rId6"/>
    <sheet name="03、安装工程" sheetId="25" r:id="rId7"/>
    <sheet name="开元壹号50公寓楼28层样板层增加清单与计价表" sheetId="27" r:id="rId8"/>
    <sheet name="WpsReserved_CellImgList" sheetId="23" state="veryHidden" r:id="rId9"/>
  </sheets>
  <externalReferences>
    <externalReference r:id="rId13"/>
  </externalReferences>
  <definedNames>
    <definedName name="_xlnm._FilterDatabase" localSheetId="4" hidden="1">'02、装饰工程'!$A$5:$P$61</definedName>
    <definedName name="_xlnm._FilterDatabase" localSheetId="5" hidden="1">门头钢结构工程量计算!$A$2:$G$22</definedName>
    <definedName name="_xlnm._FilterDatabase" localSheetId="6" hidden="1">'03、安装工程'!$A$8:$O$81</definedName>
    <definedName name="_xlnm.Print_Area" localSheetId="3">Sheet1!$A$1:$I$53</definedName>
    <definedName name="_xlnm.Print_Area" localSheetId="0">Sheet2!$A$1:$I$55</definedName>
    <definedName name="_xlnm.Print_Area" localSheetId="1">清单报价说明!$A$1:$B$22</definedName>
    <definedName name="_xlnm.Print_Titles" localSheetId="4">'02、装饰工程'!$1:$5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<sst xmlns="http://schemas.openxmlformats.org/spreadsheetml/2006/main" count="963" uniqueCount="374">
  <si>
    <t>工程量清单报价说明</t>
  </si>
  <si>
    <t>一、工程概况:</t>
  </si>
  <si>
    <t>工程概况:开元壹号62#地块50#公寓公区装饰工程</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</si>
  <si>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</si>
  <si>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</si>
  <si>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</si>
  <si>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</si>
  <si>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</si>
  <si>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</si>
  <si>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</si>
  <si>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</si>
  <si>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</si>
  <si>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</si>
  <si>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</si>
  <si>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</si>
  <si>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</si>
  <si>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</si>
  <si>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t>工程量计算规则除另有说明外,执行《房屋建筑与装饰工程工程量计算规范》GB 50854-2013。</t>
  </si>
  <si>
    <t>四、其他计价说明</t>
  </si>
  <si>
    <t>精装修施工范围：
1、A栋楼负二层至二十八层、B栋楼负二层至五十一层墙面地面天棚装修，不含成品装饰摆件；
2、A栋楼标准层平立面图按4-6层平立面图计入。</t>
  </si>
  <si>
    <t>精装修安装部分施工范围：
1、应急照明范围包含应急照明控制器（含）至应急照明配电箱（不含）之间通信线（不含配管，不含电源线），以及应急照明配电箱（不含）至应急照明集中电源（含）配线（不含配管），应急照明集中电源（含）至灯具配线（不含配管），应急照明灯具按每个灯0.3米计入金属软管；
2、普通照明范围：电梯厅、合用前室配管不计入此次精装范围内；走廊配管在精装范围内；全部配线（含电梯厅、合用前室、走廊）、全部灯具在此次精装范围内；
3、一层公共卫生间洗手盆、蹲便器、小便器、坐便器拖把池计入此次精装范围。</t>
  </si>
  <si>
    <t>以下内容为空白。</t>
  </si>
  <si>
    <t>开元壹号62#地块50#公寓公区装饰工程-样板层</t>
  </si>
  <si>
    <t>序 号</t>
  </si>
  <si>
    <t>项目名称</t>
  </si>
  <si>
    <t>单位</t>
  </si>
  <si>
    <t>不含税金额（元）</t>
  </si>
  <si>
    <t>税率</t>
  </si>
  <si>
    <t>税金（元）</t>
  </si>
  <si>
    <t>含税金额 (元)</t>
  </si>
  <si>
    <t>备注</t>
  </si>
  <si>
    <t>二</t>
  </si>
  <si>
    <t>B栋楼</t>
  </si>
  <si>
    <t>装饰工程</t>
  </si>
  <si>
    <t>样板层
（29层）</t>
  </si>
  <si>
    <t>项</t>
  </si>
  <si>
    <t>首层</t>
  </si>
  <si>
    <t>安装工程</t>
  </si>
  <si>
    <t>2层以上（标准层）</t>
  </si>
  <si>
    <t>1~2层（商业）</t>
  </si>
  <si>
    <t>新增清单</t>
  </si>
  <si>
    <t>合计(元)</t>
  </si>
  <si>
    <t>价格清单（开元壹号62#地块50#公寓公区装饰工程）（装饰部分）</t>
  </si>
  <si>
    <t>工程名称：开元壹号62#地块50#公寓公区装饰工程</t>
  </si>
  <si>
    <t>序号</t>
  </si>
  <si>
    <t>工程项目名称</t>
  </si>
  <si>
    <t>工程内容</t>
  </si>
  <si>
    <t>工程量
g</t>
  </si>
  <si>
    <t>其中：各子项构成（元）</t>
  </si>
  <si>
    <t>含税综合单价(元)
f=(a+b+c+d+e)</t>
  </si>
  <si>
    <t>合价(元)=g*f</t>
  </si>
  <si>
    <t>备 注（地面面积m2）</t>
  </si>
  <si>
    <t>人工费
a</t>
  </si>
  <si>
    <t>含损耗主材费小计</t>
  </si>
  <si>
    <t>主材费</t>
  </si>
  <si>
    <t>主材损耗率</t>
  </si>
  <si>
    <t>机械、辅材及其他c</t>
  </si>
  <si>
    <t>管理费及利润
d=(a+b+c)*费率</t>
  </si>
  <si>
    <t>税金
e=(a+b+c+d)*费率</t>
  </si>
  <si>
    <t>b=x*（1+y）</t>
  </si>
  <si>
    <t>x</t>
  </si>
  <si>
    <t xml:space="preserve"> y</t>
  </si>
  <si>
    <t>首层地面</t>
  </si>
  <si>
    <t>瓷砖楼地面</t>
  </si>
  <si>
    <t>1.CT01瓷砖地面
2.含地砖美缝
3.12mm厚800*1600瓷砖面层
4.5-10mm水泥胶结合层或瓷砖胶
5.30mm厚1:3干硬性水泥砂浆
6.素水泥砂浆结合层一遍
7.其它说明：满足规范和设计图纸要求</t>
  </si>
  <si>
    <t>m2</t>
  </si>
  <si>
    <t>1.CT02瓷砖地面
2.含地砖美缝
3.12mm厚800*800瓷砖面层（含地砖美缝）
4.5-10mm水泥胶结合层或瓷砖胶
5.30mm厚1:3干硬性水泥砂浆
6.素水泥砂浆结合层一遍
7.其它说明：满足规范和设计图纸要求</t>
  </si>
  <si>
    <t>过门石</t>
  </si>
  <si>
    <t>1.ST02石材地面
2.20mm厚大理石石材面层（六面防护）
3.含美缝
4.5-10mm水泥胶结合层或瓷砖胶
5.30mm厚1:3干硬性水泥砂浆
6.素水泥砂浆结合层一遍
7.其它说明：满足规范和设计图纸要求</t>
  </si>
  <si>
    <t>首层天花</t>
  </si>
  <si>
    <t>吊顶天棚</t>
  </si>
  <si>
    <t>1.MT01不锈钢吊顶
2.钢筋混凝土楼板
3.轻钢主龙骨(金属吊件连接)
4.轻钢次龙骨、收边轻钢龙骨(专用连接挂件)
5.15mm厚阻燃板基层
6.1.2mm厚仿铜色不锈钢饰面
7.作法详见天花节点
8.其它说明：满足规范和设计图纸要求</t>
  </si>
  <si>
    <t>1.MT03不锈钢吊顶
2.钢筋混凝土楼板
3.轻钢主龙骨(金属吊件连接)
4.轻钢次龙骨、收边轻钢龙骨(专用连接挂件)
6.6mm厚深灰色蜂窝不锈钢饰面
7.作法详见天花节点
8.其它说明：满足规范和设计图纸要求</t>
  </si>
  <si>
    <t>吊顶天棚（跌级）</t>
  </si>
  <si>
    <t>1.PT02石膏板吊顶天棚
2.钢筋混凝土楼板
3.φ8钢筋吊杆，双向吊点，间距800-1200
4.轻钢主龙骨
5.轻钢次龙骨、收边轻钢龙骨(专用连接挂件)
6.双层9.5mm厚纸面石膏板基层
7.白色乳胶漆面层（清单单列）
8.含灯孔等
9.作法详见天花节点
10.其它说明：满足规范和设计图纸要求</t>
  </si>
  <si>
    <t>吊顶天棚（平面）</t>
  </si>
  <si>
    <t>吊顶乳胶漆面层</t>
  </si>
  <si>
    <t>1.PT02石膏板吊顶天棚面层
2.白色乳胶漆面层
3.满刮腻子二遍
4.作法详见天花节点
5.其它说明：满足规范和设计图纸要求</t>
  </si>
  <si>
    <t>送风口、回风口</t>
  </si>
  <si>
    <t>1.开孔、安装铝合金条形送风口、回风口（烤漆颜色同天花）
2.其它说明：满足规范和设计图纸要求</t>
  </si>
  <si>
    <t>个</t>
  </si>
  <si>
    <t>首层墙面</t>
  </si>
  <si>
    <t>新砌砖墙</t>
  </si>
  <si>
    <t>1.150mm厚轻质砖墙体砌筑
2.其它说明：满足规范和设计图纸要求</t>
  </si>
  <si>
    <t>m3</t>
  </si>
  <si>
    <t>门过梁板</t>
  </si>
  <si>
    <t>1.门过梁板
2.其它说明：满足规范和设计图纸要求</t>
  </si>
  <si>
    <t>石材墙面</t>
  </si>
  <si>
    <t>1.ST01石材墙面
2.膨胀螺栓固定预埋铁件于钢筋混凝土结构
3.L50*5镀锌角钢及镀锌槽钢@1200钢架刷防锈漆(4m以下用[8#槽钢,4-5m用[10#槽钢),5-6m用[12#槽钢)
4.20mm大理石石材墙面，面层做防护剂两遍
5.其它说明：满足规范和设计图纸要求</t>
  </si>
  <si>
    <t>1.ST03石材墙面
2.素水泥浆一遍
3.10mm厚1:3水泥砂浆结合层
4.20mm厚大理石石材墙面，面层做防护剂两遍
5.其它说明：满足规范和设计图纸要求</t>
  </si>
  <si>
    <t>1.ST04石材墙面
2.素水泥浆一遍
3.10mm厚1:3水泥砂浆结合层
4.20mm厚水磨石石材墙面，面层做防护剂两遍
5.其它说明：满足规范和设计图纸要求</t>
  </si>
  <si>
    <t>墙面装饰板</t>
  </si>
  <si>
    <t>1.MT01不锈钢墙面
2.原有建筑墙体
3.15mm厚阻燃板基层
4.1.2mm厚仿铜色不锈钢饰面
5.其它说明：满足规范和设计图纸要求</t>
  </si>
  <si>
    <t>块料墙面</t>
  </si>
  <si>
    <t>1.CT02瓷砖墙面
2.素水泥浆一遍
3.5mm厚1:1水泥砂浆加水重20%建筑胶结合层(浅色石材用白水泥)(石材背面、侧面需做防护及背胶处理)或瓷砖胶粘贴瓷砖
4.12mm厚800*800瓷砖墙面，瓷砖勾缝处理
5.其它说明：满足规范和设计图纸要求</t>
  </si>
  <si>
    <t>1.木骨架
2.15mm厚阻燃板基层
3.5mm密度板基层
4.WD01木饰面成品板
5.其它说明：满足规范和设计图纸要求</t>
  </si>
  <si>
    <t>金属字</t>
  </si>
  <si>
    <t>1.定制成品发光字
2.规格：300*300
3.其它说明：满足规范和设计图纸要求</t>
  </si>
  <si>
    <t>1.定制成品发光字
2.规格：800*800
3.其它说明：满足规范和设计图纸要求</t>
  </si>
  <si>
    <t>金属踢脚线</t>
  </si>
  <si>
    <t>1.15mm厚阻燃板基层
2.1.2mm厚仿铜色不锈钢踢脚线
3.其它说明：满足规范和设计图纸要求</t>
  </si>
  <si>
    <t>矮柜</t>
  </si>
  <si>
    <t>1.大理石矮柜
2.其它说明：满足规范和设计图纸要求</t>
  </si>
  <si>
    <t>木柜</t>
  </si>
  <si>
    <r>
      <rPr>
        <sz val="9"/>
        <color rgb="FF000000"/>
        <rFont val="宋体"/>
        <charset val="134"/>
      </rPr>
      <t>1.PVC01木纹贴膜</t>
    </r>
    <r>
      <rPr>
        <sz val="9"/>
        <color rgb="FF000000"/>
        <rFont val="宋体"/>
        <charset val="134"/>
      </rPr>
      <t xml:space="preserve">
</t>
    </r>
    <r>
      <rPr>
        <sz val="9"/>
        <color rgb="FF000000"/>
        <rFont val="宋体"/>
        <charset val="134"/>
      </rPr>
      <t>2.15厚阻燃板基层</t>
    </r>
    <r>
      <rPr>
        <sz val="9"/>
        <color rgb="FF000000"/>
        <rFont val="宋体"/>
        <charset val="134"/>
      </rPr>
      <t xml:space="preserve">
</t>
    </r>
    <r>
      <rPr>
        <sz val="9"/>
        <color rgb="FF000000"/>
        <rFont val="宋体"/>
        <charset val="134"/>
      </rPr>
      <t>3.立板：20mmPVC01木纹贴膜</t>
    </r>
    <r>
      <rPr>
        <sz val="9"/>
        <color rgb="FF000000"/>
        <rFont val="宋体"/>
        <charset val="134"/>
      </rPr>
      <t xml:space="preserve">
</t>
    </r>
    <r>
      <rPr>
        <sz val="9"/>
        <color rgb="FF000000"/>
        <rFont val="宋体"/>
        <charset val="134"/>
      </rPr>
      <t>4.置物板：50mmPVC01木纹贴膜</t>
    </r>
    <r>
      <rPr>
        <sz val="9"/>
        <color rgb="FF000000"/>
        <rFont val="宋体"/>
        <charset val="134"/>
      </rPr>
      <t xml:space="preserve">
</t>
    </r>
    <r>
      <rPr>
        <sz val="9"/>
        <color rgb="FF000000"/>
        <rFont val="宋体"/>
        <charset val="134"/>
      </rPr>
      <t>5.其它说明：满足规范和设计图纸要求</t>
    </r>
  </si>
  <si>
    <t>格栅墙面</t>
  </si>
  <si>
    <t>1.不锈钢格栅墙面
2.原建筑墙体/新建墙体
3.15mm厚阻燃板基层
4.MT01不锈钢面层
5.40*30不锈钢格栅，间距60
6.其它说明：满足规范和设计图纸要求</t>
  </si>
  <si>
    <t>镜面玻璃</t>
  </si>
  <si>
    <t>1.银镜
2.原建筑墙体/新建墙体
3.18mm厚阻燃板基层
4.6mm厚银镜，四面磨光
5.其它说明：满足规范和设计图纸要求</t>
  </si>
  <si>
    <t>1.欧灰玻
2.原建筑墙体/新建墙体
3.18mm厚阻燃板基层
4.6mm厚欧灰玻，四面磨光
5.其它说明：满足规范和设计图纸要求</t>
  </si>
  <si>
    <t>绿植墙（软装）</t>
  </si>
  <si>
    <t>1.软装绿植墙
2.卡式龙骨配50副龙骨(装饰层80mm左右)、中距400
3.15mm阻燃板墙面基层
4.15mm密度板(防火防潮防蛀处理)
5.软包用泡沫海绵做内衬
6.织物面料</t>
  </si>
  <si>
    <t>样板层（东半层）</t>
  </si>
  <si>
    <t>.</t>
  </si>
  <si>
    <t>样板层</t>
  </si>
  <si>
    <t>1.CT03瓷砖地面（B栋标准层走廊局部）
2.含地砖美缝
3.12mm厚800*1600瓷砖面层（含地砖美缝）
4.5-10mm水泥胶结合层或瓷砖胶
5.30mm厚1:3干硬性水泥砂浆
6.素水泥砂浆结合层一遍
7.其它说明：满足规范和设计图纸要求</t>
  </si>
  <si>
    <t>1.WD05仿金属成品板吊顶
2.钢筋混凝土楼板
3.轻钢主龙骨(金属吊件连接)
4.轻钢次龙骨、收边轻钢龙骨(专用连接挂件)
5.15mm厚阻燃板基层
6.仿金属成品木板饰面
7.作法详见天花节点
8.其它说明：满足规范和设计图纸要求</t>
  </si>
  <si>
    <t>1.木骨架
2.15mm厚阻燃板基层
3.5mm密度板基层
4.WD05仿金属成品板
5.其它说明：满足规范和设计图纸要求</t>
  </si>
  <si>
    <t>1.木骨架
2.15mm厚阻燃板基层
3.5mm密度板基层
4.WD04仿布纹成品板
5.其它说明：满足规范和设计图纸要求</t>
  </si>
  <si>
    <t>1.木骨架
2.15mm厚阻燃板基层
3.5mm密度板基层
4.WD03仿石材成品板
5.其它说明：满足规范和设计图纸要求</t>
  </si>
  <si>
    <r>
      <rPr>
        <sz val="9"/>
        <color rgb="FF000000"/>
        <rFont val="宋体"/>
        <charset val="134"/>
      </rPr>
      <t>1.木骨架</t>
    </r>
    <r>
      <rPr>
        <sz val="9"/>
        <color rgb="FF000000"/>
        <rFont val="宋体"/>
        <charset val="134"/>
      </rPr>
      <t xml:space="preserve">
</t>
    </r>
    <r>
      <rPr>
        <sz val="9"/>
        <color rgb="FF000000"/>
        <rFont val="宋体"/>
        <charset val="134"/>
      </rPr>
      <t>2.15mm厚阻燃板基层</t>
    </r>
    <r>
      <rPr>
        <sz val="9"/>
        <color rgb="FF000000"/>
        <rFont val="宋体"/>
        <charset val="134"/>
      </rPr>
      <t xml:space="preserve">
</t>
    </r>
    <r>
      <rPr>
        <sz val="9"/>
        <color rgb="FF000000"/>
        <rFont val="宋体"/>
        <charset val="134"/>
      </rPr>
      <t>3.5mm密度板基层</t>
    </r>
    <r>
      <rPr>
        <sz val="9"/>
        <color rgb="FF000000"/>
        <rFont val="宋体"/>
        <charset val="134"/>
      </rPr>
      <t xml:space="preserve">
</t>
    </r>
    <r>
      <rPr>
        <sz val="9"/>
        <color rgb="FF000000"/>
        <rFont val="宋体"/>
        <charset val="134"/>
      </rPr>
      <t>4.WD02仿木纹成品板</t>
    </r>
    <r>
      <rPr>
        <sz val="9"/>
        <color rgb="FF000000"/>
        <rFont val="宋体"/>
        <charset val="134"/>
      </rPr>
      <t xml:space="preserve">
</t>
    </r>
    <r>
      <rPr>
        <sz val="9"/>
        <color rgb="FF000000"/>
        <rFont val="宋体"/>
        <charset val="134"/>
      </rPr>
      <t>5.其它说明：满足规范和设计图纸要求</t>
    </r>
  </si>
  <si>
    <t>艺术字板</t>
  </si>
  <si>
    <t>1.定制成品艺术字门牌
2.其它说明：满足规范和设计图纸要求</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</si>
  <si>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</si>
  <si>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</si>
  <si>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</si>
  <si>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</si>
  <si>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</si>
  <si>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</si>
  <si>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</si>
  <si>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</si>
  <si>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</si>
  <si>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</si>
  <si>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</si>
  <si>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</si>
  <si>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</si>
  <si>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t>m</t>
  </si>
  <si>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</si>
  <si>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</si>
  <si>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</si>
  <si>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</si>
  <si>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</si>
  <si>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</si>
  <si>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</si>
  <si>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</si>
  <si>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</si>
  <si>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</si>
  <si>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</si>
  <si>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</si>
  <si>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</si>
  <si>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</si>
  <si>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</si>
  <si>
    <t>价格清单（开元壹号62#地块50#公寓公区装饰工程）(安装部分)</t>
  </si>
  <si>
    <t>备 注
（品牌/厂家）</t>
  </si>
  <si>
    <t>y</t>
  </si>
  <si>
    <t>B栋</t>
  </si>
  <si>
    <t>一层大堂</t>
  </si>
  <si>
    <t>精装修(一层大堂)</t>
  </si>
  <si>
    <t>配管</t>
  </si>
  <si>
    <t>1.名称:电气配管
2.规格:JDG20
3.配置形式:吊顶内明敷
4.其它说明：满足规范和设计图纸要求</t>
  </si>
  <si>
    <t>1.名称:电气配管
2.规格:JDG20
3.配置形式:暗敷
4.其它说明：满足规范和设计图纸要求</t>
  </si>
  <si>
    <t>1.名称:电气配管
2.规格:SC20
3.配置形式:吊顶内明敷
4.其它说明：满足规范和设计图纸要求</t>
  </si>
  <si>
    <t>配线</t>
  </si>
  <si>
    <t>1.名称:铜芯导线
2.规格、型号:WDZB-BYJ-2.5
3.敷设方式:穿管敷设
4.其它说明：满足规范和设计图纸要求</t>
  </si>
  <si>
    <t>1.名称:铜芯导线
2.规格、型号:WDZB-BYJ-2.5
3.敷设方式:桥架内敷设
4.其它说明：满足规范和设计图纸要求</t>
  </si>
  <si>
    <t>1.名称:铜芯导线
2.规格、型号:WDZB-BYJ-4
3.敷设方式:穿管敷设
4.其它说明：满足规范和设计图纸要求</t>
  </si>
  <si>
    <t>1.名称:配线
2.规格、型号:NH-RVS-2*4
3.敷设方式:穿管敷设
4.其它说明：满足规范和设计图纸要求</t>
  </si>
  <si>
    <t>装饰灯</t>
  </si>
  <si>
    <t>1.名称:嵌装式组合射灯(入射角可调)-S1
2.规格:详见图纸
3.安装方式:嵌入式
4.其它说明：满足规范和设计图纸要求</t>
  </si>
  <si>
    <t>套</t>
  </si>
  <si>
    <t>1.名称:嵌入式轨道射灯(入射角可调)-G2
2.规格:详见图纸
3.安装方式:嵌入式
4.其它说明：满足规范和设计图纸要求</t>
  </si>
  <si>
    <t>轨道</t>
  </si>
  <si>
    <t>1.名称:轨道
2.规格:详见图纸
3.安装方式:嵌入式
4.其它说明：满足规范和设计图纸要求</t>
  </si>
  <si>
    <t>1.名称:嵌入式格栅灯(入射角可调)-G1
2.规格:详见图纸
3.安装方式:嵌入式
4.其它说明：满足规范和设计图纸要求</t>
  </si>
  <si>
    <t>1.名称:嵌装式应急筒灯-E
2.规格:详见图纸
3.安装方式:嵌入式
4.其它说明：满足规范和设计图纸要求</t>
  </si>
  <si>
    <t>1.名称:嵌装式射灯(入射角可调)-S2
2.规格:详见图纸
3.安装方式:嵌入式
4.其它说明：满足规范和设计图纸要求</t>
  </si>
  <si>
    <t>1.名称:防水式射灯(入射角可调)-SW
2.规格:详见图纸
3.安装方式:吊装
4.其它说明：满足规范和设计图纸要求</t>
  </si>
  <si>
    <t>1.名称:筒灯-T1
2.规格:详见图纸
3.其它说明：满足规范和设计图纸要求</t>
  </si>
  <si>
    <t>1.名称:LED灯带
2.规格:详见图纸
3.安装方式:天棚内
4.其它说明：满足规范和设计图纸要求</t>
  </si>
  <si>
    <t>1.名称:内嵌型led型材灯（含型材）
2.规格:详见图纸
3.安装方式:天棚内
4.其它说明：满足规范和设计图纸要求</t>
  </si>
  <si>
    <t>照明开关</t>
  </si>
  <si>
    <t>1.名称:单极开关
2.规格:250V/10A
3.安装方式:暗装</t>
  </si>
  <si>
    <t>1.名称:双极开关
2.规格:250V/10A
3.安装方式:暗装</t>
  </si>
  <si>
    <t>1.名称:三极开关
2.规格:250V/10A
3.安装方式:暗装</t>
  </si>
  <si>
    <t>1.名称:红外感应开关
2.规格:250V/10A
3.安装方式:暗装</t>
  </si>
  <si>
    <t>插座</t>
  </si>
  <si>
    <t>1.名称：单相五孔插座
2.规格：250V 10A
3.安装方式：暗装</t>
  </si>
  <si>
    <t>1.名称：电梯厅广告插座
2.规格：250V 10A
3.安装方式：地面暗装</t>
  </si>
  <si>
    <t>1.名称：防水五孔插座
2.规格：250V 10A
3.安装方式：暗装</t>
  </si>
  <si>
    <t>1.名称：2个并排五孔插座
2.规格：250V 10A
3.安装方式：暗装</t>
  </si>
  <si>
    <t>凿槽</t>
  </si>
  <si>
    <t>1.名称：剔槽</t>
  </si>
  <si>
    <t>接线盒</t>
  </si>
  <si>
    <t>1.名称:接线盒
2.材质:详见图纸
3.安装形式:明装</t>
  </si>
  <si>
    <t>应急照明（(一层大堂)）</t>
  </si>
  <si>
    <t>应急照明控制器</t>
  </si>
  <si>
    <t>1.名称：应急照明控制器
2.型号：TY-C</t>
  </si>
  <si>
    <t>应急照明电源</t>
  </si>
  <si>
    <t>1.名称:A型应急照明集中电源
2.规格:TY-D-nKVA
3.距地1.2米明装</t>
  </si>
  <si>
    <t>1.名称:安全出口标志灯
2.规格:TY-BLJC系列 1W
3.门框上面0.2米壁挂</t>
  </si>
  <si>
    <t>1.名称:方向标志灯(单向不可调)
2.规格:TY-BLJC系列 1W
3.距地0.5米壁挂</t>
  </si>
  <si>
    <t>1.名称:方向标志灯(双向可调)
2.规格:TY-BLJC系列 1W
3.距地0.5米壁挂</t>
  </si>
  <si>
    <t>1.名称:楼层标志灯
2.规格:TY-BLJC系列 1W
3.距地2.2米壁挂</t>
  </si>
  <si>
    <t>1.名称:消防应急照明灯具
2.规格:TY-BLJC系列 1W
3.距地2.5米壁挂</t>
  </si>
  <si>
    <t>1.名称:单面多信息复合指示灯
2.规格:TY-BLJC系列 1W
3.距地2.5米壁挂</t>
  </si>
  <si>
    <t>1.名称:双面多信息复合指示灯
2.规格:TY-BLJC系列 1W
3.距地2.5米壁挂</t>
  </si>
  <si>
    <t>1.名称:配线
2.规格、型号:NH-RVSP-2*1.5
3.敷设方式:穿管敷设
4.其它说明：满足规范和设计图纸要求</t>
  </si>
  <si>
    <t>1.名称:金属软管
2.其它说明：满足规范和设计图纸要求</t>
  </si>
  <si>
    <t>1.名称:铜芯导线
2.规格、型号:WDZBN-BYJ-2.5
3.敷设方式:穿管敷设
4.其它说明：满足规范和设计图纸要求</t>
  </si>
  <si>
    <t>28层东侧</t>
  </si>
  <si>
    <t>精装修（28层东侧）</t>
  </si>
  <si>
    <t>1.名称:LED灯带（粗灯带）
2.规格:详见图纸
3.安装方式:天棚内
4.其它说明：满足规范和设计图纸要求</t>
  </si>
  <si>
    <t>应急照明（28层东侧）</t>
  </si>
  <si>
    <t>1.名称:避难间出口标志灯
2.规格:TY-BLJC系列 1W
3.门框上面0.2米壁挂</t>
  </si>
  <si>
    <t>1.名称:避难间入口标志灯
2.规格:TY-BLJC系列 1W
3.门框上面0.2米壁挂</t>
  </si>
  <si>
    <t>1.名称:双面吊装标志灯
2.规格:TY-BLJC系列 1W
3.距地2.5米壁挂</t>
  </si>
  <si>
    <t>1.名称:配线
2.规格、型号:NH-RVS-2*2.5
3.敷设方式:穿管敷设
4.其它说明：满足规范和设计图纸要求</t>
  </si>
  <si>
    <t>开元壹号50公寓楼28层样板层增加清单与计价表</t>
  </si>
  <si>
    <t>含税合价(元)=g*f</t>
  </si>
  <si>
    <t>主材费
b</t>
  </si>
  <si>
    <t>一</t>
  </si>
  <si>
    <t>28层整层桥架（强电+弱电）</t>
  </si>
  <si>
    <t>桥架</t>
  </si>
  <si>
    <t>1.名称:桥架
2.型号:100*100
3.其它:满足图纸要求，满足接地要求，满足设计及规范相关要求
4.含与之相关的一切费用</t>
  </si>
  <si>
    <t>1.名称:桥架
2.型号:200*100
3.其它:满足图纸要求，满足接地要求，满足设计及规范相关要求
4.含与之相关的一切费用</t>
  </si>
  <si>
    <t>1.名称:桥架
2.型号:300*100
3.其它:满足图纸要求，满足接地要求，满足设计及规范相关要求
4.含与之相关的一切费用</t>
  </si>
  <si>
    <t>管道支架制作安装</t>
  </si>
  <si>
    <t>1.名称:管道支架制作安装
2.消防支架应符合图纸及相关技术规范的要求</t>
  </si>
  <si>
    <t>支架防腐</t>
  </si>
  <si>
    <t>1.名称:支架防腐
2.刷漆及防腐:详见图纸</t>
  </si>
  <si>
    <t>28层东半层ALK1户箱入户进线（16户）</t>
  </si>
  <si>
    <t>1.名称：户箱进线
2.规格：WDZB-BYJ-6
3.敷设方式：穿管、桥架内敷设
4.含安装和相关配件、辅材,相关调试，未详尽处满足图纸设计、满足相关规范要求</t>
  </si>
  <si>
    <t>米</t>
  </si>
  <si>
    <t>1.名称：金属软管（1米）
2.规格：DN25
3.敷设方式：穿管、桥架内敷设
4.含安装和相关配件、辅材,相关调试，未详尽处满足图纸设计、满足相关规范要求</t>
  </si>
  <si>
    <t>三</t>
  </si>
  <si>
    <t>28层东半层消火栓</t>
  </si>
  <si>
    <t>消火栓钢管</t>
  </si>
  <si>
    <t>1.名称:内外壁热镀锌钢管
2.规格:DN100，压力等级为1.6MPa
3.连接形式:卡箍连接
4.含压力试验及冲洗
5.含卡箍管件
6.管道刷漆及防腐:按图纸及规范设计要求
7.其它未尽事宜详见图纸（含与之相关的一切费用）</t>
  </si>
  <si>
    <t>1.名称:内外壁热镀锌钢管
2.规格:DN65，压力等级为1.6MPa
3.连接形式:卡箍连接
4.含压力试验及冲洗
5.含卡箍管件
6.管道刷漆及防腐:按图纸及规范设计要求
7.其它未尽事宜详见图纸（含与之相关的一切费用）</t>
  </si>
  <si>
    <t>单栓室内消火栓</t>
  </si>
  <si>
    <t>1.名称:单栓室内消火栓（详见图集15S202）
2.型号、规格:SN65栓口、衬胶水龙带25m及直径19mm水枪各一支,组合式箱体内带贮压式磷酸铵盐干粉灭火器二具，带消防卷盘
3.其它未尽事宜详见图纸（含与之相关的一切费用）</t>
  </si>
  <si>
    <t>开洞</t>
  </si>
  <si>
    <r>
      <rPr>
        <sz val="9"/>
        <rFont val="宋体"/>
        <charset val="134"/>
      </rPr>
      <t>1.名称:梁底开洞</t>
    </r>
    <r>
      <rPr>
        <sz val="9"/>
        <rFont val="宋体"/>
        <charset val="134"/>
      </rPr>
      <t>Ø</t>
    </r>
    <r>
      <rPr>
        <sz val="9"/>
        <rFont val="宋体"/>
        <charset val="134"/>
      </rPr>
      <t>110
2.满足现场需求，满足设计规范（含与之相关的一切费用）</t>
    </r>
  </si>
  <si>
    <t>堵洞</t>
  </si>
  <si>
    <r>
      <rPr>
        <sz val="9"/>
        <rFont val="宋体"/>
        <charset val="134"/>
      </rPr>
      <t>1.名称:堵洞</t>
    </r>
    <r>
      <rPr>
        <sz val="9"/>
        <rFont val="宋体"/>
        <charset val="134"/>
      </rPr>
      <t>Ø</t>
    </r>
    <r>
      <rPr>
        <sz val="9"/>
        <rFont val="宋体"/>
        <charset val="134"/>
      </rPr>
      <t>110
2.满足现场需求，满足设计规范（含与之相关的一切费用）</t>
    </r>
  </si>
  <si>
    <t>四</t>
  </si>
  <si>
    <t>28层东半层喷淋</t>
  </si>
  <si>
    <t>水喷淋钢管</t>
  </si>
  <si>
    <t>1.名称:内外壁热镀锌钢管
2.规格:DN150
3.连接形式:卡箍连接
4.含压力试验及冲洗
5.含卡箍管件
6.管道刷漆及防腐:按图纸及规范设计要求
7.其它未尽事宜详见图纸（含与之相关的一切费用）</t>
  </si>
  <si>
    <t>1.名称:内外壁热镀锌钢管
2.规格:DN100
3.连接形式:卡箍连接
4.含压力试验及冲洗
5.含卡箍管件
6.管道刷漆及防腐:按图纸及规范设计要求
7.其它未尽事宜详见图纸（含与之相关的一切费用）</t>
  </si>
  <si>
    <t>1.名称:内外壁热镀锌钢管
2.规格:DN80
3.连接形式:卡箍连接
4.含压力试验及冲洗
5.含卡箍管件
6.管道刷漆及防腐:按图纸及规范设计要求
7.其它未尽事宜详见图纸（含与之相关的一切费用）</t>
  </si>
  <si>
    <t>1.名称:内外壁热镀锌钢管
2.规格:DN65
3.连接形式:卡箍连接
4.含压力试验及冲洗
5.含卡箍管件
6.管道刷漆及防腐:按图纸及规范设计要求
7.其它未尽事宜详见图纸（含与之相关的一切费用）</t>
  </si>
  <si>
    <t>1.名称:内外壁热镀锌钢管
2.规格:DN50
3.连接形式:螺纹连接
4.含压力试验及冲洗
5.含螺纹管件
6.管道刷漆及防腐:按图纸及规范设计要求
7.其它未尽事宜详见图纸（含与之相关的一切费用）</t>
  </si>
  <si>
    <t>1.名称:内外壁热镀锌钢管
2.规格:DN40
3.连接形式:螺纹连接
4.含压力试验及冲洗
5.含螺纹管件
6.管道刷漆及防腐:按图纸及规范设计要求
7.其它未尽事宜详见图纸（含与之相关的一切费用）</t>
  </si>
  <si>
    <t>1.名称:内外壁热镀锌钢管
2.规格:DN32
3.连接形式:螺纹连接
4.含压力试验及冲洗
5.含螺纹管件
6.管道刷漆及防腐:按图纸及规范设计要求
7.其它未尽事宜详见图纸（含与之相关的一切费用）</t>
  </si>
  <si>
    <t>1.名称:内外壁热镀锌钢管
2.规格:DN25
3.连接形式:螺纹连接
4.压力试验及冲洗
5.含螺纹管件
6.管道刷漆及防腐:按图纸及规范设计要求
7.其它未尽事宜详见图纸（含与之相关的一切费用）</t>
  </si>
  <si>
    <t>快速响应喷头（侧喷）</t>
  </si>
  <si>
    <t>1.名称:加强型侧喷喷头
2.型号、规格:流量系数K=115,温级68℃
3.其它未尽事宜详见图纸（含与之相关的一切费用）</t>
  </si>
  <si>
    <t>下垂式玻璃球喷头</t>
  </si>
  <si>
    <t>1.名称:闭式直立型玻璃球喷头
2.型号、规格:流量系数K=80,温级68℃
3.其它未尽事宜详见图纸（含与之相关的一切费用）</t>
  </si>
  <si>
    <t>信号阀</t>
  </si>
  <si>
    <t>1.名称:信号阀
2.规格:DN150，压力等级为1.6MPa
3.连接形式:法兰连接
4.其它未尽事宜详见图纸设计</t>
  </si>
  <si>
    <t>流量计</t>
  </si>
  <si>
    <t>1.名称:流量计
2.规格:DN150，压力等级为1.6MPa
3.连接形式:法兰连接
4.其它未尽事宜详见图纸设计</t>
  </si>
  <si>
    <t>截止阀</t>
  </si>
  <si>
    <t>1.名称:截止阀
2.规格:DN150，压力等级为1.6MPa
3.连接形式:法兰连接
4.其它未尽事宜详见图纸设计</t>
  </si>
  <si>
    <t>五</t>
  </si>
  <si>
    <t>28层东半层防排烟</t>
  </si>
  <si>
    <t>碳钢通风管道</t>
  </si>
  <si>
    <t>1.名称:矩形风管（）
2.材质:镀锌钢板
3.形状:矩形
4.规格:450mm＜长边长≤1000mm
5.板材厚度:1.0mm
6.管件、法兰等附件及支架设计要求:按规范要求
7.与其他专业之间的避让、翻弯
8.其它未尽事宜详见图纸（含与之相关的一切费用）</t>
  </si>
  <si>
    <t>挡烟垂壁</t>
  </si>
  <si>
    <t>1.名称:活动挡烟垂壁
2.材质:1500mm（H）
3.其它未尽事宜详见图纸及规范要求（含与之相关的一切费用）</t>
  </si>
  <si>
    <t>碳钢风口</t>
  </si>
  <si>
    <t>1.名称:单层格栅风口
2.规格:630*500,AH
3.其它未尽事宜详见图纸（含与之相关的一切费用）</t>
  </si>
  <si>
    <t>防火阀</t>
  </si>
  <si>
    <t>1.名称:280℃防火阀
2.规格:800*320,FDSH
3.其它未尽事宜详见图纸及规范要求（含与之相关的一切费用）</t>
  </si>
  <si>
    <t>排烟阀</t>
  </si>
  <si>
    <t>1.名称:排烟阀
2.规格:800*320,BEC
3.其它未尽事宜详见图纸及规范要求（含与之相关的一切费用）</t>
  </si>
  <si>
    <t>六</t>
  </si>
  <si>
    <t>28层整层消防电</t>
  </si>
  <si>
    <t>1.名称:火灾报警信号S
2.配线形式:穿管或桥架敷设
3.型号:WDZN-RYJS-2*1.5
4.其它未尽事宜详见图纸（含与之相关的一切费用）</t>
  </si>
  <si>
    <t>1.名称:联动电源线D
2.配线形式:穿管或桥架敷设
3.型号:WDZCN-BYJ-2.5
4.其它未尽事宜详见图纸（含与之相关的一切费用）</t>
  </si>
  <si>
    <t>1.名称:消防总线电话线F
2.配线形式:穿管或桥架敷设
3.型号:WZCN-RYJS-2x1.5
4.其它未尽事宜详见图纸（含与之相关的一切费用）</t>
  </si>
  <si>
    <t>1.名称:消防广播线B
2.配线形式:穿管或桥架敷设
3.型号:WZCN-RYJS-2x1.5
4.其它未尽事宜详见图纸（含与之相关的一切费用）</t>
  </si>
  <si>
    <t>1.名称:多线联动控制线C
2.配线形式:穿管或桥架敷设
3.型号:WZCN-KYJY-7x1.5
4.其它未尽事宜详见图纸（含与之相关的一切费用）</t>
  </si>
  <si>
    <t>1.名称:连锁控制线C1
2.配线形式:穿管或桥架敷设
3.型号:WZCN-RYJS-2x1.5
4.其它未尽事宜详见图纸（含与之相关的一切费用）</t>
  </si>
  <si>
    <t>1.名称:消防设备电源监控线
2.配线形式:穿管或桥架敷设
3.型号:RYJSP2X1.0
4.其它未尽事宜详见图纸（含与之相关的一切费用）</t>
  </si>
  <si>
    <t>1.名称:电气火灾监控线
2.配线形式:穿管或桥架敷设
3.型号:WZCN-RVS 2x1.5
4.其它未尽事宜详见图纸（含与之相关的一切费用）</t>
  </si>
  <si>
    <t>1.名称:配管
2.型号:JDG15
3.其它未尽事宜详见图纸（含与之相关的一切费用）</t>
  </si>
  <si>
    <t>1.名称:配管
2.型号:JDG20
3.其它未尽事宜详见图纸（含与之相关的一切费用）</t>
  </si>
  <si>
    <t>短路隔离器</t>
  </si>
  <si>
    <t>1.名称:短路隔离器
2.其它未尽事宜详见图纸（含与之相关的一切费用）</t>
  </si>
  <si>
    <t>台</t>
  </si>
  <si>
    <t>感烟探测器</t>
  </si>
  <si>
    <t>1.名称:感烟探测器
2.其它未尽事宜详见图纸（含与之相关的一切费用）</t>
  </si>
  <si>
    <t>感温探测器</t>
  </si>
  <si>
    <t>1.名称:感温探测器
2.其它未尽事宜详见图纸（含与之相关的一切费用）</t>
  </si>
  <si>
    <t>带电话插孔的手动报警按钮</t>
  </si>
  <si>
    <t>1.名称:带电话插孔的手动报警按钮
2.其它未尽事宜详见图纸（含与之相关的一切费用）</t>
  </si>
  <si>
    <t>火灾声光警报器</t>
  </si>
  <si>
    <t>1.名称:火灾声光警报器
2.其它未尽事宜详见图纸（含与之相关的一切费用）</t>
  </si>
  <si>
    <t>消火栓按钮</t>
  </si>
  <si>
    <t>1.名称:消火栓按钮
2.其它未尽事宜详见图纸（含与之相关的一切费用）</t>
  </si>
  <si>
    <t>火灾报警电话</t>
  </si>
  <si>
    <t>1.名称:报警电话
2.其它未尽事宜详见图纸（含与之相关的一切费用）</t>
  </si>
  <si>
    <t>吸顶式火警扬声器</t>
  </si>
  <si>
    <t>1.名称:广播音箱
2.其它未尽事宜详见图纸（含与之相关的一切费用）</t>
  </si>
  <si>
    <t>消防接线端子及模块箱</t>
  </si>
  <si>
    <t>1.名称:消防接线端子及模块箱
2.其它未尽事宜详见图纸（含与之相关的一切费用）</t>
  </si>
  <si>
    <t>输入模块</t>
  </si>
  <si>
    <t>1.名称:输入模块
2.其它未尽事宜详见图纸（含与之相关的一切费用）</t>
  </si>
  <si>
    <t>输入/输出模块</t>
  </si>
  <si>
    <t>1.名称:输入/输出模块
2.其它未尽事宜详见图纸（含与之相关的一切费用）</t>
  </si>
  <si>
    <t>双输入/双输出模块</t>
  </si>
  <si>
    <t>1.名称:双输入/双输出模块
2.其它未尽事宜详见图纸（含与之相关的一切费用）</t>
  </si>
  <si>
    <t>消防电话专用模块</t>
  </si>
  <si>
    <t>1.名称:消防电话专用模块
2.其它未尽事宜详见图纸（含与之相关的一切费用）</t>
  </si>
  <si>
    <t>消防切换模块</t>
  </si>
  <si>
    <t>1.名称:消防切换模块
2.其它未尽事宜详见图纸（含与之相关的一切费用）</t>
  </si>
  <si>
    <t>火灾显示盘</t>
  </si>
  <si>
    <t>1.名称:火灾显示盘
2.其它未尽事宜详见图纸（含与之相关的一切费用）</t>
  </si>
  <si>
    <t>七</t>
  </si>
  <si>
    <t>28层东半层采暖（16户）</t>
  </si>
  <si>
    <t>PP-R管</t>
  </si>
  <si>
    <t>1.名称:PP-R管,S3.2
2.规格:DN25
3.其它未尽事宜详见图纸及规范要求（含与之相关的一切费用）</t>
  </si>
  <si>
    <t>保温砂浆</t>
  </si>
  <si>
    <t>1.名称:保温砂浆
2.其它未尽事宜详见图纸及规范要求（含与之相关的一切费用）</t>
  </si>
  <si>
    <t>八</t>
  </si>
  <si>
    <t>28层东半层监控</t>
  </si>
  <si>
    <t>1.名称:UTP5E
2.配线形式:穿管或桥架敷设
3.其它未尽事宜详见图纸（含与之相关的一切费用）</t>
  </si>
  <si>
    <t>200万红外半球摄像机</t>
  </si>
  <si>
    <t>1.名称：200万红外半球摄像机
2.规格：200万像素；支持H.265编码；彩色最低照度0.01Lux；具备红外功能
3.含安装和相关配件、辅材,相关调试，未详尽处满足图纸设计、满足相关规范要求</t>
  </si>
  <si>
    <t>九</t>
  </si>
  <si>
    <t>28层东半层精装门洞口抹灰及门套（16套）</t>
  </si>
  <si>
    <t>门洞口抹灰</t>
  </si>
  <si>
    <t>1.门洞口抹灰</t>
  </si>
  <si>
    <t>门套</t>
  </si>
  <si>
    <t>1.门套安装</t>
  </si>
  <si>
    <t>十</t>
  </si>
  <si>
    <t>一层大堂+东电梯前室智能化</t>
  </si>
  <si>
    <t>云对讲主机</t>
  </si>
  <si>
    <t>1.名称：云对讲主机
2.规格：4寸，液晶屏；电容式触控屏，具有人脸识别、二维码、刷卡、密码、蓝牙功能；配防雨罩
3.含安装和相关配件、辅材,相关调试，未详尽处满足图纸设计、满足相关规范要求</t>
  </si>
  <si>
    <t>单机芯翼闸</t>
  </si>
  <si>
    <t>1.名称：单机芯翼闸
2.规格：单机芯，通道宽度600mm；采用不锈钢材质制作；内置嵌入式读卡器，可通过刷卡、二维码开启
3.含安装和相关配件、辅材,相关调试，未详尽处满足图纸设计、满足相关规范要求</t>
  </si>
  <si>
    <t>双机芯翼闸</t>
  </si>
  <si>
    <t>1.名称：双机芯翼闸
2.规格：双机芯，通道宽度600mm；采用不锈钢材质制作；内置嵌入式读卡器，可通过刷卡、二维码开启3.含安装和相关配件、辅材,相关调试，未详尽处满足图纸设计、满足相关规范要求</t>
  </si>
  <si>
    <t>1.名称:WDZBN-YJV-3*4
2.配线形式:穿管或桥架敷设
3.其它未尽事宜详见图纸（含与之相关的一切费用）</t>
  </si>
  <si>
    <t>1.名称:WDZBN-YJV-3*2.5
2.配线形式:穿管或桥架敷设
3.其它未尽事宜详见图纸（含与之相关的一切费用）</t>
  </si>
  <si>
    <t>1.名称:阻水UTP5E
2.配线形式:穿管或桥架敷设
3.其它未尽事宜详见图纸（含与之相关的一切费用）</t>
  </si>
  <si>
    <t>1.名称:RVV2*1.0
2.配线形式:穿管或桥架敷设
3.其它未尽事宜详见图纸（含与之相关的一切费用）</t>
  </si>
  <si>
    <t>十一</t>
  </si>
  <si>
    <t>一层大堂+东电梯前室排水</t>
  </si>
  <si>
    <t>塑料管</t>
  </si>
  <si>
    <t>1.名称:普通UPVC雨水管(抗紫外线)
2.规格:De50
3.连接形式:粘接连接
4.含管件等与之相关的一切费用</t>
  </si>
  <si>
    <t>1.名称:普通UPV-U排水塑料管
2.规格:DN100
3.连接形式:粘接连接
4.含管件等与之相关的一切费用</t>
  </si>
  <si>
    <t>1.名称:超静音HDPE单叶片内螺旋管
2.规格:DN100
3.连接形式:柔性承插连接
4.含管件等与之相关的一切费用</t>
  </si>
  <si>
    <t>1.名称:HDPE三层复合静音管
2.规格:DN100
3.连接形式:柔性承插连接
4.含管件等与之相关的一切费用</t>
  </si>
  <si>
    <t>1.名称:柔性机制排水铸铁管
2.规格:DN100
3.连接形式:不锈钢法兰橡胶圈接口
4.含管件等与之相关的一切费用</t>
  </si>
  <si>
    <t>十二</t>
  </si>
  <si>
    <t>一层大堂+东电梯前室消火栓</t>
  </si>
  <si>
    <t>1.名称:内外壁热镀锌钢管
2.规格:DN150，压力等级为1.6MPa
3.连接形式:卡箍连接
4.含压力试验及冲洗
5.含卡箍管件
6.管道刷漆及防腐:按图纸及规范设计要求
7.其它未尽事宜详见图纸（含与之相关的一切费用）</t>
  </si>
  <si>
    <t>1.名称:蝶阀
2.规格:DN100，压力等级为1.6MPa
3.连接形式:法兰连接
4.其它未尽事宜详见图纸设计</t>
  </si>
  <si>
    <t>十三</t>
  </si>
  <si>
    <t>一层大堂+东电梯前室喷淋</t>
  </si>
  <si>
    <t>十四</t>
  </si>
  <si>
    <t>一层大堂+东电梯前室防排烟</t>
  </si>
  <si>
    <t>1.名称:矩形风管（）
2.材质:镀锌钢板
3.形状:矩形
4.规格:2000mm＜长边长≤4000mm
5.板材厚度:1.5mm
6.管件、法兰等附件及支架设计要求:按规范要求
7.与其他专业之间的避让、翻弯
8.其它未尽事宜详见图纸（含与之相关的一切费用）</t>
  </si>
  <si>
    <t>1.名称:280℃防火阀
2.规格:2500*630,FDSH
3.其它未尽事宜详见图纸及规范要求（含与之相关的一切费用）</t>
  </si>
  <si>
    <t>1.名称:单层格栅风口
2.规格:2000*1600,AH
3.其它未尽事宜详见图纸（含与之相关的一切费用）</t>
  </si>
  <si>
    <t>1.名称:排烟阀
2.规格:2500*630,BEC
3.其它未尽事宜详见图纸及规范要求（含与之相关的一切费用）</t>
  </si>
  <si>
    <t>十五</t>
  </si>
  <si>
    <t>一层大堂+东电梯前室消防电及桥架</t>
  </si>
  <si>
    <t>十六</t>
  </si>
  <si>
    <t>范围说明：1、28层整层桥架（强电+弱电）、消防电；
          2、28层东半层ALK1户箱入户进线（16户）、消火栓、喷淋、防排烟、采暖（16户）、监控、门洞口抹灰及门套；
          3、一层大堂及东电梯前室智能化、 排水、消火栓、喷淋、防排烟、消防电、桥架。</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</si>
</sst>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 "/>
    <numFmt numFmtId="179" formatCode="#,##0_ "/>
    <numFmt numFmtId="180" formatCode="#,##0.0_ "/>
  </numFmts>
  <fonts count="52">
    <font>
      <sz val="10"/>
      <name val="Arial"/>
      <charset val="1"/>
    </font>
    <font>
      <sz val="12"/>
      <name val="宋体"/>
      <charset val="134"/>
    </font>
    <font>
      <sz val="11"/>
      <name val="宋体"/>
      <charset val="134"/>
    </font>
    <font>
      <b/>
      <sz val="12"/>
      <name val="宋体"/>
      <charset val="134"/>
    </font>
    <font>
      <b/>
      <sz val="20"/>
      <name val="宋体"/>
      <charset val="134"/>
    </font>
    <font>
      <b/>
      <sz val="9"/>
      <name val="宋体"/>
      <charset val="134"/>
    </font>
    <font>
      <sz val="9"/>
      <name val="宋体"/>
      <charset val="134"/>
    </font>
    <font>
      <b/>
      <u/>
      <sz val="9"/>
      <name val="宋体"/>
      <charset val="134"/>
    </font>
    <font>
      <sz val="9"/>
      <name val="宋体"/>
      <charset val="134"/>
      <scheme val="minor"/>
    </font>
    <font>
      <sz val="10"/>
      <name val="宋体"/>
      <charset val="134"/>
    </font>
    <font>
      <b/>
      <sz val="11"/>
      <name val="宋体"/>
      <charset val="134"/>
    </font>
    <font>
      <sz val="11"/>
      <color rgb="FF000000"/>
      <name val="宋体"/>
      <charset val="134"/>
    </font>
    <font>
      <sz val="20"/>
      <name val="Arial"/>
      <charset val="134"/>
    </font>
    <font>
      <sz val="9"/>
      <color theme="1"/>
      <name val="宋体"/>
      <charset val="134"/>
      <scheme val="minor"/>
    </font>
    <font>
      <b/>
      <sz val="20"/>
      <color rgb="FF000000"/>
      <name val="宋体"/>
      <charset val="134"/>
    </font>
    <font>
      <sz val="9"/>
      <color rgb="FF000000"/>
      <name val="宋体"/>
      <charset val="134"/>
    </font>
    <font>
      <b/>
      <sz val="16"/>
      <color rgb="FF000000"/>
      <name val="宋体"/>
      <charset val="134"/>
    </font>
    <font>
      <b/>
      <sz val="16"/>
      <name val="宋体"/>
      <charset val="134"/>
    </font>
    <font>
      <sz val="10"/>
      <color theme="1"/>
      <name val="宋体"/>
      <charset val="134"/>
    </font>
    <font>
      <b/>
      <sz val="10"/>
      <color rgb="FF000000"/>
      <name val="宋体"/>
      <charset val="134"/>
    </font>
    <font>
      <b/>
      <sz val="10"/>
      <color theme="1"/>
      <name val="宋体"/>
      <charset val="134"/>
    </font>
    <font>
      <b/>
      <sz val="10"/>
      <name val="宋体"/>
      <charset val="134"/>
    </font>
    <font>
      <b/>
      <sz val="10"/>
      <color rgb="FFFF0000"/>
      <name val="宋体"/>
      <charset val="134"/>
    </font>
    <font>
      <sz val="10"/>
      <color rgb="FF000000"/>
      <name val="宋体"/>
      <charset val="134"/>
    </font>
    <font>
      <sz val="10"/>
      <color rgb="FFFF0000"/>
      <name val="宋体"/>
      <charset val="134"/>
    </font>
    <font>
      <b/>
      <sz val="16"/>
      <name val="楷体_GB2312"/>
      <charset val="134"/>
    </font>
    <font>
      <sz val="10.5"/>
      <name val="楷体_GB2312"/>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
      <name val="Arial"/>
      <charset val="134"/>
    </font>
    <font>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2" borderId="13"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6" fillId="0" borderId="0" applyNumberFormat="0" applyFill="0" applyBorder="0" applyAlignment="0" applyProtection="0">
      <alignment vertical="center"/>
    </xf>
    <xf numFmtId="0" fontId="37" fillId="3" borderId="16" applyNumberFormat="0" applyAlignment="0" applyProtection="0">
      <alignment vertical="center"/>
    </xf>
    <xf numFmtId="0" fontId="38" fillId="4" borderId="17" applyNumberFormat="0" applyAlignment="0" applyProtection="0">
      <alignment vertical="center"/>
    </xf>
    <xf numFmtId="0" fontId="39" fillId="4" borderId="16" applyNumberFormat="0" applyAlignment="0" applyProtection="0">
      <alignment vertical="center"/>
    </xf>
    <xf numFmtId="0" fontId="40" fillId="5" borderId="18" applyNumberFormat="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8" fillId="0" borderId="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176" fontId="48" fillId="0" borderId="1">
      <alignment horizontal="right" vertical="center" wrapText="1"/>
    </xf>
    <xf numFmtId="176" fontId="48" fillId="0" borderId="1">
      <alignment horizontal="right" vertical="center" wrapText="1"/>
    </xf>
    <xf numFmtId="0" fontId="49" fillId="0" borderId="0">
      <alignment vertical="center"/>
    </xf>
    <xf numFmtId="0" fontId="1" fillId="0" borderId="0"/>
    <xf numFmtId="0" fontId="28" fillId="0" borderId="0">
      <alignment vertical="center"/>
    </xf>
    <xf numFmtId="0" fontId="4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28" fillId="0" borderId="0"/>
  </cellStyleXfs>
  <cellXfs count="169">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54" applyFont="1" applyFill="1" applyBorder="1" applyAlignment="1">
      <alignment horizontal="center" vertical="center" wrapText="1"/>
    </xf>
    <xf numFmtId="0" fontId="5" fillId="0" borderId="1" xfId="54" applyFont="1" applyFill="1" applyBorder="1" applyAlignment="1">
      <alignment horizontal="center" vertical="center" wrapText="1"/>
    </xf>
    <xf numFmtId="176" fontId="5" fillId="0" borderId="1" xfId="54"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54" applyFont="1" applyFill="1" applyBorder="1" applyAlignment="1">
      <alignment horizontal="left" vertical="center" wrapText="1"/>
    </xf>
    <xf numFmtId="0" fontId="5" fillId="0" borderId="3" xfId="54" applyFont="1" applyFill="1" applyBorder="1" applyAlignment="1">
      <alignment horizontal="left" vertical="center" wrapText="1"/>
    </xf>
    <xf numFmtId="0" fontId="5" fillId="0" borderId="1" xfId="54" applyFont="1" applyFill="1" applyBorder="1" applyAlignment="1">
      <alignment vertical="center" wrapText="1"/>
    </xf>
    <xf numFmtId="0" fontId="6" fillId="0" borderId="1" xfId="54" applyFont="1" applyFill="1" applyBorder="1" applyAlignment="1">
      <alignment horizontal="center" vertical="center" wrapText="1"/>
    </xf>
    <xf numFmtId="176" fontId="6" fillId="0" borderId="1" xfId="54" applyNumberFormat="1" applyFont="1" applyFill="1" applyBorder="1" applyAlignment="1">
      <alignment horizontal="center" vertical="center"/>
    </xf>
    <xf numFmtId="0" fontId="6" fillId="0" borderId="4" xfId="54" applyFont="1" applyFill="1" applyBorder="1" applyAlignment="1">
      <alignment horizontal="left" vertical="center" wrapText="1"/>
    </xf>
    <xf numFmtId="0" fontId="6" fillId="0" borderId="4" xfId="54"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54" applyFont="1" applyFill="1" applyBorder="1" applyAlignment="1">
      <alignment horizontal="left" vertical="center" wrapText="1"/>
    </xf>
    <xf numFmtId="0" fontId="6" fillId="0" borderId="6" xfId="54" applyFont="1" applyFill="1" applyBorder="1" applyAlignment="1">
      <alignment horizontal="center" vertical="center" wrapText="1"/>
    </xf>
    <xf numFmtId="0" fontId="6" fillId="0" borderId="1" xfId="54" applyFont="1" applyFill="1" applyBorder="1" applyAlignment="1">
      <alignment horizontal="left" vertical="center" wrapText="1"/>
    </xf>
    <xf numFmtId="0" fontId="6" fillId="0" borderId="2" xfId="54"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horizontal="left" vertical="center" wrapText="1"/>
    </xf>
    <xf numFmtId="177" fontId="6" fillId="0" borderId="7" xfId="82" applyNumberFormat="1" applyFont="1" applyFill="1" applyBorder="1" applyAlignment="1">
      <alignment horizontal="left" vertical="center" wrapText="1" shrinkToFit="1"/>
    </xf>
    <xf numFmtId="176" fontId="6" fillId="0" borderId="7" xfId="0" applyNumberFormat="1" applyFont="1" applyFill="1" applyBorder="1" applyAlignment="1">
      <alignment horizontal="center" vertical="center"/>
    </xf>
    <xf numFmtId="0" fontId="6" fillId="0" borderId="8" xfId="54" applyFont="1" applyFill="1" applyBorder="1" applyAlignment="1">
      <alignment horizontal="left" vertical="center" wrapText="1"/>
    </xf>
    <xf numFmtId="0" fontId="6" fillId="0" borderId="8" xfId="54"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0" xfId="54"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4" xfId="54" applyNumberFormat="1" applyFont="1" applyFill="1" applyBorder="1" applyAlignment="1">
      <alignment horizontal="center" vertical="center" wrapText="1"/>
    </xf>
    <xf numFmtId="0" fontId="6" fillId="0" borderId="1" xfId="54" applyNumberFormat="1" applyFont="1" applyFill="1" applyBorder="1" applyAlignment="1">
      <alignment horizontal="center" vertical="center" wrapText="1"/>
    </xf>
    <xf numFmtId="0" fontId="6" fillId="0" borderId="9" xfId="54" applyFont="1" applyFill="1" applyBorder="1" applyAlignment="1">
      <alignment horizontal="left" vertical="center" wrapText="1"/>
    </xf>
    <xf numFmtId="0" fontId="6" fillId="0" borderId="9" xfId="54" applyFont="1" applyFill="1" applyBorder="1" applyAlignment="1">
      <alignment horizontal="center" vertical="center" wrapText="1"/>
    </xf>
    <xf numFmtId="0" fontId="6" fillId="0" borderId="9" xfId="54"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6" fillId="0" borderId="1" xfId="54" applyFont="1" applyFill="1" applyBorder="1" applyAlignment="1">
      <alignment horizontal="left" vertical="center" wrapText="1"/>
    </xf>
    <xf numFmtId="0" fontId="6" fillId="0" borderId="1" xfId="0" applyFont="1" applyFill="1" applyBorder="1" applyAlignment="1">
      <alignment vertical="center"/>
    </xf>
    <xf numFmtId="0" fontId="6" fillId="0" borderId="2" xfId="0" applyFont="1" applyFill="1" applyBorder="1" applyAlignment="1">
      <alignment horizontal="left" vertical="center"/>
    </xf>
    <xf numFmtId="0" fontId="6" fillId="0" borderId="9" xfId="83" applyFont="1" applyFill="1" applyBorder="1" applyAlignment="1">
      <alignment horizontal="left" vertical="center" wrapText="1"/>
    </xf>
    <xf numFmtId="0" fontId="6" fillId="0" borderId="9" xfId="83"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1" xfId="0" applyFont="1" applyFill="1" applyBorder="1" applyAlignment="1">
      <alignment horizontal="left" vertical="center"/>
    </xf>
    <xf numFmtId="0" fontId="6" fillId="0" borderId="5" xfId="84" applyFont="1" applyFill="1" applyBorder="1" applyAlignment="1">
      <alignment horizontal="center" vertical="center"/>
    </xf>
    <xf numFmtId="0" fontId="6" fillId="0" borderId="1" xfId="84"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83" applyFont="1" applyFill="1" applyBorder="1" applyAlignment="1">
      <alignment horizontal="left" vertical="center" wrapText="1"/>
    </xf>
    <xf numFmtId="0" fontId="6" fillId="0" borderId="1" xfId="83" applyFont="1" applyFill="1" applyBorder="1" applyAlignment="1">
      <alignment horizontal="center" vertical="center" wrapText="1"/>
    </xf>
    <xf numFmtId="0" fontId="1" fillId="0" borderId="1" xfId="0" applyFont="1" applyFill="1" applyBorder="1" applyAlignment="1">
      <alignment vertical="center"/>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176" fontId="5" fillId="0" borderId="1" xfId="54" applyNumberFormat="1" applyFont="1" applyFill="1" applyBorder="1" applyAlignment="1">
      <alignment horizontal="center" vertical="center"/>
    </xf>
    <xf numFmtId="176" fontId="1" fillId="0" borderId="0" xfId="0" applyNumberFormat="1" applyFont="1" applyFill="1" applyBorder="1" applyAlignment="1">
      <alignment vertical="center"/>
    </xf>
    <xf numFmtId="178" fontId="8" fillId="0" borderId="0" xfId="54" applyNumberFormat="1" applyFont="1" applyFill="1" applyAlignment="1">
      <alignment horizontal="left"/>
    </xf>
    <xf numFmtId="178" fontId="8" fillId="0" borderId="0" xfId="54" applyNumberFormat="1" applyFont="1" applyFill="1" applyAlignment="1">
      <alignment horizontal="center"/>
    </xf>
    <xf numFmtId="179" fontId="4" fillId="0" borderId="0" xfId="54" applyNumberFormat="1" applyFont="1" applyFill="1" applyAlignment="1">
      <alignment horizontal="center" vertical="center" wrapText="1"/>
    </xf>
    <xf numFmtId="178" fontId="4" fillId="0" borderId="0" xfId="54" applyNumberFormat="1" applyFont="1" applyFill="1" applyAlignment="1">
      <alignment horizontal="center" vertical="center" wrapText="1"/>
    </xf>
    <xf numFmtId="179" fontId="9" fillId="0" borderId="0" xfId="54" applyNumberFormat="1" applyFont="1" applyFill="1" applyAlignment="1">
      <alignment horizontal="center" vertical="center" wrapText="1"/>
    </xf>
    <xf numFmtId="178" fontId="9" fillId="0" borderId="0" xfId="54" applyNumberFormat="1" applyFont="1" applyFill="1" applyAlignment="1">
      <alignment horizontal="left" vertical="center" wrapText="1"/>
    </xf>
    <xf numFmtId="178" fontId="9" fillId="0" borderId="0" xfId="54" applyNumberFormat="1" applyFont="1" applyFill="1" applyAlignment="1">
      <alignment horizontal="center" vertical="center" wrapText="1"/>
    </xf>
    <xf numFmtId="178" fontId="6" fillId="0" borderId="0" xfId="54" applyNumberFormat="1" applyFont="1" applyFill="1" applyAlignment="1">
      <alignment horizontal="center" vertical="center" wrapText="1"/>
    </xf>
    <xf numFmtId="179" fontId="2" fillId="0" borderId="1" xfId="54" applyNumberFormat="1" applyFont="1" applyFill="1" applyBorder="1" applyAlignment="1">
      <alignment horizontal="center" vertical="center" wrapText="1"/>
    </xf>
    <xf numFmtId="178" fontId="2" fillId="0" borderId="1" xfId="54" applyNumberFormat="1" applyFont="1" applyFill="1" applyBorder="1" applyAlignment="1">
      <alignment horizontal="center" vertical="center" wrapText="1"/>
    </xf>
    <xf numFmtId="179" fontId="10" fillId="0" borderId="1" xfId="54" applyNumberFormat="1" applyFont="1" applyFill="1" applyBorder="1" applyAlignment="1">
      <alignment horizontal="center" vertical="center" wrapText="1"/>
    </xf>
    <xf numFmtId="178" fontId="10" fillId="0" borderId="1" xfId="54" applyNumberFormat="1" applyFont="1" applyFill="1" applyBorder="1" applyAlignment="1">
      <alignment horizontal="left" vertical="center" wrapText="1"/>
    </xf>
    <xf numFmtId="178" fontId="10" fillId="0" borderId="1" xfId="54" applyNumberFormat="1" applyFont="1" applyFill="1" applyBorder="1" applyAlignment="1">
      <alignment horizontal="center" vertical="center" wrapText="1"/>
    </xf>
    <xf numFmtId="178" fontId="2" fillId="0" borderId="1" xfId="54" applyNumberFormat="1" applyFont="1" applyFill="1" applyBorder="1" applyAlignment="1">
      <alignment horizontal="left" vertical="center" wrapText="1"/>
    </xf>
    <xf numFmtId="178" fontId="10" fillId="0" borderId="2" xfId="54" applyNumberFormat="1" applyFont="1" applyFill="1" applyBorder="1" applyAlignment="1">
      <alignment horizontal="left" vertical="center" wrapText="1"/>
    </xf>
    <xf numFmtId="178" fontId="10" fillId="0" borderId="3" xfId="54" applyNumberFormat="1" applyFont="1" applyFill="1" applyBorder="1" applyAlignment="1">
      <alignment horizontal="left" vertical="center" wrapText="1"/>
    </xf>
    <xf numFmtId="178" fontId="11" fillId="0" borderId="1" xfId="0" applyNumberFormat="1" applyFont="1" applyFill="1" applyBorder="1" applyAlignment="1">
      <alignment horizontal="left" vertical="center" wrapText="1"/>
    </xf>
    <xf numFmtId="10" fontId="4" fillId="0" borderId="0" xfId="3" applyNumberFormat="1" applyFont="1" applyFill="1" applyBorder="1" applyAlignment="1" applyProtection="1">
      <alignment horizontal="center" vertical="center" wrapText="1"/>
    </xf>
    <xf numFmtId="10" fontId="6" fillId="0" borderId="0" xfId="3" applyNumberFormat="1" applyFont="1" applyFill="1" applyBorder="1" applyAlignment="1" applyProtection="1">
      <alignment horizontal="center" vertical="center" wrapText="1"/>
    </xf>
    <xf numFmtId="10" fontId="2" fillId="0" borderId="1" xfId="3" applyNumberFormat="1" applyFont="1" applyFill="1" applyBorder="1" applyAlignment="1" applyProtection="1">
      <alignment horizontal="center" vertical="center" wrapText="1"/>
    </xf>
    <xf numFmtId="9" fontId="2" fillId="0" borderId="1" xfId="3" applyFont="1" applyFill="1" applyBorder="1" applyAlignment="1" applyProtection="1">
      <alignment horizontal="center" vertical="center" wrapText="1"/>
    </xf>
    <xf numFmtId="10" fontId="10" fillId="0" borderId="1" xfId="3" applyNumberFormat="1" applyFont="1" applyFill="1" applyBorder="1" applyAlignment="1" applyProtection="1">
      <alignment horizontal="center" vertical="center" wrapText="1"/>
    </xf>
    <xf numFmtId="0" fontId="2" fillId="0" borderId="0" xfId="0" applyFont="1" applyAlignment="1">
      <alignment horizontal="center" vertical="center"/>
    </xf>
    <xf numFmtId="179" fontId="9" fillId="0" borderId="1" xfId="0" applyNumberFormat="1" applyFont="1" applyFill="1" applyBorder="1" applyAlignment="1" applyProtection="1">
      <alignment horizontal="center" vertical="center"/>
    </xf>
    <xf numFmtId="178" fontId="9" fillId="0" borderId="1" xfId="0" applyNumberFormat="1" applyFont="1" applyFill="1" applyBorder="1" applyAlignment="1" applyProtection="1">
      <alignment horizontal="left" vertical="center" wrapText="1"/>
    </xf>
    <xf numFmtId="178" fontId="9" fillId="0" borderId="1" xfId="0" applyNumberFormat="1" applyFont="1" applyFill="1" applyBorder="1" applyAlignment="1" applyProtection="1">
      <alignment horizontal="center" vertical="center" wrapText="1"/>
    </xf>
    <xf numFmtId="10" fontId="9" fillId="0" borderId="1" xfId="3" applyNumberFormat="1" applyFont="1" applyFill="1" applyBorder="1" applyAlignment="1" applyProtection="1">
      <alignment horizontal="lef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2" fillId="0" borderId="0" xfId="0" applyFont="1" applyAlignment="1">
      <alignment horizontal="center" vertical="center"/>
    </xf>
    <xf numFmtId="0" fontId="12" fillId="0" borderId="0" xfId="0" applyFont="1" applyFill="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9" fillId="0" borderId="1" xfId="0" applyFont="1" applyBorder="1"/>
    <xf numFmtId="0" fontId="0" fillId="0" borderId="1" xfId="0" applyBorder="1"/>
    <xf numFmtId="0" fontId="0" fillId="0" borderId="1" xfId="0" applyFont="1" applyFill="1" applyBorder="1"/>
    <xf numFmtId="0" fontId="9" fillId="0" borderId="1" xfId="0" applyFont="1" applyFill="1" applyBorder="1" applyAlignment="1">
      <alignment wrapText="1"/>
    </xf>
    <xf numFmtId="0" fontId="9" fillId="0" borderId="1" xfId="0" applyFont="1" applyFill="1" applyBorder="1"/>
    <xf numFmtId="178" fontId="13" fillId="0" borderId="0" xfId="54" applyNumberFormat="1" applyFill="1" applyAlignment="1">
      <alignment horizontal="left"/>
    </xf>
    <xf numFmtId="179" fontId="13" fillId="0" borderId="0" xfId="54" applyNumberFormat="1" applyFont="1" applyFill="1" applyAlignment="1">
      <alignment horizontal="left"/>
    </xf>
    <xf numFmtId="178" fontId="13" fillId="0" borderId="0" xfId="54" applyNumberFormat="1" applyFont="1" applyFill="1" applyAlignment="1">
      <alignment horizontal="left"/>
    </xf>
    <xf numFmtId="178" fontId="13" fillId="0" borderId="0" xfId="54" applyNumberFormat="1" applyFont="1" applyFill="1" applyAlignment="1">
      <alignment horizontal="center"/>
    </xf>
    <xf numFmtId="10" fontId="13" fillId="0" borderId="0" xfId="3" applyNumberFormat="1" applyFont="1" applyFill="1" applyBorder="1" applyAlignment="1" applyProtection="1">
      <alignment horizontal="center"/>
    </xf>
    <xf numFmtId="179" fontId="14" fillId="0" borderId="0" xfId="54" applyNumberFormat="1" applyFont="1" applyFill="1" applyAlignment="1">
      <alignment horizontal="center" vertical="center" wrapText="1"/>
    </xf>
    <xf numFmtId="179" fontId="15" fillId="0" borderId="0" xfId="54" applyNumberFormat="1" applyFont="1" applyFill="1" applyAlignment="1">
      <alignment horizontal="left" vertical="center" wrapText="1"/>
    </xf>
    <xf numFmtId="178" fontId="6" fillId="0" borderId="0" xfId="54" applyNumberFormat="1" applyFont="1" applyFill="1" applyAlignment="1">
      <alignment horizontal="left" vertical="center" wrapText="1"/>
    </xf>
    <xf numFmtId="179" fontId="6" fillId="0" borderId="1" xfId="54" applyNumberFormat="1" applyFont="1" applyFill="1" applyBorder="1" applyAlignment="1">
      <alignment horizontal="center" vertical="center" wrapText="1"/>
    </xf>
    <xf numFmtId="178" fontId="6" fillId="0" borderId="1" xfId="54" applyNumberFormat="1" applyFont="1" applyFill="1" applyBorder="1" applyAlignment="1">
      <alignment horizontal="center" vertical="center" wrapText="1"/>
    </xf>
    <xf numFmtId="179" fontId="6" fillId="0" borderId="1" xfId="54" applyNumberFormat="1" applyFont="1" applyFill="1" applyBorder="1" applyAlignment="1">
      <alignment horizontal="left" vertical="center" wrapText="1"/>
    </xf>
    <xf numFmtId="178" fontId="6" fillId="0" borderId="1" xfId="54" applyNumberFormat="1" applyFont="1" applyFill="1" applyBorder="1" applyAlignment="1">
      <alignment horizontal="left" vertical="center" wrapText="1"/>
    </xf>
    <xf numFmtId="178" fontId="15" fillId="0" borderId="12" xfId="0" applyNumberFormat="1" applyFont="1" applyFill="1" applyBorder="1" applyAlignment="1">
      <alignment horizontal="center" vertical="center" wrapText="1"/>
    </xf>
    <xf numFmtId="178" fontId="15" fillId="0" borderId="1" xfId="54" applyNumberFormat="1" applyFont="1" applyFill="1" applyBorder="1" applyAlignment="1">
      <alignment horizontal="left" vertical="center" wrapText="1"/>
    </xf>
    <xf numFmtId="178" fontId="15" fillId="0" borderId="12" xfId="0" applyNumberFormat="1" applyFont="1" applyFill="1" applyBorder="1" applyAlignment="1">
      <alignment horizontal="left" vertical="center" wrapText="1"/>
    </xf>
    <xf numFmtId="178" fontId="5" fillId="0" borderId="1" xfId="54" applyNumberFormat="1" applyFont="1" applyFill="1" applyBorder="1" applyAlignment="1">
      <alignment horizontal="left" vertical="center" wrapText="1"/>
    </xf>
    <xf numFmtId="10" fontId="6" fillId="0" borderId="1" xfId="3" applyNumberFormat="1" applyFont="1" applyFill="1" applyBorder="1" applyAlignment="1" applyProtection="1">
      <alignment horizontal="center" vertical="center" wrapText="1"/>
    </xf>
    <xf numFmtId="178" fontId="15" fillId="0" borderId="1" xfId="54" applyNumberFormat="1" applyFont="1" applyFill="1" applyBorder="1" applyAlignment="1">
      <alignment horizontal="center" vertical="center" wrapText="1"/>
    </xf>
    <xf numFmtId="9" fontId="6" fillId="0" borderId="1" xfId="3" applyFont="1" applyFill="1" applyBorder="1" applyAlignment="1" applyProtection="1">
      <alignment horizontal="center" vertical="center" wrapText="1"/>
    </xf>
    <xf numFmtId="0" fontId="2" fillId="0" borderId="0" xfId="0" applyFont="1" applyAlignment="1">
      <alignment horizontal="justify" vertical="center"/>
    </xf>
    <xf numFmtId="10" fontId="15" fillId="0" borderId="12" xfId="3" applyNumberFormat="1" applyFont="1" applyFill="1" applyBorder="1" applyAlignment="1">
      <alignment horizontal="center" vertical="center" wrapText="1"/>
    </xf>
    <xf numFmtId="178" fontId="6" fillId="0" borderId="9" xfId="54" applyNumberFormat="1" applyFont="1" applyFill="1" applyBorder="1" applyAlignment="1">
      <alignment horizontal="center" vertical="center" wrapText="1"/>
    </xf>
    <xf numFmtId="178" fontId="6" fillId="0" borderId="5" xfId="54" applyNumberFormat="1" applyFont="1" applyFill="1" applyBorder="1" applyAlignment="1">
      <alignment horizontal="center" vertical="center" wrapText="1"/>
    </xf>
    <xf numFmtId="178" fontId="5" fillId="0" borderId="1" xfId="54" applyNumberFormat="1" applyFont="1" applyFill="1" applyBorder="1" applyAlignment="1">
      <alignment horizontal="center" vertical="center" wrapText="1"/>
    </xf>
    <xf numFmtId="178" fontId="13" fillId="0" borderId="0" xfId="54" applyNumberFormat="1" applyFont="1" applyFill="1" applyAlignment="1">
      <alignment horizontal="left" wrapText="1"/>
    </xf>
    <xf numFmtId="178" fontId="1" fillId="0" borderId="0" xfId="0" applyNumberFormat="1" applyFont="1" applyFill="1" applyBorder="1" applyAlignment="1">
      <alignment vertical="center"/>
    </xf>
    <xf numFmtId="178" fontId="3" fillId="0" borderId="0" xfId="0" applyNumberFormat="1" applyFont="1" applyFill="1" applyBorder="1" applyAlignment="1">
      <alignment vertical="center"/>
    </xf>
    <xf numFmtId="180" fontId="9" fillId="0" borderId="0" xfId="0" applyNumberFormat="1" applyFont="1" applyFill="1" applyAlignment="1">
      <alignment horizontal="center" vertical="center"/>
    </xf>
    <xf numFmtId="178" fontId="9" fillId="0" borderId="0" xfId="0" applyNumberFormat="1" applyFont="1" applyFill="1" applyAlignment="1">
      <alignment horizontal="center" vertical="center"/>
    </xf>
    <xf numFmtId="178" fontId="9" fillId="0" borderId="0" xfId="0" applyNumberFormat="1" applyFont="1" applyFill="1" applyAlignment="1">
      <alignment horizontal="center"/>
    </xf>
    <xf numFmtId="178" fontId="9" fillId="0" borderId="0" xfId="0" applyNumberFormat="1" applyFont="1" applyFill="1"/>
    <xf numFmtId="180" fontId="16" fillId="0" borderId="0" xfId="0" applyNumberFormat="1" applyFont="1" applyFill="1" applyAlignment="1">
      <alignment horizontal="center" vertical="center" wrapText="1"/>
    </xf>
    <xf numFmtId="178" fontId="17" fillId="0" borderId="0" xfId="0" applyNumberFormat="1" applyFont="1" applyFill="1" applyAlignment="1">
      <alignment horizontal="center" vertical="center" wrapText="1"/>
    </xf>
    <xf numFmtId="180" fontId="18" fillId="0" borderId="1" xfId="0" applyNumberFormat="1" applyFont="1" applyFill="1" applyBorder="1" applyAlignment="1">
      <alignment horizontal="center" vertical="center"/>
    </xf>
    <xf numFmtId="178" fontId="18"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wrapText="1"/>
    </xf>
    <xf numFmtId="180" fontId="19"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xf>
    <xf numFmtId="178" fontId="20" fillId="0" borderId="1" xfId="0" applyNumberFormat="1" applyFont="1" applyFill="1" applyBorder="1" applyAlignment="1">
      <alignment horizontal="center" vertical="center"/>
    </xf>
    <xf numFmtId="9" fontId="20" fillId="0" borderId="1" xfId="3" applyNumberFormat="1" applyFont="1" applyFill="1" applyBorder="1" applyAlignment="1">
      <alignment horizontal="center" vertical="center"/>
    </xf>
    <xf numFmtId="178" fontId="21"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xf>
    <xf numFmtId="179" fontId="19" fillId="0" borderId="1" xfId="0" applyNumberFormat="1" applyFont="1" applyFill="1" applyBorder="1" applyAlignment="1">
      <alignment horizontal="center" vertical="center"/>
    </xf>
    <xf numFmtId="9" fontId="20" fillId="0" borderId="1" xfId="3" applyFont="1" applyFill="1" applyBorder="1" applyAlignment="1">
      <alignment horizontal="center" vertical="center"/>
    </xf>
    <xf numFmtId="178" fontId="23" fillId="0" borderId="1" xfId="0" applyNumberFormat="1" applyFont="1" applyFill="1" applyBorder="1" applyAlignment="1">
      <alignment horizontal="center" vertical="center" wrapText="1"/>
    </xf>
    <xf numFmtId="9" fontId="18" fillId="0" borderId="1" xfId="3" applyFont="1" applyFill="1" applyBorder="1" applyAlignment="1">
      <alignment horizontal="center" vertical="center"/>
    </xf>
    <xf numFmtId="178" fontId="24" fillId="0" borderId="1" xfId="0" applyNumberFormat="1" applyFont="1" applyFill="1" applyBorder="1" applyAlignment="1">
      <alignment horizontal="center" vertical="center"/>
    </xf>
    <xf numFmtId="178" fontId="23" fillId="0" borderId="1" xfId="0" applyNumberFormat="1" applyFont="1" applyFill="1" applyBorder="1" applyAlignment="1">
      <alignment horizontal="center" vertical="center"/>
    </xf>
    <xf numFmtId="179" fontId="21"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80" fontId="21"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9" fontId="21" fillId="0" borderId="1" xfId="3" applyFont="1" applyFill="1" applyBorder="1" applyAlignment="1">
      <alignment horizontal="center" vertical="center" wrapText="1"/>
    </xf>
    <xf numFmtId="178" fontId="9" fillId="0" borderId="1" xfId="0" applyNumberFormat="1" applyFont="1" applyFill="1" applyBorder="1" applyAlignment="1">
      <alignment horizontal="center" vertical="center"/>
    </xf>
    <xf numFmtId="0" fontId="1" fillId="0" borderId="0" xfId="0" applyNumberFormat="1" applyFont="1" applyFill="1" applyBorder="1" applyAlignment="1">
      <alignment vertical="center" wrapText="1"/>
    </xf>
    <xf numFmtId="0" fontId="25" fillId="0" borderId="0" xfId="0" applyFont="1" applyFill="1" applyAlignment="1">
      <alignment horizontal="center" vertical="center"/>
    </xf>
    <xf numFmtId="49" fontId="10" fillId="0" borderId="1" xfId="56" applyNumberFormat="1" applyFont="1" applyFill="1" applyBorder="1" applyAlignment="1" applyProtection="1">
      <alignment horizontal="left" vertical="center"/>
    </xf>
    <xf numFmtId="49" fontId="10" fillId="0" borderId="1" xfId="56" applyNumberFormat="1" applyFont="1" applyFill="1" applyBorder="1" applyAlignment="1" applyProtection="1">
      <alignment horizontal="left" vertical="center" wrapText="1"/>
    </xf>
    <xf numFmtId="0" fontId="25" fillId="0" borderId="0" xfId="0" applyFont="1" applyFill="1" applyBorder="1" applyAlignment="1">
      <alignment horizontal="center" vertical="center"/>
    </xf>
    <xf numFmtId="0" fontId="9" fillId="0" borderId="1" xfId="59" applyFont="1" applyFill="1" applyBorder="1" applyAlignment="1" applyProtection="1">
      <alignment horizontal="center" vertical="center"/>
    </xf>
    <xf numFmtId="0" fontId="23" fillId="0" borderId="1" xfId="56" applyNumberFormat="1" applyFont="1" applyFill="1" applyBorder="1" applyAlignment="1" applyProtection="1">
      <alignment horizontal="left" vertical="center" wrapText="1"/>
    </xf>
    <xf numFmtId="0" fontId="26" fillId="0" borderId="0" xfId="0" applyNumberFormat="1" applyFont="1" applyFill="1" applyBorder="1" applyAlignment="1">
      <alignment horizontal="justify" vertical="center" wrapText="1"/>
    </xf>
    <xf numFmtId="0" fontId="27" fillId="0" borderId="1" xfId="58" applyNumberFormat="1" applyFont="1" applyFill="1" applyBorder="1" applyAlignment="1" applyProtection="1">
      <alignment horizontal="justify" vertical="center" wrapText="1"/>
    </xf>
    <xf numFmtId="0" fontId="9" fillId="0" borderId="1" xfId="49" applyNumberFormat="1" applyFont="1" applyFill="1" applyBorder="1" applyAlignment="1" applyProtection="1">
      <alignment horizontal="center" vertical="center"/>
    </xf>
    <xf numFmtId="0" fontId="9" fillId="0" borderId="1" xfId="57" applyNumberFormat="1" applyFont="1" applyFill="1" applyBorder="1" applyAlignment="1" applyProtection="1">
      <alignment vertical="center" wrapText="1"/>
    </xf>
    <xf numFmtId="0" fontId="26" fillId="0" borderId="0" xfId="0" applyNumberFormat="1" applyFont="1" applyFill="1" applyBorder="1" applyAlignment="1">
      <alignment horizontal="left" vertical="center" wrapText="1"/>
    </xf>
    <xf numFmtId="0" fontId="9" fillId="0" borderId="1" xfId="55" applyNumberFormat="1" applyFont="1" applyFill="1" applyBorder="1" applyAlignment="1" applyProtection="1">
      <alignment horizontal="left" vertical="center" wrapText="1"/>
    </xf>
    <xf numFmtId="0" fontId="9" fillId="0" borderId="1" xfId="57" applyNumberFormat="1" applyFont="1" applyFill="1" applyBorder="1" applyAlignment="1" applyProtection="1">
      <alignment horizontal="left" vertical="center" wrapText="1"/>
    </xf>
    <xf numFmtId="0" fontId="9" fillId="0" borderId="1" xfId="56" applyNumberFormat="1" applyFont="1" applyFill="1" applyBorder="1" applyAlignment="1" applyProtection="1">
      <alignment horizontal="left" vertical="center" wrapText="1"/>
    </xf>
    <xf numFmtId="0" fontId="10" fillId="0" borderId="0" xfId="0" applyFont="1" applyFill="1" applyAlignment="1">
      <alignment horizontal="left" vertical="center"/>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3232" xfId="50"/>
    <cellStyle name="3232 2" xfId="51"/>
    <cellStyle name="3232 2 2" xfId="52"/>
    <cellStyle name="3232 3" xfId="53"/>
    <cellStyle name="Normal" xfId="54"/>
    <cellStyle name="表体数字 3 2 6 5 3 2" xfId="55"/>
    <cellStyle name="表体数字 3 2 6 6" xfId="56"/>
    <cellStyle name="常规 10" xfId="57"/>
    <cellStyle name="常规 11" xfId="58"/>
    <cellStyle name="常规 144 4" xfId="59"/>
    <cellStyle name="常规 2" xfId="60"/>
    <cellStyle name="常规 3" xfId="61"/>
    <cellStyle name="常规 3 2" xfId="62"/>
    <cellStyle name="常规 3 2 2" xfId="63"/>
    <cellStyle name="常规 3 2 2 2" xfId="64"/>
    <cellStyle name="常规 3 2 3" xfId="65"/>
    <cellStyle name="常规 3 3" xfId="66"/>
    <cellStyle name="常规 3 3 2" xfId="67"/>
    <cellStyle name="常规 3 4" xfId="68"/>
    <cellStyle name="常规 4" xfId="69"/>
    <cellStyle name="常规 5" xfId="70"/>
    <cellStyle name="常规 5 2" xfId="71"/>
    <cellStyle name="常规 5 2 2" xfId="72"/>
    <cellStyle name="常规 5 3" xfId="73"/>
    <cellStyle name="常规 53" xfId="74"/>
    <cellStyle name="常规 53 2" xfId="75"/>
    <cellStyle name="常规 53 2 2" xfId="76"/>
    <cellStyle name="常规 53 3" xfId="77"/>
    <cellStyle name="常规 7" xfId="78"/>
    <cellStyle name="常规 7 2" xfId="79"/>
    <cellStyle name="常规 7 2 2" xfId="80"/>
    <cellStyle name="常规 7 3" xfId="81"/>
    <cellStyle name="0,0_x000d__x000a_NA_x000d__x000a_ 2" xfId="82"/>
    <cellStyle name="0,0_x000d__x000a_NA_x000d__x000a_" xfId="83"/>
    <cellStyle name="常规 17" xfId="84"/>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customXml" Target="../customXml/item3.xml"/><Relationship Id="rId11" Type="http://schemas.openxmlformats.org/officeDocument/2006/relationships/customXml" Target="../customXml/item2.xml"/><Relationship Id="rId10"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cstate="print"/>
        <a:srcRect l="4340" t="7160" r="6759" b="1401"/>
        <a:stretch>
          <a:fillRect/>
        </a:stretch>
      </xdr:blipFill>
      <xdr:spPr>
        <a:xfrm>
          <a:off x="9525" y="95250"/>
          <a:ext cx="5590540" cy="84391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cstate="print"/>
        <a:srcRect l="3018" t="5142" r="3431" b="263"/>
        <a:stretch>
          <a:fillRect/>
        </a:stretch>
      </xdr:blipFill>
      <xdr:spPr>
        <a:xfrm>
          <a:off x="9525" y="9525"/>
          <a:ext cx="5462905" cy="7772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86135\Documents\WeChat%20Files\huminjie1314520\FileStorage\File\2024-10\&#20013;&#28009;&#24503;50#&#31934;&#35013;&#20462;&#25307;&#26631;&#28165;&#21333;-ANZHUA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清单报价说明"/>
      <sheetName val="01、汇总表"/>
      <sheetName val="Sheet1"/>
      <sheetName val="02、装饰工程"/>
      <sheetName val="03、安装工程"/>
      <sheetName val="门头钢结构工程量计算"/>
    </sheetNames>
    <sheetDataSet>
      <sheetData sheetId="0" refreshError="1"/>
      <sheetData sheetId="1" refreshError="1"/>
      <sheetData sheetId="2" refreshError="1"/>
      <sheetData sheetId="3" refreshError="1"/>
      <sheetData sheetId="4" refreshError="1">
        <row r="5">
          <cell r="K5">
            <v>0.06</v>
          </cell>
          <cell r="L5">
            <v>0.09</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55" sqref="A1:I55"/>
    </sheetView>
  </sheetViews>
  <sheetFormatPr defaultColWidth="9.11428571428571" defaultRowHeight="12.75"/>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2"/>
  <sheetViews>
    <sheetView view="pageBreakPreview" zoomScale="115" zoomScaleNormal="100" topLeftCell="A4" workbookViewId="0">
      <selection activeCell="B16" sqref="B16"/>
    </sheetView>
  </sheetViews>
  <sheetFormatPr defaultColWidth="10" defaultRowHeight="14.25" outlineLevelCol="3"/>
  <cols>
    <col min="1" max="1" width="6.44761904761905" style="1" customWidth="1"/>
    <col min="2" max="2" width="93.8857142857143" style="1" customWidth="1"/>
    <col min="3" max="3" width="10.3333333333333" style="1"/>
    <col min="4" max="4" width="10.3333333333333" style="1" customWidth="1"/>
    <col min="5" max="31" width="10.3333333333333" style="1"/>
    <col min="32" max="16384" width="10" style="1"/>
  </cols>
  <sheetData>
    <row r="1" ht="25.2" customHeight="1" spans="1:2">
      <c r="A1" s="154" t="s">
        <v>0</v>
      </c>
      <c r="B1" s="154"/>
    </row>
    <row r="2" s="153" customFormat="1" ht="16.95" customHeight="1" spans="1:4">
      <c r="A2" s="155" t="s">
        <v>1</v>
      </c>
      <c r="B2" s="156"/>
      <c r="D2" s="157"/>
    </row>
    <row r="3" s="153" customFormat="1" ht="22.95" customHeight="1" spans="1:4">
      <c r="A3" s="158">
        <v>1</v>
      </c>
      <c r="B3" s="159" t="s">
        <v>2</v>
      </c>
      <c r="D3" s="160"/>
    </row>
    <row r="4" s="153" customFormat="1" ht="73.2" customHeight="1" spans="1:4">
      <c r="A4" s="158">
        <v>2</v>
      </c>
      <c r="B4" s="161" t="s">
        <v>3</v>
      </c>
      <c r="D4" s="160"/>
    </row>
    <row r="5" s="153" customFormat="1" ht="16.95" customHeight="1" spans="1:4">
      <c r="A5" s="155" t="s">
        <v>4</v>
      </c>
      <c r="B5" s="156"/>
      <c r="D5" s="160"/>
    </row>
    <row r="6" s="153" customFormat="1" ht="75" customHeight="1" spans="1:4">
      <c r="A6" s="162">
        <v>1</v>
      </c>
      <c r="B6" s="163" t="s">
        <v>5</v>
      </c>
      <c r="D6" s="160"/>
    </row>
    <row r="7" s="153" customFormat="1" ht="57" customHeight="1" spans="1:4">
      <c r="A7" s="162">
        <v>2</v>
      </c>
      <c r="B7" s="163" t="s">
        <v>6</v>
      </c>
      <c r="D7" s="160"/>
    </row>
    <row r="8" s="153" customFormat="1" ht="45" customHeight="1" spans="1:4">
      <c r="A8" s="162">
        <v>3</v>
      </c>
      <c r="B8" s="163" t="s">
        <v>7</v>
      </c>
      <c r="D8" s="160"/>
    </row>
    <row r="9" s="153" customFormat="1" ht="66" customHeight="1" spans="1:4">
      <c r="A9" s="162">
        <v>4</v>
      </c>
      <c r="B9" s="163" t="s">
        <v>8</v>
      </c>
      <c r="D9" s="164"/>
    </row>
    <row r="10" ht="39" customHeight="1" spans="1:4">
      <c r="A10" s="162">
        <v>5</v>
      </c>
      <c r="B10" s="165" t="s">
        <v>9</v>
      </c>
      <c r="D10" s="164"/>
    </row>
    <row r="11" ht="54" customHeight="1" spans="1:4">
      <c r="A11" s="162">
        <v>6</v>
      </c>
      <c r="B11" s="166" t="s">
        <v>10</v>
      </c>
      <c r="D11" s="164"/>
    </row>
    <row r="12" ht="54" customHeight="1" spans="1:2">
      <c r="A12" s="162">
        <v>7</v>
      </c>
      <c r="B12" s="166" t="s">
        <v>11</v>
      </c>
    </row>
    <row r="13" ht="43.95" customHeight="1" spans="1:2">
      <c r="A13" s="162">
        <v>8</v>
      </c>
      <c r="B13" s="166" t="s">
        <v>12</v>
      </c>
    </row>
    <row r="14" ht="24" customHeight="1" spans="1:2">
      <c r="A14" s="162">
        <v>9</v>
      </c>
      <c r="B14" s="166" t="s">
        <v>13</v>
      </c>
    </row>
    <row r="15" ht="16.2" customHeight="1" spans="1:2">
      <c r="A15" s="155" t="s">
        <v>14</v>
      </c>
      <c r="B15" s="156"/>
    </row>
    <row r="16" ht="31.2" customHeight="1" spans="1:2">
      <c r="A16" s="162">
        <v>1</v>
      </c>
      <c r="B16" s="167" t="s">
        <v>15</v>
      </c>
    </row>
    <row r="17" ht="22.2" customHeight="1" spans="1:2">
      <c r="A17" s="162">
        <v>2</v>
      </c>
      <c r="B17" s="167" t="s">
        <v>16</v>
      </c>
    </row>
    <row r="18" spans="1:2">
      <c r="A18" s="162">
        <v>3</v>
      </c>
      <c r="B18" s="167" t="s">
        <v>17</v>
      </c>
    </row>
    <row r="19" ht="18" customHeight="1" spans="1:2">
      <c r="A19" s="155" t="s">
        <v>18</v>
      </c>
      <c r="B19" s="156"/>
    </row>
    <row r="20" ht="49.2" customHeight="1" spans="1:2">
      <c r="A20" s="162">
        <v>1</v>
      </c>
      <c r="B20" s="167" t="s">
        <v>19</v>
      </c>
    </row>
    <row r="21" ht="97.2" customHeight="1" spans="1:2">
      <c r="A21" s="162">
        <v>2</v>
      </c>
      <c r="B21" s="159" t="s">
        <v>20</v>
      </c>
    </row>
    <row r="22" spans="1:2">
      <c r="A22" s="168" t="s">
        <v>21</v>
      </c>
      <c r="B22" s="168"/>
    </row>
  </sheetData>
  <sheetProtection formatCells="0" formatColumns="0" formatRows="0" insertRows="0" insertColumns="0" insertHyperlinks="0" deleteColumns="0" deleteRows="0" sort="0" autoFilter="0" pivotTables="0"/>
  <mergeCells count="6">
    <mergeCell ref="A1:B1"/>
    <mergeCell ref="A2:B2"/>
    <mergeCell ref="A5:B5"/>
    <mergeCell ref="A15:B15"/>
    <mergeCell ref="A19:B19"/>
    <mergeCell ref="A22:B22"/>
  </mergeCells>
  <printOptions horizontalCentered="1"/>
  <pageMargins left="0.196527777777778" right="0.196527777777778" top="0.590277777777778" bottom="0.590277777777778" header="0.5" footer="0.5"/>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view="pageBreakPreview" zoomScale="115" zoomScaleNormal="100" workbookViewId="0">
      <selection activeCell="G11" sqref="G11"/>
    </sheetView>
  </sheetViews>
  <sheetFormatPr defaultColWidth="8.88571428571429" defaultRowHeight="12" outlineLevelCol="7"/>
  <cols>
    <col min="1" max="1" width="8.88571428571429" style="125"/>
    <col min="2" max="2" width="26" style="126" customWidth="1"/>
    <col min="3" max="3" width="8.11428571428571" style="127" customWidth="1"/>
    <col min="4" max="4" width="16.3333333333333" style="127" customWidth="1"/>
    <col min="5" max="5" width="8.11428571428571" style="127" customWidth="1"/>
    <col min="6" max="6" width="16.447619047619" style="127" customWidth="1"/>
    <col min="7" max="7" width="19.3333333333333" style="128" customWidth="1"/>
    <col min="8" max="8" width="21.6666666666667" style="128" customWidth="1"/>
    <col min="9" max="9" width="8.88571428571429" style="128"/>
    <col min="10" max="10" width="16.3333333333333" style="128"/>
    <col min="11" max="11" width="15.1142857142857" style="128"/>
    <col min="12" max="16384" width="8.88571428571429" style="128"/>
  </cols>
  <sheetData>
    <row r="1" s="123" customFormat="1" ht="48" customHeight="1" spans="1:8">
      <c r="A1" s="129" t="s">
        <v>22</v>
      </c>
      <c r="B1" s="130"/>
      <c r="C1" s="130"/>
      <c r="D1" s="130"/>
      <c r="E1" s="130"/>
      <c r="F1" s="130"/>
      <c r="G1" s="130"/>
      <c r="H1" s="130"/>
    </row>
    <row r="2" s="123" customFormat="1" ht="30" customHeight="1" spans="1:8">
      <c r="A2" s="131" t="s">
        <v>23</v>
      </c>
      <c r="B2" s="132" t="s">
        <v>24</v>
      </c>
      <c r="C2" s="132" t="s">
        <v>25</v>
      </c>
      <c r="D2" s="132" t="s">
        <v>26</v>
      </c>
      <c r="E2" s="132" t="s">
        <v>27</v>
      </c>
      <c r="F2" s="132" t="s">
        <v>28</v>
      </c>
      <c r="G2" s="133" t="s">
        <v>29</v>
      </c>
      <c r="H2" s="132" t="s">
        <v>30</v>
      </c>
    </row>
    <row r="3" s="124" customFormat="1" ht="30" customHeight="1" spans="1:8">
      <c r="A3" s="134" t="s">
        <v>31</v>
      </c>
      <c r="B3" s="135" t="s">
        <v>32</v>
      </c>
      <c r="C3" s="136"/>
      <c r="D3" s="136">
        <f t="shared" ref="D3:D10" si="0">G3/1.09</f>
        <v>877771.697521459</v>
      </c>
      <c r="E3" s="137">
        <v>0.09</v>
      </c>
      <c r="F3" s="136">
        <f t="shared" ref="F3:F11" si="1">D3*E3</f>
        <v>78999.4527769313</v>
      </c>
      <c r="G3" s="138">
        <f>G4+G7+G10</f>
        <v>956771.15029839</v>
      </c>
      <c r="H3" s="139"/>
    </row>
    <row r="4" s="124" customFormat="1" ht="27" customHeight="1" spans="1:8">
      <c r="A4" s="140">
        <v>1</v>
      </c>
      <c r="B4" s="135" t="s">
        <v>33</v>
      </c>
      <c r="C4" s="136"/>
      <c r="D4" s="136">
        <f t="shared" si="0"/>
        <v>547747.680138</v>
      </c>
      <c r="E4" s="141">
        <v>0.09</v>
      </c>
      <c r="F4" s="136">
        <f t="shared" si="1"/>
        <v>49297.29121242</v>
      </c>
      <c r="G4" s="138">
        <f>G5+G6</f>
        <v>597044.97135042</v>
      </c>
      <c r="H4" s="139"/>
    </row>
    <row r="5" s="123" customFormat="1" ht="25.2" customHeight="1" spans="1:8">
      <c r="A5" s="131">
        <v>1.2</v>
      </c>
      <c r="B5" s="142" t="s">
        <v>34</v>
      </c>
      <c r="C5" s="133" t="s">
        <v>35</v>
      </c>
      <c r="D5" s="132">
        <f t="shared" si="0"/>
        <v>125199.102204</v>
      </c>
      <c r="E5" s="143">
        <v>0.09</v>
      </c>
      <c r="F5" s="132">
        <f t="shared" si="1"/>
        <v>11267.91919836</v>
      </c>
      <c r="G5" s="133">
        <f>'02、装饰工程'!O36</f>
        <v>136467.02140236</v>
      </c>
      <c r="H5" s="144"/>
    </row>
    <row r="6" s="123" customFormat="1" ht="25.2" customHeight="1" spans="1:8">
      <c r="A6" s="131">
        <v>1.3</v>
      </c>
      <c r="B6" s="145" t="s">
        <v>36</v>
      </c>
      <c r="C6" s="133" t="s">
        <v>35</v>
      </c>
      <c r="D6" s="132">
        <f t="shared" si="0"/>
        <v>422548.577934</v>
      </c>
      <c r="E6" s="143">
        <v>0.09</v>
      </c>
      <c r="F6" s="132">
        <f t="shared" si="1"/>
        <v>38029.37201406</v>
      </c>
      <c r="G6" s="133">
        <f>'02、装饰工程'!O6</f>
        <v>460577.94994806</v>
      </c>
      <c r="H6" s="144"/>
    </row>
    <row r="7" s="123" customFormat="1" ht="25.2" customHeight="1" spans="1:8">
      <c r="A7" s="146">
        <v>2</v>
      </c>
      <c r="B7" s="147" t="s">
        <v>37</v>
      </c>
      <c r="C7" s="138"/>
      <c r="D7" s="136">
        <f t="shared" si="0"/>
        <v>109191.965444358</v>
      </c>
      <c r="E7" s="141">
        <v>0.09</v>
      </c>
      <c r="F7" s="136">
        <f t="shared" si="1"/>
        <v>9827.2768899922</v>
      </c>
      <c r="G7" s="138">
        <f>G9+G8</f>
        <v>119019.24233435</v>
      </c>
      <c r="H7" s="139"/>
    </row>
    <row r="8" s="123" customFormat="1" ht="25.2" customHeight="1" spans="1:8">
      <c r="A8" s="148">
        <v>2.1</v>
      </c>
      <c r="B8" s="142" t="s">
        <v>38</v>
      </c>
      <c r="C8" s="133" t="s">
        <v>35</v>
      </c>
      <c r="D8" s="132">
        <f t="shared" si="0"/>
        <v>84573.92094538</v>
      </c>
      <c r="E8" s="143">
        <v>0.09</v>
      </c>
      <c r="F8" s="132">
        <f t="shared" si="1"/>
        <v>7611.6528850842</v>
      </c>
      <c r="G8" s="133">
        <f>'03、安装工程'!N7</f>
        <v>92185.5738304642</v>
      </c>
      <c r="H8" s="144"/>
    </row>
    <row r="9" s="123" customFormat="1" ht="25.2" customHeight="1" spans="1:8">
      <c r="A9" s="148">
        <v>2.2</v>
      </c>
      <c r="B9" s="142" t="s">
        <v>39</v>
      </c>
      <c r="C9" s="133" t="s">
        <v>35</v>
      </c>
      <c r="D9" s="132">
        <f t="shared" si="0"/>
        <v>24618.0444989776</v>
      </c>
      <c r="E9" s="143">
        <v>0.09</v>
      </c>
      <c r="F9" s="132">
        <f t="shared" si="1"/>
        <v>2215.62400490799</v>
      </c>
      <c r="G9" s="133">
        <f>'03、安装工程'!N50</f>
        <v>26833.6685038856</v>
      </c>
      <c r="H9" s="144"/>
    </row>
    <row r="10" s="123" customFormat="1" ht="25.2" customHeight="1" spans="1:8">
      <c r="A10" s="149">
        <v>3</v>
      </c>
      <c r="B10" s="150" t="s">
        <v>40</v>
      </c>
      <c r="C10" s="138" t="s">
        <v>35</v>
      </c>
      <c r="D10" s="136">
        <f t="shared" si="0"/>
        <v>220832.051939101</v>
      </c>
      <c r="E10" s="141">
        <v>0.09</v>
      </c>
      <c r="F10" s="136">
        <f t="shared" si="1"/>
        <v>19874.8846745191</v>
      </c>
      <c r="G10" s="138">
        <f>开元壹号50公寓楼28层样板层增加清单与计价表!L127</f>
        <v>240706.93661362</v>
      </c>
      <c r="H10" s="144"/>
    </row>
    <row r="11" s="124" customFormat="1" ht="27" customHeight="1" spans="1:8">
      <c r="A11" s="149" t="s">
        <v>41</v>
      </c>
      <c r="B11" s="138"/>
      <c r="C11" s="138"/>
      <c r="D11" s="138">
        <f>D3</f>
        <v>877771.697521459</v>
      </c>
      <c r="E11" s="151">
        <v>0.09</v>
      </c>
      <c r="F11" s="136">
        <f t="shared" si="1"/>
        <v>78999.4527769313</v>
      </c>
      <c r="G11" s="138">
        <f>G3</f>
        <v>956771.15029839</v>
      </c>
      <c r="H11" s="152"/>
    </row>
  </sheetData>
  <mergeCells count="2">
    <mergeCell ref="A1:H1"/>
    <mergeCell ref="A11:B11"/>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50" sqref="U50"/>
    </sheetView>
  </sheetViews>
  <sheetFormatPr defaultColWidth="9.11428571428571" defaultRowHeight="12.75"/>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68"/>
  <sheetViews>
    <sheetView view="pageBreakPreview" zoomScale="115" zoomScaleNormal="115" workbookViewId="0">
      <pane ySplit="5" topLeftCell="A6" activePane="bottomLeft" state="frozen"/>
      <selection/>
      <selection pane="bottomLeft" activeCell="P45" sqref="P45:P47"/>
    </sheetView>
  </sheetViews>
  <sheetFormatPr defaultColWidth="16" defaultRowHeight="11.25"/>
  <cols>
    <col min="1" max="1" width="4.33333333333333" style="99" customWidth="1"/>
    <col min="2" max="2" width="7.88571428571429" style="100" customWidth="1"/>
    <col min="3" max="3" width="29.8857142857143" style="100" customWidth="1"/>
    <col min="4" max="4" width="6.44761904761905" style="100" customWidth="1"/>
    <col min="5" max="5" width="8.33333333333333" style="100" customWidth="1"/>
    <col min="6" max="6" width="7.33333333333333" style="101" customWidth="1"/>
    <col min="7" max="7" width="11.1142857142857" style="101" customWidth="1"/>
    <col min="8" max="8" width="7.66666666666667" style="101" customWidth="1"/>
    <col min="9" max="9" width="5.88571428571429" style="102" customWidth="1"/>
    <col min="10" max="10" width="8.66666666666667" style="101" customWidth="1"/>
    <col min="11" max="11" width="9.55238095238095" style="101" customWidth="1"/>
    <col min="12" max="12" width="8.11428571428571" style="101" customWidth="1"/>
    <col min="13" max="13" width="1" style="101" hidden="1" customWidth="1"/>
    <col min="14" max="14" width="10.1142857142857" style="101" customWidth="1"/>
    <col min="15" max="15" width="11.8857142857143" style="100" customWidth="1"/>
    <col min="16" max="16" width="7.33333333333333" style="100" customWidth="1"/>
    <col min="17" max="17" width="9" style="100"/>
    <col min="18" max="18" width="11.1142857142857" style="100"/>
    <col min="19" max="32" width="9" style="100" customWidth="1"/>
    <col min="33" max="16384" width="16" style="100"/>
  </cols>
  <sheetData>
    <row r="1" s="98" customFormat="1" ht="25.5" customHeight="1" spans="1:16">
      <c r="A1" s="103" t="s">
        <v>42</v>
      </c>
      <c r="B1" s="57"/>
      <c r="C1" s="57"/>
      <c r="D1" s="57"/>
      <c r="E1" s="57"/>
      <c r="F1" s="57"/>
      <c r="G1" s="57"/>
      <c r="H1" s="57"/>
      <c r="I1" s="71"/>
      <c r="J1" s="57"/>
      <c r="K1" s="57"/>
      <c r="L1" s="57"/>
      <c r="M1" s="57"/>
      <c r="N1" s="57"/>
      <c r="O1" s="57"/>
      <c r="P1" s="57"/>
    </row>
    <row r="2" s="98" customFormat="1" spans="1:16">
      <c r="A2" s="104" t="s">
        <v>43</v>
      </c>
      <c r="B2" s="105"/>
      <c r="C2" s="105"/>
      <c r="D2" s="105"/>
      <c r="E2" s="105"/>
      <c r="F2" s="105"/>
      <c r="G2" s="61"/>
      <c r="H2" s="61"/>
      <c r="I2" s="72"/>
      <c r="J2" s="61"/>
      <c r="K2" s="61"/>
      <c r="L2" s="61"/>
      <c r="M2" s="61"/>
      <c r="N2" s="105"/>
      <c r="O2" s="105"/>
      <c r="P2" s="105"/>
    </row>
    <row r="3" s="98" customFormat="1" spans="1:16">
      <c r="A3" s="106" t="s">
        <v>44</v>
      </c>
      <c r="B3" s="107" t="s">
        <v>45</v>
      </c>
      <c r="C3" s="107" t="s">
        <v>46</v>
      </c>
      <c r="D3" s="107" t="s">
        <v>25</v>
      </c>
      <c r="E3" s="107" t="s">
        <v>47</v>
      </c>
      <c r="F3" s="107" t="s">
        <v>48</v>
      </c>
      <c r="G3" s="107"/>
      <c r="H3" s="107"/>
      <c r="I3" s="114"/>
      <c r="J3" s="107"/>
      <c r="K3" s="107"/>
      <c r="L3" s="107"/>
      <c r="M3" s="107" t="s">
        <v>49</v>
      </c>
      <c r="N3" s="107"/>
      <c r="O3" s="107" t="s">
        <v>50</v>
      </c>
      <c r="P3" s="115" t="s">
        <v>51</v>
      </c>
    </row>
    <row r="4" s="98" customFormat="1" ht="45" spans="1:16">
      <c r="A4" s="106"/>
      <c r="B4" s="107"/>
      <c r="C4" s="107"/>
      <c r="D4" s="107"/>
      <c r="E4" s="107"/>
      <c r="F4" s="107" t="s">
        <v>52</v>
      </c>
      <c r="G4" s="107" t="s">
        <v>53</v>
      </c>
      <c r="H4" s="107" t="s">
        <v>54</v>
      </c>
      <c r="I4" s="114" t="s">
        <v>55</v>
      </c>
      <c r="J4" s="107" t="s">
        <v>56</v>
      </c>
      <c r="K4" s="107" t="s">
        <v>57</v>
      </c>
      <c r="L4" s="107" t="s">
        <v>58</v>
      </c>
      <c r="M4" s="107"/>
      <c r="N4" s="107"/>
      <c r="O4" s="107"/>
      <c r="P4" s="107"/>
    </row>
    <row r="5" s="98" customFormat="1" spans="1:16">
      <c r="A5" s="106"/>
      <c r="B5" s="107"/>
      <c r="C5" s="107"/>
      <c r="D5" s="107"/>
      <c r="E5" s="107"/>
      <c r="F5" s="107"/>
      <c r="G5" s="107" t="s">
        <v>59</v>
      </c>
      <c r="H5" s="107" t="s">
        <v>60</v>
      </c>
      <c r="I5" s="114" t="s">
        <v>61</v>
      </c>
      <c r="J5" s="107"/>
      <c r="K5" s="116">
        <v>0.06</v>
      </c>
      <c r="L5" s="116">
        <v>0.09</v>
      </c>
      <c r="M5" s="107"/>
      <c r="N5" s="107"/>
      <c r="O5" s="107"/>
      <c r="P5" s="107"/>
    </row>
    <row r="6" s="98" customFormat="1" spans="1:16">
      <c r="A6" s="108"/>
      <c r="B6" s="109" t="s">
        <v>36</v>
      </c>
      <c r="C6" s="109"/>
      <c r="D6" s="109"/>
      <c r="E6" s="109"/>
      <c r="F6" s="107"/>
      <c r="G6" s="110"/>
      <c r="H6" s="107"/>
      <c r="I6" s="114"/>
      <c r="J6" s="107"/>
      <c r="K6" s="107"/>
      <c r="L6" s="107"/>
      <c r="M6" s="107"/>
      <c r="N6" s="107"/>
      <c r="O6" s="107">
        <f>O7+O11+O18</f>
        <v>460577.94994806</v>
      </c>
      <c r="P6" s="107"/>
    </row>
    <row r="7" s="98" customFormat="1" spans="1:16">
      <c r="A7" s="108"/>
      <c r="B7" s="109" t="s">
        <v>62</v>
      </c>
      <c r="C7" s="109"/>
      <c r="D7" s="109"/>
      <c r="E7" s="109"/>
      <c r="F7" s="107"/>
      <c r="G7" s="107"/>
      <c r="H7" s="107"/>
      <c r="I7" s="114"/>
      <c r="J7" s="107"/>
      <c r="K7" s="107"/>
      <c r="L7" s="107"/>
      <c r="M7" s="107"/>
      <c r="N7" s="107"/>
      <c r="O7" s="107">
        <f>SUM(O8:O10)</f>
        <v>48250.2070609</v>
      </c>
      <c r="P7" s="107"/>
    </row>
    <row r="8" s="98" customFormat="1" ht="78.75" spans="1:16">
      <c r="A8" s="108">
        <v>34</v>
      </c>
      <c r="B8" s="109" t="s">
        <v>63</v>
      </c>
      <c r="C8" s="111" t="s">
        <v>64</v>
      </c>
      <c r="D8" s="109" t="s">
        <v>65</v>
      </c>
      <c r="E8" s="109">
        <f>175.46</f>
        <v>175.46</v>
      </c>
      <c r="F8" s="107">
        <v>70</v>
      </c>
      <c r="G8" s="107">
        <f t="shared" ref="G8:G10" si="0">H8*(1+I8)</f>
        <v>51.45</v>
      </c>
      <c r="H8" s="107">
        <v>49</v>
      </c>
      <c r="I8" s="114">
        <v>0.05</v>
      </c>
      <c r="J8" s="107">
        <v>40</v>
      </c>
      <c r="K8" s="107">
        <f>(F8+G8+J8)*$K$5</f>
        <v>9.687</v>
      </c>
      <c r="L8" s="107">
        <f>(F8+G8+J8+K8)*$L$5</f>
        <v>15.40233</v>
      </c>
      <c r="M8" s="107">
        <f>F8+G8+J8+K8+L8</f>
        <v>186.53933</v>
      </c>
      <c r="N8" s="107"/>
      <c r="O8" s="107">
        <f>M8*E8</f>
        <v>32730.1908418</v>
      </c>
      <c r="P8" s="107"/>
    </row>
    <row r="9" s="98" customFormat="1" ht="90" spans="1:16">
      <c r="A9" s="108">
        <v>35</v>
      </c>
      <c r="B9" s="109" t="s">
        <v>63</v>
      </c>
      <c r="C9" s="111" t="s">
        <v>66</v>
      </c>
      <c r="D9" s="109" t="s">
        <v>65</v>
      </c>
      <c r="E9" s="109">
        <f>30.64+56.21</f>
        <v>86.85</v>
      </c>
      <c r="F9" s="107">
        <v>45</v>
      </c>
      <c r="G9" s="107">
        <f t="shared" si="0"/>
        <v>49.35</v>
      </c>
      <c r="H9" s="107">
        <v>47</v>
      </c>
      <c r="I9" s="114">
        <v>0.05</v>
      </c>
      <c r="J9" s="107">
        <v>40</v>
      </c>
      <c r="K9" s="107">
        <f>(F9+G9+J9)*$K$5</f>
        <v>8.061</v>
      </c>
      <c r="L9" s="107">
        <f>(F9+G9+J9+K9)*$L$5</f>
        <v>12.81699</v>
      </c>
      <c r="M9" s="107">
        <f>F9+G9+J9+K9+L9</f>
        <v>155.22799</v>
      </c>
      <c r="N9" s="107"/>
      <c r="O9" s="107">
        <f>M9*E9</f>
        <v>13481.5509315</v>
      </c>
      <c r="P9" s="107"/>
    </row>
    <row r="10" s="98" customFormat="1" ht="78.75" spans="1:16">
      <c r="A10" s="108">
        <v>36</v>
      </c>
      <c r="B10" s="109" t="s">
        <v>67</v>
      </c>
      <c r="C10" s="109" t="s">
        <v>68</v>
      </c>
      <c r="D10" s="109" t="s">
        <v>65</v>
      </c>
      <c r="E10" s="109">
        <f>7.58+0.75</f>
        <v>8.33</v>
      </c>
      <c r="F10" s="107">
        <v>69</v>
      </c>
      <c r="G10" s="107">
        <f t="shared" si="0"/>
        <v>100.8</v>
      </c>
      <c r="H10" s="107">
        <v>96</v>
      </c>
      <c r="I10" s="114">
        <v>0.05</v>
      </c>
      <c r="J10" s="107">
        <v>42</v>
      </c>
      <c r="K10" s="107">
        <f>(F10+G10+J10)*$K$5</f>
        <v>12.708</v>
      </c>
      <c r="L10" s="107">
        <f>(F10+G10+J10+K10)*$L$5</f>
        <v>20.20572</v>
      </c>
      <c r="M10" s="107">
        <f>F10+G10+J10+K10+L10</f>
        <v>244.71372</v>
      </c>
      <c r="N10" s="107"/>
      <c r="O10" s="107">
        <f>M10*E10</f>
        <v>2038.4652876</v>
      </c>
      <c r="P10" s="107"/>
    </row>
    <row r="11" s="98" customFormat="1" spans="1:16">
      <c r="A11" s="108"/>
      <c r="B11" s="109" t="s">
        <v>69</v>
      </c>
      <c r="C11" s="109"/>
      <c r="D11" s="109"/>
      <c r="E11" s="109"/>
      <c r="F11" s="107"/>
      <c r="G11" s="107"/>
      <c r="H11" s="107"/>
      <c r="I11" s="114"/>
      <c r="J11" s="107"/>
      <c r="K11" s="107"/>
      <c r="L11" s="107"/>
      <c r="M11" s="107"/>
      <c r="N11" s="107"/>
      <c r="O11" s="107">
        <f>SUM(O12:O17)</f>
        <v>82395.5739948</v>
      </c>
      <c r="P11" s="107"/>
    </row>
    <row r="12" s="98" customFormat="1" ht="107" customHeight="1" spans="1:16">
      <c r="A12" s="108">
        <v>40</v>
      </c>
      <c r="B12" s="109" t="s">
        <v>70</v>
      </c>
      <c r="C12" s="109" t="s">
        <v>71</v>
      </c>
      <c r="D12" s="109" t="s">
        <v>65</v>
      </c>
      <c r="E12" s="109">
        <v>53.56</v>
      </c>
      <c r="F12" s="107">
        <v>108</v>
      </c>
      <c r="G12" s="107">
        <f t="shared" ref="G12:G16" si="1">H12*(1+I12)</f>
        <v>84</v>
      </c>
      <c r="H12" s="107">
        <v>80</v>
      </c>
      <c r="I12" s="114">
        <v>0.05</v>
      </c>
      <c r="J12" s="107">
        <v>65</v>
      </c>
      <c r="K12" s="107">
        <f t="shared" ref="K12:K17" si="2">(F12+G12+J12)*$K$5</f>
        <v>15.42</v>
      </c>
      <c r="L12" s="107">
        <f t="shared" ref="L12:L17" si="3">(F12+G12+J12+K12)*$L$5</f>
        <v>24.5178</v>
      </c>
      <c r="M12" s="107">
        <f t="shared" ref="M12:M17" si="4">F12+G12+J12+K12+L12</f>
        <v>296.9378</v>
      </c>
      <c r="N12" s="107"/>
      <c r="O12" s="107">
        <f t="shared" ref="O12:O17" si="5">M12*E12</f>
        <v>15903.988568</v>
      </c>
      <c r="P12" s="107"/>
    </row>
    <row r="13" s="98" customFormat="1" ht="101" customHeight="1" spans="1:16">
      <c r="A13" s="108">
        <v>41</v>
      </c>
      <c r="B13" s="109" t="s">
        <v>70</v>
      </c>
      <c r="C13" s="109" t="s">
        <v>72</v>
      </c>
      <c r="D13" s="109" t="s">
        <v>65</v>
      </c>
      <c r="E13" s="109">
        <v>36.05</v>
      </c>
      <c r="F13" s="107">
        <v>108</v>
      </c>
      <c r="G13" s="107">
        <f t="shared" si="1"/>
        <v>91.35</v>
      </c>
      <c r="H13" s="107">
        <v>87</v>
      </c>
      <c r="I13" s="114">
        <v>0.05</v>
      </c>
      <c r="J13" s="107">
        <v>65</v>
      </c>
      <c r="K13" s="107">
        <f t="shared" si="2"/>
        <v>15.861</v>
      </c>
      <c r="L13" s="107">
        <f t="shared" si="3"/>
        <v>25.21899</v>
      </c>
      <c r="M13" s="107">
        <f t="shared" si="4"/>
        <v>305.42999</v>
      </c>
      <c r="N13" s="107"/>
      <c r="O13" s="107">
        <f t="shared" si="5"/>
        <v>11010.7511395</v>
      </c>
      <c r="P13" s="107"/>
    </row>
    <row r="14" s="98" customFormat="1" ht="146.25" spans="1:16">
      <c r="A14" s="108">
        <v>45</v>
      </c>
      <c r="B14" s="109" t="s">
        <v>73</v>
      </c>
      <c r="C14" s="109" t="s">
        <v>74</v>
      </c>
      <c r="D14" s="109" t="s">
        <v>65</v>
      </c>
      <c r="E14" s="109">
        <v>88.9</v>
      </c>
      <c r="F14" s="107">
        <v>80</v>
      </c>
      <c r="G14" s="107">
        <f t="shared" si="1"/>
        <v>16.8</v>
      </c>
      <c r="H14" s="107">
        <v>16</v>
      </c>
      <c r="I14" s="114">
        <v>0.05</v>
      </c>
      <c r="J14" s="107">
        <v>60</v>
      </c>
      <c r="K14" s="107">
        <f t="shared" si="2"/>
        <v>9.408</v>
      </c>
      <c r="L14" s="107">
        <f t="shared" si="3"/>
        <v>14.95872</v>
      </c>
      <c r="M14" s="107">
        <f t="shared" si="4"/>
        <v>181.16672</v>
      </c>
      <c r="N14" s="107"/>
      <c r="O14" s="107">
        <f t="shared" si="5"/>
        <v>16105.721408</v>
      </c>
      <c r="P14" s="117"/>
    </row>
    <row r="15" s="98" customFormat="1" ht="146.25" spans="1:16">
      <c r="A15" s="108">
        <v>46</v>
      </c>
      <c r="B15" s="111" t="s">
        <v>75</v>
      </c>
      <c r="C15" s="111" t="s">
        <v>74</v>
      </c>
      <c r="D15" s="109" t="s">
        <v>65</v>
      </c>
      <c r="E15" s="111">
        <f>30.35+55.94</f>
        <v>86.29</v>
      </c>
      <c r="F15" s="107">
        <v>75</v>
      </c>
      <c r="G15" s="107">
        <f t="shared" si="1"/>
        <v>16.8</v>
      </c>
      <c r="H15" s="107">
        <v>16</v>
      </c>
      <c r="I15" s="114">
        <v>0.05</v>
      </c>
      <c r="J15" s="107">
        <v>60</v>
      </c>
      <c r="K15" s="107">
        <f t="shared" si="2"/>
        <v>9.108</v>
      </c>
      <c r="L15" s="107">
        <f t="shared" si="3"/>
        <v>14.48172</v>
      </c>
      <c r="M15" s="107">
        <f t="shared" si="4"/>
        <v>175.38972</v>
      </c>
      <c r="N15" s="107"/>
      <c r="O15" s="107">
        <f t="shared" si="5"/>
        <v>15134.3789388</v>
      </c>
      <c r="P15" s="117"/>
    </row>
    <row r="16" s="98" customFormat="1" ht="56.25" spans="1:16">
      <c r="A16" s="108">
        <v>47</v>
      </c>
      <c r="B16" s="111" t="s">
        <v>76</v>
      </c>
      <c r="C16" s="111" t="s">
        <v>77</v>
      </c>
      <c r="D16" s="111" t="s">
        <v>65</v>
      </c>
      <c r="E16" s="109">
        <f>153.31+55.94</f>
        <v>209.25</v>
      </c>
      <c r="F16" s="107">
        <v>30</v>
      </c>
      <c r="G16" s="107">
        <f t="shared" si="1"/>
        <v>9.69</v>
      </c>
      <c r="H16" s="107">
        <v>9.5</v>
      </c>
      <c r="I16" s="118">
        <v>0.02</v>
      </c>
      <c r="J16" s="107">
        <v>5</v>
      </c>
      <c r="K16" s="107">
        <f t="shared" si="2"/>
        <v>2.6814</v>
      </c>
      <c r="L16" s="107">
        <f t="shared" si="3"/>
        <v>4.263426</v>
      </c>
      <c r="M16" s="107">
        <f t="shared" si="4"/>
        <v>51.634826</v>
      </c>
      <c r="N16" s="107"/>
      <c r="O16" s="107">
        <f t="shared" si="5"/>
        <v>10804.5873405</v>
      </c>
      <c r="P16" s="117"/>
    </row>
    <row r="17" s="98" customFormat="1" ht="33.75" spans="1:16">
      <c r="A17" s="108">
        <v>48</v>
      </c>
      <c r="B17" s="111" t="s">
        <v>78</v>
      </c>
      <c r="C17" s="111" t="s">
        <v>79</v>
      </c>
      <c r="D17" s="111" t="s">
        <v>80</v>
      </c>
      <c r="E17" s="109">
        <f>17+12</f>
        <v>29</v>
      </c>
      <c r="F17" s="107">
        <v>45</v>
      </c>
      <c r="G17" s="107">
        <f t="shared" ref="G17" si="6">H17*(1+I17)</f>
        <v>324</v>
      </c>
      <c r="H17" s="107">
        <v>324</v>
      </c>
      <c r="I17" s="114"/>
      <c r="J17" s="107">
        <v>32</v>
      </c>
      <c r="K17" s="107">
        <f t="shared" si="2"/>
        <v>24.06</v>
      </c>
      <c r="L17" s="107">
        <f t="shared" si="3"/>
        <v>38.2554</v>
      </c>
      <c r="M17" s="107">
        <f t="shared" si="4"/>
        <v>463.3154</v>
      </c>
      <c r="N17" s="107"/>
      <c r="O17" s="107">
        <f t="shared" si="5"/>
        <v>13436.1466</v>
      </c>
      <c r="P17" s="107"/>
    </row>
    <row r="18" s="98" customFormat="1" spans="1:16">
      <c r="A18" s="108"/>
      <c r="B18" s="109" t="s">
        <v>81</v>
      </c>
      <c r="C18" s="109"/>
      <c r="D18" s="109"/>
      <c r="E18" s="109"/>
      <c r="F18" s="107"/>
      <c r="G18" s="110"/>
      <c r="H18" s="107"/>
      <c r="I18" s="114"/>
      <c r="J18" s="107"/>
      <c r="K18" s="107"/>
      <c r="L18" s="107"/>
      <c r="M18" s="107"/>
      <c r="N18" s="107"/>
      <c r="O18" s="107">
        <f>SUM(O19:O35)</f>
        <v>329932.16889236</v>
      </c>
      <c r="P18" s="107"/>
    </row>
    <row r="19" s="98" customFormat="1" ht="22.5" spans="1:16">
      <c r="A19" s="108">
        <v>50</v>
      </c>
      <c r="B19" s="111" t="s">
        <v>82</v>
      </c>
      <c r="C19" s="111" t="s">
        <v>83</v>
      </c>
      <c r="D19" s="111" t="s">
        <v>84</v>
      </c>
      <c r="E19" s="109">
        <v>10.21</v>
      </c>
      <c r="F19" s="107">
        <v>300</v>
      </c>
      <c r="G19" s="107">
        <f t="shared" ref="G19:G20" si="7">H19*(1+I19)</f>
        <v>362.1</v>
      </c>
      <c r="H19" s="107">
        <v>355</v>
      </c>
      <c r="I19" s="114">
        <v>0.02</v>
      </c>
      <c r="J19" s="107">
        <v>170</v>
      </c>
      <c r="K19" s="107">
        <f t="shared" ref="K19:K28" si="8">(F19+G19+J19)*$K$5</f>
        <v>49.926</v>
      </c>
      <c r="L19" s="107">
        <f t="shared" ref="L19:L28" si="9">(F19+G19+J19+K19)*$L$5</f>
        <v>79.38234</v>
      </c>
      <c r="M19" s="107">
        <f t="shared" ref="M19:M26" si="10">F19+G19+J19+K19+L19</f>
        <v>961.40834</v>
      </c>
      <c r="N19" s="107"/>
      <c r="O19" s="107">
        <f t="shared" ref="O19:O26" si="11">M19*E19</f>
        <v>9815.9791514</v>
      </c>
      <c r="P19" s="107"/>
    </row>
    <row r="20" s="98" customFormat="1" ht="22.5" spans="1:16">
      <c r="A20" s="108">
        <v>51</v>
      </c>
      <c r="B20" s="111" t="s">
        <v>85</v>
      </c>
      <c r="C20" s="111" t="s">
        <v>86</v>
      </c>
      <c r="D20" s="111" t="s">
        <v>65</v>
      </c>
      <c r="E20" s="109">
        <v>0.42</v>
      </c>
      <c r="F20" s="107">
        <v>150</v>
      </c>
      <c r="G20" s="107">
        <f t="shared" si="7"/>
        <v>360</v>
      </c>
      <c r="H20" s="107">
        <v>360</v>
      </c>
      <c r="I20" s="114"/>
      <c r="J20" s="107">
        <v>20</v>
      </c>
      <c r="K20" s="107">
        <f t="shared" si="8"/>
        <v>31.8</v>
      </c>
      <c r="L20" s="107">
        <f t="shared" si="9"/>
        <v>50.562</v>
      </c>
      <c r="M20" s="107">
        <f t="shared" si="10"/>
        <v>612.362</v>
      </c>
      <c r="N20" s="107"/>
      <c r="O20" s="107">
        <f t="shared" si="11"/>
        <v>257.19204</v>
      </c>
      <c r="P20" s="107"/>
    </row>
    <row r="21" ht="101.25" spans="1:18">
      <c r="A21" s="108">
        <v>53</v>
      </c>
      <c r="B21" s="109" t="s">
        <v>87</v>
      </c>
      <c r="C21" s="111" t="s">
        <v>88</v>
      </c>
      <c r="D21" s="109" t="s">
        <v>65</v>
      </c>
      <c r="E21" s="109">
        <v>248.33</v>
      </c>
      <c r="F21" s="107">
        <v>180</v>
      </c>
      <c r="G21" s="107">
        <f t="shared" ref="G21:G33" si="12">H21*(1+I21)</f>
        <v>210.45</v>
      </c>
      <c r="H21" s="107">
        <v>183</v>
      </c>
      <c r="I21" s="114">
        <v>0.15</v>
      </c>
      <c r="J21" s="107">
        <v>102</v>
      </c>
      <c r="K21" s="107">
        <f t="shared" si="8"/>
        <v>29.547</v>
      </c>
      <c r="L21" s="107">
        <f t="shared" si="9"/>
        <v>46.97973</v>
      </c>
      <c r="M21" s="107">
        <f t="shared" si="10"/>
        <v>568.97673</v>
      </c>
      <c r="N21" s="107"/>
      <c r="O21" s="107">
        <f t="shared" si="11"/>
        <v>141293.9913609</v>
      </c>
      <c r="P21" s="107"/>
      <c r="R21" s="98"/>
    </row>
    <row r="22" ht="67.5" spans="1:18">
      <c r="A22" s="108">
        <v>54</v>
      </c>
      <c r="B22" s="109" t="s">
        <v>87</v>
      </c>
      <c r="C22" s="111" t="s">
        <v>89</v>
      </c>
      <c r="D22" s="109" t="s">
        <v>65</v>
      </c>
      <c r="E22" s="109">
        <v>5.2</v>
      </c>
      <c r="F22" s="107">
        <v>75</v>
      </c>
      <c r="G22" s="107">
        <f t="shared" si="12"/>
        <v>181.5</v>
      </c>
      <c r="H22" s="107">
        <v>165</v>
      </c>
      <c r="I22" s="114">
        <v>0.1</v>
      </c>
      <c r="J22" s="107">
        <v>46</v>
      </c>
      <c r="K22" s="107">
        <f t="shared" si="8"/>
        <v>18.15</v>
      </c>
      <c r="L22" s="107">
        <f t="shared" si="9"/>
        <v>28.8585</v>
      </c>
      <c r="M22" s="107">
        <f t="shared" si="10"/>
        <v>349.5085</v>
      </c>
      <c r="N22" s="107"/>
      <c r="O22" s="107">
        <f t="shared" si="11"/>
        <v>1817.4442</v>
      </c>
      <c r="P22" s="107"/>
      <c r="R22" s="98"/>
    </row>
    <row r="23" ht="67.5" spans="1:18">
      <c r="A23" s="108">
        <v>55</v>
      </c>
      <c r="B23" s="109" t="s">
        <v>87</v>
      </c>
      <c r="C23" s="111" t="s">
        <v>90</v>
      </c>
      <c r="D23" s="109" t="s">
        <v>65</v>
      </c>
      <c r="E23" s="109">
        <f>3.2+2.93</f>
        <v>6.13</v>
      </c>
      <c r="F23" s="107">
        <v>75</v>
      </c>
      <c r="G23" s="107">
        <f t="shared" si="12"/>
        <v>181.5</v>
      </c>
      <c r="H23" s="107">
        <v>165</v>
      </c>
      <c r="I23" s="114">
        <v>0.1</v>
      </c>
      <c r="J23" s="107">
        <v>46</v>
      </c>
      <c r="K23" s="107">
        <f t="shared" si="8"/>
        <v>18.15</v>
      </c>
      <c r="L23" s="107">
        <f t="shared" si="9"/>
        <v>28.8585</v>
      </c>
      <c r="M23" s="107">
        <f t="shared" si="10"/>
        <v>349.5085</v>
      </c>
      <c r="N23" s="107"/>
      <c r="O23" s="107">
        <f t="shared" si="11"/>
        <v>2142.487105</v>
      </c>
      <c r="P23" s="107"/>
      <c r="R23" s="98"/>
    </row>
    <row r="24" ht="56.25" spans="1:18">
      <c r="A24" s="108">
        <v>56</v>
      </c>
      <c r="B24" s="109" t="s">
        <v>91</v>
      </c>
      <c r="C24" s="109" t="s">
        <v>92</v>
      </c>
      <c r="D24" s="109" t="s">
        <v>65</v>
      </c>
      <c r="E24" s="109">
        <f>80.06+6.21</f>
        <v>86.27</v>
      </c>
      <c r="F24" s="107">
        <v>70</v>
      </c>
      <c r="G24" s="107">
        <f t="shared" si="12"/>
        <v>78.75</v>
      </c>
      <c r="H24" s="107">
        <v>75</v>
      </c>
      <c r="I24" s="114">
        <v>0.05</v>
      </c>
      <c r="J24" s="107">
        <v>47</v>
      </c>
      <c r="K24" s="107">
        <f t="shared" si="8"/>
        <v>11.745</v>
      </c>
      <c r="L24" s="107">
        <f t="shared" si="9"/>
        <v>18.67455</v>
      </c>
      <c r="M24" s="107">
        <f t="shared" si="10"/>
        <v>226.16955</v>
      </c>
      <c r="N24" s="107"/>
      <c r="O24" s="107">
        <f t="shared" si="11"/>
        <v>19511.6470785</v>
      </c>
      <c r="P24" s="107"/>
      <c r="R24" s="98"/>
    </row>
    <row r="25" ht="101.25" spans="1:18">
      <c r="A25" s="108">
        <v>57</v>
      </c>
      <c r="B25" s="109" t="s">
        <v>93</v>
      </c>
      <c r="C25" s="111" t="s">
        <v>94</v>
      </c>
      <c r="D25" s="109" t="s">
        <v>65</v>
      </c>
      <c r="E25" s="109">
        <v>231</v>
      </c>
      <c r="F25" s="107">
        <v>50</v>
      </c>
      <c r="G25" s="107">
        <f t="shared" si="12"/>
        <v>50.4</v>
      </c>
      <c r="H25" s="107">
        <v>48</v>
      </c>
      <c r="I25" s="114">
        <v>0.05</v>
      </c>
      <c r="J25" s="107">
        <v>46</v>
      </c>
      <c r="K25" s="107">
        <f t="shared" si="8"/>
        <v>8.784</v>
      </c>
      <c r="L25" s="107">
        <f t="shared" si="9"/>
        <v>13.96656</v>
      </c>
      <c r="M25" s="107">
        <f t="shared" si="10"/>
        <v>169.15056</v>
      </c>
      <c r="N25" s="107"/>
      <c r="O25" s="107">
        <f t="shared" si="11"/>
        <v>39073.77936</v>
      </c>
      <c r="P25" s="107"/>
      <c r="R25" s="98"/>
    </row>
    <row r="26" ht="56.25" spans="1:18">
      <c r="A26" s="108">
        <v>59</v>
      </c>
      <c r="B26" s="109" t="s">
        <v>91</v>
      </c>
      <c r="C26" s="109" t="s">
        <v>95</v>
      </c>
      <c r="D26" s="109" t="s">
        <v>65</v>
      </c>
      <c r="E26" s="109">
        <f>4.66+4.57+2.76</f>
        <v>11.99</v>
      </c>
      <c r="F26" s="107">
        <v>75</v>
      </c>
      <c r="G26" s="107">
        <f t="shared" si="12"/>
        <v>121.8</v>
      </c>
      <c r="H26" s="107">
        <v>116</v>
      </c>
      <c r="I26" s="114">
        <v>0.05</v>
      </c>
      <c r="J26" s="107">
        <v>87</v>
      </c>
      <c r="K26" s="107">
        <f t="shared" si="8"/>
        <v>17.028</v>
      </c>
      <c r="L26" s="107">
        <f t="shared" si="9"/>
        <v>27.07452</v>
      </c>
      <c r="M26" s="107">
        <f t="shared" si="10"/>
        <v>327.90252</v>
      </c>
      <c r="N26" s="107"/>
      <c r="O26" s="107">
        <f t="shared" si="11"/>
        <v>3931.5512148</v>
      </c>
      <c r="P26" s="107"/>
      <c r="R26" s="98"/>
    </row>
    <row r="27" ht="33.75" spans="1:18">
      <c r="A27" s="108">
        <v>61</v>
      </c>
      <c r="B27" s="109" t="s">
        <v>96</v>
      </c>
      <c r="C27" s="111" t="s">
        <v>97</v>
      </c>
      <c r="D27" s="109" t="s">
        <v>80</v>
      </c>
      <c r="E27" s="109">
        <v>28</v>
      </c>
      <c r="F27" s="107">
        <v>40</v>
      </c>
      <c r="G27" s="107">
        <f t="shared" si="12"/>
        <v>298</v>
      </c>
      <c r="H27" s="107">
        <v>298</v>
      </c>
      <c r="I27" s="114"/>
      <c r="J27" s="107">
        <v>7</v>
      </c>
      <c r="K27" s="107">
        <f t="shared" si="8"/>
        <v>20.7</v>
      </c>
      <c r="L27" s="107">
        <f t="shared" si="9"/>
        <v>32.913</v>
      </c>
      <c r="M27" s="107">
        <f t="shared" ref="M27:M35" si="13">F27+G27+J27+K27+L27</f>
        <v>398.613</v>
      </c>
      <c r="N27" s="107"/>
      <c r="O27" s="107">
        <f t="shared" ref="O27:O35" si="14">M27*E27</f>
        <v>11161.164</v>
      </c>
      <c r="P27" s="107"/>
      <c r="R27" s="98"/>
    </row>
    <row r="28" ht="33.75" spans="1:18">
      <c r="A28" s="108">
        <v>62</v>
      </c>
      <c r="B28" s="109" t="s">
        <v>96</v>
      </c>
      <c r="C28" s="111" t="s">
        <v>98</v>
      </c>
      <c r="D28" s="109" t="s">
        <v>80</v>
      </c>
      <c r="E28" s="109">
        <v>4</v>
      </c>
      <c r="F28" s="107">
        <v>40</v>
      </c>
      <c r="G28" s="107">
        <f t="shared" si="12"/>
        <v>516</v>
      </c>
      <c r="H28" s="107">
        <v>516</v>
      </c>
      <c r="I28" s="114"/>
      <c r="J28" s="107">
        <v>10</v>
      </c>
      <c r="K28" s="107">
        <f t="shared" si="8"/>
        <v>33.96</v>
      </c>
      <c r="L28" s="107">
        <f t="shared" si="9"/>
        <v>53.9964</v>
      </c>
      <c r="M28" s="107">
        <f t="shared" si="13"/>
        <v>653.9564</v>
      </c>
      <c r="N28" s="107"/>
      <c r="O28" s="107">
        <f t="shared" si="14"/>
        <v>2615.8256</v>
      </c>
      <c r="P28" s="107"/>
      <c r="R28" s="98"/>
    </row>
    <row r="29" ht="33.75" spans="1:18">
      <c r="A29" s="108">
        <v>63</v>
      </c>
      <c r="B29" s="109" t="s">
        <v>99</v>
      </c>
      <c r="C29" s="109" t="s">
        <v>100</v>
      </c>
      <c r="D29" s="109" t="s">
        <v>65</v>
      </c>
      <c r="E29" s="109">
        <v>3.13</v>
      </c>
      <c r="F29" s="107">
        <v>250</v>
      </c>
      <c r="G29" s="107">
        <f t="shared" si="12"/>
        <v>413.7</v>
      </c>
      <c r="H29" s="107">
        <v>394</v>
      </c>
      <c r="I29" s="114">
        <v>0.05</v>
      </c>
      <c r="J29" s="107">
        <v>77</v>
      </c>
      <c r="K29" s="107">
        <f t="shared" ref="K29:K35" si="15">(F29+G29+J29)*$K$5</f>
        <v>44.442</v>
      </c>
      <c r="L29" s="107">
        <f t="shared" ref="L29:L35" si="16">(F29+G29+J29+K29)*$L$5</f>
        <v>70.66278</v>
      </c>
      <c r="M29" s="107">
        <f t="shared" si="13"/>
        <v>855.80478</v>
      </c>
      <c r="N29" s="107"/>
      <c r="O29" s="107">
        <f t="shared" si="14"/>
        <v>2678.6689614</v>
      </c>
      <c r="P29" s="107"/>
      <c r="R29" s="98"/>
    </row>
    <row r="30" ht="22.5" spans="1:18">
      <c r="A30" s="108">
        <v>64</v>
      </c>
      <c r="B30" s="109" t="s">
        <v>101</v>
      </c>
      <c r="C30" s="111" t="s">
        <v>102</v>
      </c>
      <c r="D30" s="109" t="s">
        <v>65</v>
      </c>
      <c r="E30" s="111">
        <f>2.85+0.785*5.2</f>
        <v>6.932</v>
      </c>
      <c r="F30" s="107">
        <v>170</v>
      </c>
      <c r="G30" s="107">
        <f t="shared" si="12"/>
        <v>744.6</v>
      </c>
      <c r="H30" s="107">
        <v>730</v>
      </c>
      <c r="I30" s="114">
        <v>0.02</v>
      </c>
      <c r="J30" s="107">
        <v>80</v>
      </c>
      <c r="K30" s="107">
        <f t="shared" si="15"/>
        <v>59.676</v>
      </c>
      <c r="L30" s="107">
        <f t="shared" si="16"/>
        <v>94.88484</v>
      </c>
      <c r="M30" s="107">
        <f t="shared" si="13"/>
        <v>1149.16084</v>
      </c>
      <c r="N30" s="107"/>
      <c r="O30" s="107">
        <f t="shared" si="14"/>
        <v>7965.98294288</v>
      </c>
      <c r="P30" s="107"/>
      <c r="R30" s="98"/>
    </row>
    <row r="31" ht="56.25" spans="1:18">
      <c r="A31" s="108">
        <v>65</v>
      </c>
      <c r="B31" s="112" t="s">
        <v>103</v>
      </c>
      <c r="C31" s="112" t="s">
        <v>104</v>
      </c>
      <c r="D31" s="112" t="s">
        <v>65</v>
      </c>
      <c r="E31" s="112">
        <v>76.32</v>
      </c>
      <c r="F31" s="107">
        <v>180</v>
      </c>
      <c r="G31" s="110">
        <f t="shared" si="12"/>
        <v>546</v>
      </c>
      <c r="H31" s="110">
        <v>520</v>
      </c>
      <c r="I31" s="118">
        <v>0.05</v>
      </c>
      <c r="J31" s="110">
        <v>55</v>
      </c>
      <c r="K31" s="107">
        <f t="shared" si="15"/>
        <v>46.86</v>
      </c>
      <c r="L31" s="107">
        <f t="shared" si="16"/>
        <v>74.5074</v>
      </c>
      <c r="M31" s="107">
        <f t="shared" si="13"/>
        <v>902.3674</v>
      </c>
      <c r="N31" s="107"/>
      <c r="O31" s="107">
        <f t="shared" si="14"/>
        <v>68868.679968</v>
      </c>
      <c r="P31" s="107"/>
      <c r="R31" s="98"/>
    </row>
    <row r="32" ht="67.5" spans="1:18">
      <c r="A32" s="108">
        <v>66</v>
      </c>
      <c r="B32" s="109" t="s">
        <v>105</v>
      </c>
      <c r="C32" s="109" t="s">
        <v>106</v>
      </c>
      <c r="D32" s="109" t="s">
        <v>65</v>
      </c>
      <c r="E32" s="109">
        <v>24.94</v>
      </c>
      <c r="F32" s="107">
        <v>125</v>
      </c>
      <c r="G32" s="107">
        <f t="shared" si="12"/>
        <v>204.75</v>
      </c>
      <c r="H32" s="107">
        <v>195</v>
      </c>
      <c r="I32" s="114">
        <v>0.05</v>
      </c>
      <c r="J32" s="107">
        <v>65</v>
      </c>
      <c r="K32" s="107">
        <f t="shared" si="15"/>
        <v>23.685</v>
      </c>
      <c r="L32" s="107">
        <f t="shared" si="16"/>
        <v>37.65915</v>
      </c>
      <c r="M32" s="107">
        <f t="shared" si="13"/>
        <v>456.09415</v>
      </c>
      <c r="N32" s="107"/>
      <c r="O32" s="107">
        <f t="shared" si="14"/>
        <v>11374.988101</v>
      </c>
      <c r="P32" s="107"/>
      <c r="R32" s="98"/>
    </row>
    <row r="33" ht="56.25" spans="1:18">
      <c r="A33" s="108">
        <v>67</v>
      </c>
      <c r="B33" s="109" t="s">
        <v>107</v>
      </c>
      <c r="C33" s="109" t="s">
        <v>108</v>
      </c>
      <c r="D33" s="109" t="s">
        <v>65</v>
      </c>
      <c r="E33" s="109">
        <f>1.73+4.57</f>
        <v>6.3</v>
      </c>
      <c r="F33" s="107">
        <v>50</v>
      </c>
      <c r="G33" s="107">
        <f t="shared" si="12"/>
        <v>92.92</v>
      </c>
      <c r="H33" s="107">
        <v>92</v>
      </c>
      <c r="I33" s="114">
        <v>0.01</v>
      </c>
      <c r="J33" s="107">
        <v>13</v>
      </c>
      <c r="K33" s="107">
        <f t="shared" si="15"/>
        <v>9.3552</v>
      </c>
      <c r="L33" s="107">
        <f t="shared" si="16"/>
        <v>14.874768</v>
      </c>
      <c r="M33" s="107">
        <f t="shared" si="13"/>
        <v>180.149968</v>
      </c>
      <c r="N33" s="107"/>
      <c r="O33" s="107">
        <f t="shared" si="14"/>
        <v>1134.9447984</v>
      </c>
      <c r="P33" s="107"/>
      <c r="R33" s="98"/>
    </row>
    <row r="34" ht="56.25" spans="1:18">
      <c r="A34" s="108">
        <v>68</v>
      </c>
      <c r="B34" s="109" t="s">
        <v>107</v>
      </c>
      <c r="C34" s="109" t="s">
        <v>109</v>
      </c>
      <c r="D34" s="109" t="s">
        <v>65</v>
      </c>
      <c r="E34" s="109">
        <f>4.24+3.88</f>
        <v>8.12</v>
      </c>
      <c r="F34" s="107">
        <v>50</v>
      </c>
      <c r="G34" s="107">
        <f t="shared" ref="G34:G35" si="17">H34*(1+I34)</f>
        <v>92.92</v>
      </c>
      <c r="H34" s="107">
        <v>92</v>
      </c>
      <c r="I34" s="114">
        <v>0.01</v>
      </c>
      <c r="J34" s="107">
        <v>13</v>
      </c>
      <c r="K34" s="107">
        <f t="shared" ref="K34" si="18">(F34+G34+J34)*$K$5</f>
        <v>9.3552</v>
      </c>
      <c r="L34" s="107">
        <f t="shared" si="16"/>
        <v>14.874768</v>
      </c>
      <c r="M34" s="107">
        <f t="shared" si="13"/>
        <v>180.149968</v>
      </c>
      <c r="N34" s="107"/>
      <c r="O34" s="107">
        <f t="shared" si="14"/>
        <v>1462.81774016</v>
      </c>
      <c r="P34" s="107"/>
      <c r="R34" s="98"/>
    </row>
    <row r="35" ht="78.75" spans="1:18">
      <c r="A35" s="108">
        <v>69</v>
      </c>
      <c r="B35" s="111" t="s">
        <v>110</v>
      </c>
      <c r="C35" s="111" t="s">
        <v>111</v>
      </c>
      <c r="D35" s="109" t="s">
        <v>65</v>
      </c>
      <c r="E35" s="109">
        <f>3.6*2.54</f>
        <v>9.144</v>
      </c>
      <c r="F35" s="107">
        <v>130</v>
      </c>
      <c r="G35" s="107">
        <f t="shared" si="17"/>
        <v>266.7</v>
      </c>
      <c r="H35" s="107">
        <v>254</v>
      </c>
      <c r="I35" s="114">
        <v>0.05</v>
      </c>
      <c r="J35" s="107">
        <v>60</v>
      </c>
      <c r="K35" s="107">
        <f t="shared" si="15"/>
        <v>27.402</v>
      </c>
      <c r="L35" s="107">
        <f t="shared" si="16"/>
        <v>43.56918</v>
      </c>
      <c r="M35" s="107">
        <f t="shared" si="13"/>
        <v>527.67118</v>
      </c>
      <c r="N35" s="107"/>
      <c r="O35" s="107">
        <f t="shared" si="14"/>
        <v>4825.02526992</v>
      </c>
      <c r="P35" s="107"/>
      <c r="R35" s="98"/>
    </row>
    <row r="36" ht="33.75" spans="1:18">
      <c r="A36" s="108"/>
      <c r="B36" s="111" t="s">
        <v>112</v>
      </c>
      <c r="C36" s="111"/>
      <c r="D36" s="109"/>
      <c r="E36" s="109"/>
      <c r="F36" s="107"/>
      <c r="G36" s="107" t="s">
        <v>113</v>
      </c>
      <c r="H36" s="107"/>
      <c r="I36" s="114"/>
      <c r="J36" s="107"/>
      <c r="K36" s="107"/>
      <c r="L36" s="107"/>
      <c r="M36" s="107"/>
      <c r="N36" s="107"/>
      <c r="O36" s="107">
        <f>O37+O42+O48</f>
        <v>136467.02140236</v>
      </c>
      <c r="P36" s="107"/>
      <c r="R36" s="98"/>
    </row>
    <row r="37" spans="1:18">
      <c r="A37" s="108"/>
      <c r="B37" s="111" t="s">
        <v>114</v>
      </c>
      <c r="C37" s="109"/>
      <c r="D37" s="109"/>
      <c r="E37" s="109"/>
      <c r="F37" s="107"/>
      <c r="G37" s="107"/>
      <c r="H37" s="107"/>
      <c r="I37" s="114"/>
      <c r="J37" s="107"/>
      <c r="K37" s="107"/>
      <c r="L37" s="107"/>
      <c r="M37" s="107"/>
      <c r="N37" s="107"/>
      <c r="O37" s="107">
        <f>SUM(O38:O41)</f>
        <v>19194.88356171</v>
      </c>
      <c r="P37" s="107"/>
      <c r="R37" s="98"/>
    </row>
    <row r="38" ht="78.75" spans="1:18">
      <c r="A38" s="108">
        <v>74</v>
      </c>
      <c r="B38" s="109" t="s">
        <v>63</v>
      </c>
      <c r="C38" s="111" t="s">
        <v>64</v>
      </c>
      <c r="D38" s="109" t="s">
        <v>65</v>
      </c>
      <c r="E38" s="109">
        <f>178.17/2</f>
        <v>89.085</v>
      </c>
      <c r="F38" s="107">
        <v>70</v>
      </c>
      <c r="G38" s="107">
        <f t="shared" ref="G38:G40" si="19">H38*(1+I38)</f>
        <v>51.45</v>
      </c>
      <c r="H38" s="107">
        <v>49</v>
      </c>
      <c r="I38" s="114">
        <v>0.05</v>
      </c>
      <c r="J38" s="107">
        <v>40</v>
      </c>
      <c r="K38" s="107">
        <f>(F38+G38+J38)*$K$5</f>
        <v>9.687</v>
      </c>
      <c r="L38" s="107">
        <f>(F38+G38+J38+K38)*$L$5</f>
        <v>15.40233</v>
      </c>
      <c r="M38" s="107">
        <f>F38+G38+J38+K38+L38</f>
        <v>186.53933</v>
      </c>
      <c r="N38" s="107"/>
      <c r="O38" s="107">
        <f>M38*E38</f>
        <v>16617.85621305</v>
      </c>
      <c r="P38" s="107"/>
      <c r="R38" s="98"/>
    </row>
    <row r="39" ht="90" spans="1:18">
      <c r="A39" s="108">
        <v>75</v>
      </c>
      <c r="B39" s="109" t="s">
        <v>63</v>
      </c>
      <c r="C39" s="111" t="s">
        <v>66</v>
      </c>
      <c r="D39" s="109" t="s">
        <v>65</v>
      </c>
      <c r="E39" s="109">
        <f>11.58/2</f>
        <v>5.79</v>
      </c>
      <c r="F39" s="107">
        <v>45</v>
      </c>
      <c r="G39" s="107">
        <f t="shared" si="19"/>
        <v>49.35</v>
      </c>
      <c r="H39" s="107">
        <v>47</v>
      </c>
      <c r="I39" s="114">
        <v>0.05</v>
      </c>
      <c r="J39" s="107">
        <v>40</v>
      </c>
      <c r="K39" s="107">
        <f>(F39+G39+J39)*$K$5</f>
        <v>8.061</v>
      </c>
      <c r="L39" s="107">
        <f>(F39+G39+J39+K39)*$L$5</f>
        <v>12.81699</v>
      </c>
      <c r="M39" s="107">
        <f>F39+G39+J39+K39+L39</f>
        <v>155.22799</v>
      </c>
      <c r="N39" s="107"/>
      <c r="O39" s="107">
        <f>M39*E39</f>
        <v>898.7700621</v>
      </c>
      <c r="P39" s="107"/>
      <c r="R39" s="98"/>
    </row>
    <row r="40" ht="101.25" spans="1:18">
      <c r="A40" s="108">
        <v>76</v>
      </c>
      <c r="B40" s="109" t="s">
        <v>63</v>
      </c>
      <c r="C40" s="111" t="s">
        <v>115</v>
      </c>
      <c r="D40" s="109" t="s">
        <v>65</v>
      </c>
      <c r="E40" s="109">
        <f>6.24/2</f>
        <v>3.12</v>
      </c>
      <c r="F40" s="107">
        <v>70</v>
      </c>
      <c r="G40" s="107">
        <f t="shared" si="19"/>
        <v>51.45</v>
      </c>
      <c r="H40" s="107">
        <v>49</v>
      </c>
      <c r="I40" s="114">
        <v>0.05</v>
      </c>
      <c r="J40" s="107">
        <v>40</v>
      </c>
      <c r="K40" s="107">
        <f>(E40+F40+I40+J40)*K5</f>
        <v>6.7902</v>
      </c>
      <c r="L40" s="107">
        <f>(F40+G40+J40+K40)*$L$5</f>
        <v>15.141618</v>
      </c>
      <c r="M40" s="107">
        <f>F40+G40+J40+K40+L40</f>
        <v>183.381818</v>
      </c>
      <c r="N40" s="107"/>
      <c r="O40" s="107">
        <f>M40*E40</f>
        <v>572.15127216</v>
      </c>
      <c r="P40" s="107"/>
      <c r="R40" s="98"/>
    </row>
    <row r="41" ht="78.75" spans="1:18">
      <c r="A41" s="108">
        <v>77</v>
      </c>
      <c r="B41" s="109" t="s">
        <v>67</v>
      </c>
      <c r="C41" s="109" t="s">
        <v>68</v>
      </c>
      <c r="D41" s="109" t="s">
        <v>65</v>
      </c>
      <c r="E41" s="109">
        <f>9.04/2</f>
        <v>4.52</v>
      </c>
      <c r="F41" s="107">
        <v>69</v>
      </c>
      <c r="G41" s="107">
        <f t="shared" ref="G41" si="20">H41*(1+I41)</f>
        <v>100.8</v>
      </c>
      <c r="H41" s="107">
        <v>96</v>
      </c>
      <c r="I41" s="114">
        <v>0.05</v>
      </c>
      <c r="J41" s="107">
        <v>42</v>
      </c>
      <c r="K41" s="107">
        <f>(F41+G41+J41)*$K$5</f>
        <v>12.708</v>
      </c>
      <c r="L41" s="107">
        <f>(F41+G41+J41+K41)*$L$5</f>
        <v>20.20572</v>
      </c>
      <c r="M41" s="107">
        <f>F41+G41+J41+K41+L41</f>
        <v>244.71372</v>
      </c>
      <c r="N41" s="107"/>
      <c r="O41" s="107">
        <f>M41*E41</f>
        <v>1106.1060144</v>
      </c>
      <c r="P41" s="107"/>
      <c r="R41" s="98"/>
    </row>
    <row r="42" spans="1:18">
      <c r="A42" s="108"/>
      <c r="B42" s="111" t="s">
        <v>114</v>
      </c>
      <c r="C42" s="109"/>
      <c r="D42" s="109"/>
      <c r="E42" s="109"/>
      <c r="F42" s="107"/>
      <c r="G42" s="107"/>
      <c r="H42" s="107"/>
      <c r="I42" s="114"/>
      <c r="J42" s="107"/>
      <c r="K42" s="107"/>
      <c r="L42" s="107"/>
      <c r="M42" s="107"/>
      <c r="N42" s="107"/>
      <c r="O42" s="107">
        <f>SUM(O43:O47)</f>
        <v>26945.44763985</v>
      </c>
      <c r="P42" s="107"/>
      <c r="R42" s="98"/>
    </row>
    <row r="43" ht="101.25" spans="1:18">
      <c r="A43" s="108">
        <v>78</v>
      </c>
      <c r="B43" s="109" t="s">
        <v>70</v>
      </c>
      <c r="C43" s="109" t="s">
        <v>71</v>
      </c>
      <c r="D43" s="109" t="s">
        <v>65</v>
      </c>
      <c r="E43" s="109">
        <f>19.17/2</f>
        <v>9.585</v>
      </c>
      <c r="F43" s="107">
        <v>75</v>
      </c>
      <c r="G43" s="107">
        <f t="shared" ref="G43:G47" si="21">H43*(1+I43)</f>
        <v>84</v>
      </c>
      <c r="H43" s="107">
        <v>80</v>
      </c>
      <c r="I43" s="114">
        <v>0.05</v>
      </c>
      <c r="J43" s="107">
        <v>65</v>
      </c>
      <c r="K43" s="107">
        <f>(F43+G43+J43)*$K$5</f>
        <v>13.44</v>
      </c>
      <c r="L43" s="107">
        <f>(F43+G43+J43+K43)*$L$5</f>
        <v>21.3696</v>
      </c>
      <c r="M43" s="107">
        <f>F43+G43+J43+K43+L43</f>
        <v>258.8096</v>
      </c>
      <c r="N43" s="107"/>
      <c r="O43" s="107">
        <f>M43*E43</f>
        <v>2480.690016</v>
      </c>
      <c r="P43" s="107"/>
      <c r="R43" s="98"/>
    </row>
    <row r="44" ht="101.25" spans="1:18">
      <c r="A44" s="108">
        <v>79</v>
      </c>
      <c r="B44" s="109" t="s">
        <v>70</v>
      </c>
      <c r="C44" s="109" t="s">
        <v>116</v>
      </c>
      <c r="D44" s="109" t="s">
        <v>65</v>
      </c>
      <c r="E44" s="109">
        <f>18.86/2</f>
        <v>9.43</v>
      </c>
      <c r="F44" s="107">
        <v>80</v>
      </c>
      <c r="G44" s="107">
        <f t="shared" ref="G44" si="22">H44*(1+I44)</f>
        <v>84</v>
      </c>
      <c r="H44" s="107">
        <v>80</v>
      </c>
      <c r="I44" s="114">
        <v>0.05</v>
      </c>
      <c r="J44" s="107">
        <v>65</v>
      </c>
      <c r="K44" s="107">
        <f>(F44+G44+J44)*$K$5</f>
        <v>13.74</v>
      </c>
      <c r="L44" s="107">
        <f>(F44+G44+J44+K44)*$L$5</f>
        <v>21.8466</v>
      </c>
      <c r="M44" s="107">
        <f>F44+G44+J44+K44+L44</f>
        <v>264.5866</v>
      </c>
      <c r="N44" s="107"/>
      <c r="O44" s="107">
        <f>M44*E44</f>
        <v>2495.051638</v>
      </c>
      <c r="P44" s="107"/>
      <c r="R44" s="98"/>
    </row>
    <row r="45" ht="146.25" spans="1:18">
      <c r="A45" s="108">
        <v>80</v>
      </c>
      <c r="B45" s="109" t="s">
        <v>73</v>
      </c>
      <c r="C45" s="109" t="s">
        <v>74</v>
      </c>
      <c r="D45" s="109" t="s">
        <v>65</v>
      </c>
      <c r="E45" s="109">
        <f>149.43/2</f>
        <v>74.715</v>
      </c>
      <c r="F45" s="107">
        <v>80</v>
      </c>
      <c r="G45" s="107">
        <f t="shared" si="21"/>
        <v>16.8</v>
      </c>
      <c r="H45" s="107">
        <v>16</v>
      </c>
      <c r="I45" s="114">
        <v>0.05</v>
      </c>
      <c r="J45" s="107">
        <v>60</v>
      </c>
      <c r="K45" s="107">
        <f>(F45+G45+J45)*$K$5</f>
        <v>9.408</v>
      </c>
      <c r="L45" s="107">
        <f>(F45+G45+J45+K45)*$L$5</f>
        <v>14.95872</v>
      </c>
      <c r="M45" s="107">
        <f>F45+G45+J45+K45+L45</f>
        <v>181.16672</v>
      </c>
      <c r="N45" s="107"/>
      <c r="O45" s="107">
        <f>M45*E45</f>
        <v>13535.8714848</v>
      </c>
      <c r="P45" s="117"/>
      <c r="R45" s="98"/>
    </row>
    <row r="46" ht="146.25" spans="1:18">
      <c r="A46" s="108">
        <v>81</v>
      </c>
      <c r="B46" s="111" t="s">
        <v>75</v>
      </c>
      <c r="C46" s="111" t="s">
        <v>74</v>
      </c>
      <c r="D46" s="109" t="s">
        <v>65</v>
      </c>
      <c r="E46" s="109">
        <f>36.63/2</f>
        <v>18.315</v>
      </c>
      <c r="F46" s="107">
        <v>75</v>
      </c>
      <c r="G46" s="107">
        <f t="shared" si="21"/>
        <v>16.8</v>
      </c>
      <c r="H46" s="107">
        <v>16</v>
      </c>
      <c r="I46" s="114">
        <v>0.05</v>
      </c>
      <c r="J46" s="107">
        <v>60</v>
      </c>
      <c r="K46" s="107">
        <f>(F46+G46+J46)*$K$5</f>
        <v>9.108</v>
      </c>
      <c r="L46" s="107">
        <f>(F46+G46+J46+K46)*$L$5</f>
        <v>14.48172</v>
      </c>
      <c r="M46" s="107">
        <f>F46+G46+J46+K46+L46</f>
        <v>175.38972</v>
      </c>
      <c r="N46" s="107"/>
      <c r="O46" s="107">
        <f>M46*E46</f>
        <v>3212.2627218</v>
      </c>
      <c r="P46" s="117"/>
      <c r="R46" s="98"/>
    </row>
    <row r="47" ht="56.25" spans="1:18">
      <c r="A47" s="108">
        <v>82</v>
      </c>
      <c r="B47" s="111" t="s">
        <v>76</v>
      </c>
      <c r="C47" s="111" t="s">
        <v>77</v>
      </c>
      <c r="D47" s="109" t="s">
        <v>65</v>
      </c>
      <c r="E47" s="109">
        <f>202.25/2</f>
        <v>101.125</v>
      </c>
      <c r="F47" s="107">
        <v>30</v>
      </c>
      <c r="G47" s="107">
        <f t="shared" si="21"/>
        <v>9.69</v>
      </c>
      <c r="H47" s="107">
        <v>9.5</v>
      </c>
      <c r="I47" s="118">
        <v>0.02</v>
      </c>
      <c r="J47" s="107">
        <v>5</v>
      </c>
      <c r="K47" s="107">
        <f>(F47+G47+J47)*$K$5</f>
        <v>2.6814</v>
      </c>
      <c r="L47" s="107">
        <f>(F47+G47+J47+K47)*$L$5</f>
        <v>4.263426</v>
      </c>
      <c r="M47" s="107">
        <f>F47+G47+J47+K47+L47</f>
        <v>51.634826</v>
      </c>
      <c r="N47" s="107"/>
      <c r="O47" s="107">
        <f>M47*E47</f>
        <v>5221.57177925</v>
      </c>
      <c r="P47" s="117"/>
      <c r="R47" s="98"/>
    </row>
    <row r="48" spans="1:18">
      <c r="A48" s="108"/>
      <c r="B48" s="111" t="s">
        <v>114</v>
      </c>
      <c r="C48" s="109"/>
      <c r="D48" s="109"/>
      <c r="E48" s="109"/>
      <c r="F48" s="107"/>
      <c r="G48" s="110"/>
      <c r="H48" s="107"/>
      <c r="I48" s="114"/>
      <c r="J48" s="107"/>
      <c r="K48" s="107"/>
      <c r="L48" s="107"/>
      <c r="M48" s="107"/>
      <c r="N48" s="107"/>
      <c r="O48" s="107">
        <f>SUM(O49:O59)</f>
        <v>90326.6902008</v>
      </c>
      <c r="P48" s="119"/>
      <c r="R48" s="98"/>
    </row>
    <row r="49" ht="114" customHeight="1" spans="1:18">
      <c r="A49" s="108">
        <v>85</v>
      </c>
      <c r="B49" s="109" t="s">
        <v>93</v>
      </c>
      <c r="C49" s="111" t="s">
        <v>94</v>
      </c>
      <c r="D49" s="109" t="s">
        <v>65</v>
      </c>
      <c r="E49" s="109">
        <f>44.52/2</f>
        <v>22.26</v>
      </c>
      <c r="F49" s="107">
        <v>50</v>
      </c>
      <c r="G49" s="107">
        <f t="shared" ref="G49" si="23">H49*(1+I49)</f>
        <v>50.4</v>
      </c>
      <c r="H49" s="107">
        <v>48</v>
      </c>
      <c r="I49" s="114">
        <v>0.05</v>
      </c>
      <c r="J49" s="107">
        <v>46</v>
      </c>
      <c r="K49" s="107">
        <f t="shared" ref="K49:K59" si="24">(F49+G49+J49)*$K$5</f>
        <v>8.784</v>
      </c>
      <c r="L49" s="107">
        <f t="shared" ref="L49:L59" si="25">(F49+G49+J49+K49)*$L$5</f>
        <v>13.96656</v>
      </c>
      <c r="M49" s="107">
        <f t="shared" ref="M49:M59" si="26">F49+G49+J49+K49+L49</f>
        <v>169.15056</v>
      </c>
      <c r="N49" s="107"/>
      <c r="O49" s="107">
        <f t="shared" ref="O49:O59" si="27">M49*E49</f>
        <v>3765.2914656</v>
      </c>
      <c r="P49" s="120"/>
      <c r="R49" s="98"/>
    </row>
    <row r="50" ht="56.25" spans="1:18">
      <c r="A50" s="108">
        <v>86</v>
      </c>
      <c r="B50" s="109" t="s">
        <v>91</v>
      </c>
      <c r="C50" s="109" t="s">
        <v>117</v>
      </c>
      <c r="D50" s="109" t="s">
        <v>65</v>
      </c>
      <c r="E50" s="109">
        <f>32.65/2</f>
        <v>16.325</v>
      </c>
      <c r="F50" s="107">
        <v>80</v>
      </c>
      <c r="G50" s="107">
        <f t="shared" ref="G50:G56" si="28">H50*(1+I50)</f>
        <v>142.8</v>
      </c>
      <c r="H50" s="107">
        <v>136</v>
      </c>
      <c r="I50" s="114">
        <v>0.05</v>
      </c>
      <c r="J50" s="107">
        <v>87</v>
      </c>
      <c r="K50" s="107">
        <f t="shared" si="24"/>
        <v>18.588</v>
      </c>
      <c r="L50" s="107">
        <f t="shared" si="25"/>
        <v>29.55492</v>
      </c>
      <c r="M50" s="107">
        <f t="shared" si="26"/>
        <v>357.94292</v>
      </c>
      <c r="N50" s="107"/>
      <c r="O50" s="107">
        <f t="shared" si="27"/>
        <v>5843.418169</v>
      </c>
      <c r="P50" s="107"/>
      <c r="R50" s="98"/>
    </row>
    <row r="51" ht="56.25" spans="1:18">
      <c r="A51" s="108">
        <v>87</v>
      </c>
      <c r="B51" s="109" t="s">
        <v>91</v>
      </c>
      <c r="C51" s="109" t="s">
        <v>118</v>
      </c>
      <c r="D51" s="109" t="s">
        <v>65</v>
      </c>
      <c r="E51" s="109">
        <f>147.6/2</f>
        <v>73.8</v>
      </c>
      <c r="F51" s="107">
        <v>80</v>
      </c>
      <c r="G51" s="107">
        <f t="shared" si="28"/>
        <v>142.8</v>
      </c>
      <c r="H51" s="107">
        <v>136</v>
      </c>
      <c r="I51" s="114">
        <v>0.05</v>
      </c>
      <c r="J51" s="107">
        <v>87</v>
      </c>
      <c r="K51" s="107">
        <f t="shared" si="24"/>
        <v>18.588</v>
      </c>
      <c r="L51" s="107">
        <f t="shared" si="25"/>
        <v>29.55492</v>
      </c>
      <c r="M51" s="107">
        <f t="shared" si="26"/>
        <v>357.94292</v>
      </c>
      <c r="N51" s="107"/>
      <c r="O51" s="107">
        <f t="shared" si="27"/>
        <v>26416.187496</v>
      </c>
      <c r="P51" s="107"/>
      <c r="R51" s="98"/>
    </row>
    <row r="52" ht="56.25" spans="1:18">
      <c r="A52" s="108">
        <v>88</v>
      </c>
      <c r="B52" s="109" t="s">
        <v>91</v>
      </c>
      <c r="C52" s="109" t="s">
        <v>119</v>
      </c>
      <c r="D52" s="109" t="s">
        <v>65</v>
      </c>
      <c r="E52" s="109">
        <f>72.21/2</f>
        <v>36.105</v>
      </c>
      <c r="F52" s="107">
        <v>80</v>
      </c>
      <c r="G52" s="107">
        <f t="shared" si="28"/>
        <v>142.8</v>
      </c>
      <c r="H52" s="107">
        <v>136</v>
      </c>
      <c r="I52" s="114">
        <v>0.05</v>
      </c>
      <c r="J52" s="107">
        <v>87</v>
      </c>
      <c r="K52" s="107">
        <f t="shared" si="24"/>
        <v>18.588</v>
      </c>
      <c r="L52" s="107">
        <f t="shared" si="25"/>
        <v>29.55492</v>
      </c>
      <c r="M52" s="107">
        <f t="shared" si="26"/>
        <v>357.94292</v>
      </c>
      <c r="N52" s="107"/>
      <c r="O52" s="107">
        <f t="shared" si="27"/>
        <v>12923.5291266</v>
      </c>
      <c r="P52" s="107"/>
      <c r="R52" s="98"/>
    </row>
    <row r="53" ht="56.25" spans="1:18">
      <c r="A53" s="108">
        <v>89</v>
      </c>
      <c r="B53" s="112" t="s">
        <v>91</v>
      </c>
      <c r="C53" s="112" t="s">
        <v>120</v>
      </c>
      <c r="D53" s="112" t="s">
        <v>65</v>
      </c>
      <c r="E53" s="112">
        <f>153.89/2</f>
        <v>76.945</v>
      </c>
      <c r="F53" s="107">
        <v>75</v>
      </c>
      <c r="G53" s="110">
        <f t="shared" si="28"/>
        <v>121.8</v>
      </c>
      <c r="H53" s="107">
        <v>116</v>
      </c>
      <c r="I53" s="114">
        <v>0.05</v>
      </c>
      <c r="J53" s="107">
        <v>87</v>
      </c>
      <c r="K53" s="107">
        <f t="shared" si="24"/>
        <v>17.028</v>
      </c>
      <c r="L53" s="107">
        <f t="shared" si="25"/>
        <v>27.07452</v>
      </c>
      <c r="M53" s="107">
        <f t="shared" si="26"/>
        <v>327.90252</v>
      </c>
      <c r="N53" s="107"/>
      <c r="O53" s="107">
        <f t="shared" si="27"/>
        <v>25230.4594014</v>
      </c>
      <c r="P53" s="107"/>
      <c r="R53" s="98"/>
    </row>
    <row r="54" ht="56.25" spans="1:18">
      <c r="A54" s="108">
        <v>90</v>
      </c>
      <c r="B54" s="109" t="s">
        <v>91</v>
      </c>
      <c r="C54" s="109" t="s">
        <v>95</v>
      </c>
      <c r="D54" s="109" t="s">
        <v>65</v>
      </c>
      <c r="E54" s="109">
        <f>32.2/2</f>
        <v>16.1</v>
      </c>
      <c r="F54" s="107">
        <v>75</v>
      </c>
      <c r="G54" s="107">
        <f t="shared" si="28"/>
        <v>121.8</v>
      </c>
      <c r="H54" s="107">
        <v>116</v>
      </c>
      <c r="I54" s="114">
        <v>0.05</v>
      </c>
      <c r="J54" s="107">
        <v>87</v>
      </c>
      <c r="K54" s="107">
        <f t="shared" si="24"/>
        <v>17.028</v>
      </c>
      <c r="L54" s="107">
        <f t="shared" si="25"/>
        <v>27.07452</v>
      </c>
      <c r="M54" s="107">
        <f t="shared" si="26"/>
        <v>327.90252</v>
      </c>
      <c r="N54" s="107"/>
      <c r="O54" s="107">
        <f t="shared" si="27"/>
        <v>5279.230572</v>
      </c>
      <c r="P54" s="107"/>
      <c r="R54" s="98"/>
    </row>
    <row r="55" ht="56.25" spans="1:18">
      <c r="A55" s="108">
        <v>91</v>
      </c>
      <c r="B55" s="109" t="s">
        <v>91</v>
      </c>
      <c r="C55" s="109" t="s">
        <v>92</v>
      </c>
      <c r="D55" s="109" t="s">
        <v>65</v>
      </c>
      <c r="E55" s="109">
        <f>8.76/2</f>
        <v>4.38</v>
      </c>
      <c r="F55" s="107">
        <v>70</v>
      </c>
      <c r="G55" s="107">
        <f t="shared" si="28"/>
        <v>78.75</v>
      </c>
      <c r="H55" s="107">
        <v>75</v>
      </c>
      <c r="I55" s="114">
        <v>0.05</v>
      </c>
      <c r="J55" s="107">
        <v>47</v>
      </c>
      <c r="K55" s="107">
        <f t="shared" si="24"/>
        <v>11.745</v>
      </c>
      <c r="L55" s="107">
        <f t="shared" si="25"/>
        <v>18.67455</v>
      </c>
      <c r="M55" s="107">
        <f t="shared" si="26"/>
        <v>226.16955</v>
      </c>
      <c r="N55" s="107"/>
      <c r="O55" s="107">
        <f t="shared" si="27"/>
        <v>990.622629</v>
      </c>
      <c r="P55" s="107"/>
      <c r="R55" s="98"/>
    </row>
    <row r="56" ht="22.5" spans="1:18">
      <c r="A56" s="108">
        <v>93</v>
      </c>
      <c r="B56" s="109" t="s">
        <v>121</v>
      </c>
      <c r="C56" s="109" t="s">
        <v>122</v>
      </c>
      <c r="D56" s="109" t="s">
        <v>80</v>
      </c>
      <c r="E56" s="109">
        <v>12</v>
      </c>
      <c r="F56" s="107">
        <v>60</v>
      </c>
      <c r="G56" s="107">
        <f t="shared" si="28"/>
        <v>268</v>
      </c>
      <c r="H56" s="107">
        <v>268</v>
      </c>
      <c r="I56" s="114"/>
      <c r="J56" s="107">
        <v>8</v>
      </c>
      <c r="K56" s="107">
        <f t="shared" si="24"/>
        <v>20.16</v>
      </c>
      <c r="L56" s="107">
        <f t="shared" si="25"/>
        <v>32.0544</v>
      </c>
      <c r="M56" s="107">
        <f t="shared" si="26"/>
        <v>388.2144</v>
      </c>
      <c r="N56" s="107"/>
      <c r="O56" s="107">
        <f t="shared" si="27"/>
        <v>4658.5728</v>
      </c>
      <c r="P56" s="107"/>
      <c r="R56" s="98"/>
    </row>
    <row r="57" ht="33.75" spans="1:18">
      <c r="A57" s="108">
        <v>94</v>
      </c>
      <c r="B57" s="112" t="s">
        <v>96</v>
      </c>
      <c r="C57" s="111" t="s">
        <v>97</v>
      </c>
      <c r="D57" s="112" t="s">
        <v>80</v>
      </c>
      <c r="E57" s="112">
        <f>552/46/2</f>
        <v>6</v>
      </c>
      <c r="F57" s="107">
        <v>40</v>
      </c>
      <c r="G57" s="107">
        <f t="shared" ref="G57:G59" si="29">H57*(1+I57)</f>
        <v>298</v>
      </c>
      <c r="H57" s="107">
        <v>298</v>
      </c>
      <c r="I57" s="114"/>
      <c r="J57" s="107">
        <v>7</v>
      </c>
      <c r="K57" s="107">
        <f t="shared" si="24"/>
        <v>20.7</v>
      </c>
      <c r="L57" s="107">
        <f t="shared" si="25"/>
        <v>32.913</v>
      </c>
      <c r="M57" s="107">
        <f t="shared" si="26"/>
        <v>398.613</v>
      </c>
      <c r="N57" s="107"/>
      <c r="O57" s="107">
        <f t="shared" si="27"/>
        <v>2391.678</v>
      </c>
      <c r="P57" s="107"/>
      <c r="R57" s="98"/>
    </row>
    <row r="58" ht="33.75" spans="1:18">
      <c r="A58" s="108">
        <v>95</v>
      </c>
      <c r="B58" s="112" t="s">
        <v>96</v>
      </c>
      <c r="C58" s="111" t="s">
        <v>98</v>
      </c>
      <c r="D58" s="112" t="s">
        <v>80</v>
      </c>
      <c r="E58" s="112">
        <v>1</v>
      </c>
      <c r="F58" s="107">
        <v>40</v>
      </c>
      <c r="G58" s="107">
        <f t="shared" si="29"/>
        <v>516</v>
      </c>
      <c r="H58" s="107">
        <v>516</v>
      </c>
      <c r="I58" s="114"/>
      <c r="J58" s="107">
        <v>10</v>
      </c>
      <c r="K58" s="107">
        <f t="shared" si="24"/>
        <v>33.96</v>
      </c>
      <c r="L58" s="107">
        <f t="shared" si="25"/>
        <v>53.9964</v>
      </c>
      <c r="M58" s="107">
        <f t="shared" si="26"/>
        <v>653.9564</v>
      </c>
      <c r="N58" s="107"/>
      <c r="O58" s="107">
        <f t="shared" si="27"/>
        <v>653.9564</v>
      </c>
      <c r="P58" s="107"/>
      <c r="R58" s="98"/>
    </row>
    <row r="59" ht="33.75" spans="1:18">
      <c r="A59" s="108">
        <v>96</v>
      </c>
      <c r="B59" s="109" t="s">
        <v>99</v>
      </c>
      <c r="C59" s="109" t="s">
        <v>100</v>
      </c>
      <c r="D59" s="109" t="s">
        <v>65</v>
      </c>
      <c r="E59" s="109">
        <f>5.08/2</f>
        <v>2.54</v>
      </c>
      <c r="F59" s="107">
        <v>250</v>
      </c>
      <c r="G59" s="107">
        <f t="shared" si="29"/>
        <v>413.7</v>
      </c>
      <c r="H59" s="107">
        <v>394</v>
      </c>
      <c r="I59" s="114">
        <v>0.05</v>
      </c>
      <c r="J59" s="107">
        <v>77</v>
      </c>
      <c r="K59" s="107">
        <f t="shared" si="24"/>
        <v>44.442</v>
      </c>
      <c r="L59" s="107">
        <f t="shared" si="25"/>
        <v>70.66278</v>
      </c>
      <c r="M59" s="107">
        <f t="shared" si="26"/>
        <v>855.80478</v>
      </c>
      <c r="N59" s="107"/>
      <c r="O59" s="107">
        <f t="shared" si="27"/>
        <v>2173.7441412</v>
      </c>
      <c r="P59" s="107"/>
      <c r="R59" s="98"/>
    </row>
    <row r="60" ht="16.2" customHeight="1" spans="1:16">
      <c r="A60" s="106"/>
      <c r="B60" s="109"/>
      <c r="C60" s="113" t="s">
        <v>123</v>
      </c>
      <c r="D60" s="109"/>
      <c r="E60" s="109"/>
      <c r="F60" s="107"/>
      <c r="G60" s="107"/>
      <c r="H60" s="107"/>
      <c r="I60" s="114"/>
      <c r="J60" s="107"/>
      <c r="K60" s="107"/>
      <c r="L60" s="107"/>
      <c r="M60" s="107"/>
      <c r="N60" s="107"/>
      <c r="O60" s="121">
        <f>O6+O36</f>
        <v>597044.97135042</v>
      </c>
      <c r="P60" s="121"/>
    </row>
    <row r="61" ht="36" customHeight="1" spans="1:16">
      <c r="A61" s="77" t="s">
        <v>124</v>
      </c>
      <c r="B61" s="78" t="s">
        <v>125</v>
      </c>
      <c r="C61" s="78"/>
      <c r="D61" s="78"/>
      <c r="E61" s="78"/>
      <c r="F61" s="78"/>
      <c r="G61" s="78"/>
      <c r="H61" s="78"/>
      <c r="I61" s="80"/>
      <c r="J61" s="78"/>
      <c r="K61" s="78"/>
      <c r="L61" s="78"/>
      <c r="M61" s="78"/>
      <c r="N61" s="78"/>
      <c r="O61" s="78"/>
      <c r="P61" s="78"/>
    </row>
    <row r="68" spans="3:3">
      <c r="C68" s="122"/>
    </row>
  </sheetData>
  <sheetProtection formatCells="0" formatColumns="0" formatRows="0" insertRows="0" insertColumns="0" insertHyperlinks="0" deleteColumns="0" deleteRows="0" sort="0" autoFilter="0" pivotTables="0"/>
  <autoFilter xmlns:etc="http://www.wps.cn/officeDocument/2017/etCustomData" ref="A5:P61" etc:filterBottomFollowUsedRange="0">
    <extLst/>
  </autoFilter>
  <mergeCells count="66">
    <mergeCell ref="A1:P1"/>
    <mergeCell ref="A2:F2"/>
    <mergeCell ref="G2:M2"/>
    <mergeCell ref="N2:P2"/>
    <mergeCell ref="F3:L3"/>
    <mergeCell ref="M6:N6"/>
    <mergeCell ref="M8:N8"/>
    <mergeCell ref="M9:N9"/>
    <mergeCell ref="M10:N10"/>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B61:P61"/>
    <mergeCell ref="A3:A5"/>
    <mergeCell ref="B3:B5"/>
    <mergeCell ref="C3:C5"/>
    <mergeCell ref="D3:D5"/>
    <mergeCell ref="E3:E5"/>
    <mergeCell ref="F4:F5"/>
    <mergeCell ref="J4:J5"/>
    <mergeCell ref="O3:O5"/>
    <mergeCell ref="P3:P5"/>
    <mergeCell ref="M3:N5"/>
  </mergeCells>
  <pageMargins left="0.751388888888889" right="0.66875" top="0.786805555555556" bottom="0.66875" header="0.5" footer="0.5"/>
  <pageSetup paperSize="9" scale="92"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W12" sqref="W12"/>
    </sheetView>
  </sheetViews>
  <sheetFormatPr defaultColWidth="9.11428571428571" defaultRowHeight="12.75"/>
  <cols>
    <col min="1" max="1" width="8" style="83" customWidth="1"/>
    <col min="2" max="2" width="27.1142857142857" style="84" customWidth="1"/>
    <col min="4" max="4" width="12.447619047619" customWidth="1"/>
    <col min="5" max="6" width="13.3333333333333" customWidth="1"/>
    <col min="7" max="7" width="12.552380952381" customWidth="1"/>
    <col min="10" max="10" width="22" customWidth="1"/>
    <col min="18" max="18" width="14.552380952381" customWidth="1"/>
  </cols>
  <sheetData>
    <row r="1" ht="41.1" customHeight="1" spans="1:31">
      <c r="A1" s="85" t="s">
        <v>126</v>
      </c>
      <c r="B1" s="86"/>
      <c r="C1" s="85"/>
      <c r="D1" s="85"/>
      <c r="E1" s="85"/>
      <c r="F1" s="85"/>
      <c r="G1" s="85"/>
      <c r="I1" s="85" t="s">
        <v>127</v>
      </c>
      <c r="J1" s="86"/>
      <c r="K1" s="85"/>
      <c r="L1" s="85"/>
      <c r="M1" s="85"/>
      <c r="N1" s="85"/>
      <c r="O1" s="85"/>
      <c r="Q1" s="85" t="s">
        <v>128</v>
      </c>
      <c r="R1" s="86"/>
      <c r="S1" s="85"/>
      <c r="T1" s="85"/>
      <c r="U1" s="85"/>
      <c r="V1" s="85"/>
      <c r="W1" s="85"/>
      <c r="Y1" s="85" t="s">
        <v>129</v>
      </c>
      <c r="Z1" s="86"/>
      <c r="AA1" s="85"/>
      <c r="AB1" s="85"/>
      <c r="AC1" s="85"/>
      <c r="AD1" s="85"/>
      <c r="AE1" s="85"/>
    </row>
    <row r="2" s="81" customFormat="1" ht="38.1" customHeight="1" spans="1:31">
      <c r="A2" s="87" t="s">
        <v>44</v>
      </c>
      <c r="B2" s="88" t="s">
        <v>24</v>
      </c>
      <c r="C2" s="87" t="s">
        <v>25</v>
      </c>
      <c r="D2" s="87" t="s">
        <v>130</v>
      </c>
      <c r="E2" s="87" t="s">
        <v>131</v>
      </c>
      <c r="F2" s="87" t="s">
        <v>123</v>
      </c>
      <c r="G2" s="87" t="s">
        <v>30</v>
      </c>
      <c r="I2" s="87" t="s">
        <v>44</v>
      </c>
      <c r="J2" s="88" t="s">
        <v>24</v>
      </c>
      <c r="K2" s="87" t="s">
        <v>25</v>
      </c>
      <c r="L2" s="87" t="s">
        <v>130</v>
      </c>
      <c r="M2" s="87" t="s">
        <v>131</v>
      </c>
      <c r="N2" s="87" t="s">
        <v>123</v>
      </c>
      <c r="O2" s="87" t="s">
        <v>30</v>
      </c>
      <c r="Q2" s="87" t="s">
        <v>44</v>
      </c>
      <c r="R2" s="88" t="s">
        <v>24</v>
      </c>
      <c r="S2" s="87" t="s">
        <v>25</v>
      </c>
      <c r="T2" s="87" t="s">
        <v>130</v>
      </c>
      <c r="U2" s="87" t="s">
        <v>131</v>
      </c>
      <c r="V2" s="87" t="s">
        <v>123</v>
      </c>
      <c r="W2" s="87" t="s">
        <v>30</v>
      </c>
      <c r="Y2" s="87" t="s">
        <v>44</v>
      </c>
      <c r="Z2" s="88" t="s">
        <v>24</v>
      </c>
      <c r="AA2" s="87" t="s">
        <v>25</v>
      </c>
      <c r="AB2" s="87" t="s">
        <v>130</v>
      </c>
      <c r="AC2" s="87" t="s">
        <v>131</v>
      </c>
      <c r="AD2" s="87" t="s">
        <v>123</v>
      </c>
      <c r="AE2" s="87" t="s">
        <v>30</v>
      </c>
    </row>
    <row r="3" s="82" customFormat="1" ht="38.1" customHeight="1" spans="1:31">
      <c r="A3" s="87"/>
      <c r="B3" s="89" t="s">
        <v>132</v>
      </c>
      <c r="C3" s="90"/>
      <c r="D3" s="90"/>
      <c r="E3" s="90"/>
      <c r="F3" s="90"/>
      <c r="G3" s="90"/>
      <c r="I3" s="87"/>
      <c r="J3" s="89" t="s">
        <v>132</v>
      </c>
      <c r="K3" s="90"/>
      <c r="L3" s="90"/>
      <c r="M3" s="90"/>
      <c r="N3" s="90"/>
      <c r="O3" s="90"/>
      <c r="Q3" s="87"/>
      <c r="R3" s="89" t="s">
        <v>132</v>
      </c>
      <c r="S3" s="90"/>
      <c r="T3" s="90"/>
      <c r="U3" s="90"/>
      <c r="V3" s="90"/>
      <c r="W3" s="90"/>
      <c r="Y3" s="87"/>
      <c r="Z3" s="89" t="s">
        <v>132</v>
      </c>
      <c r="AA3" s="90"/>
      <c r="AB3" s="90"/>
      <c r="AC3" s="90"/>
      <c r="AD3" s="90"/>
      <c r="AE3" s="90"/>
    </row>
    <row r="4" ht="48.9" customHeight="1" spans="1:31">
      <c r="A4" s="91">
        <v>1</v>
      </c>
      <c r="B4" s="92" t="s">
        <v>133</v>
      </c>
      <c r="C4" s="93" t="s">
        <v>134</v>
      </c>
      <c r="D4" s="94">
        <v>2</v>
      </c>
      <c r="E4" s="94"/>
      <c r="F4" s="94"/>
      <c r="G4" s="94"/>
      <c r="I4" s="91">
        <v>1</v>
      </c>
      <c r="J4" s="92" t="s">
        <v>133</v>
      </c>
      <c r="K4" s="93" t="s">
        <v>134</v>
      </c>
      <c r="L4" s="94">
        <v>2</v>
      </c>
      <c r="M4" s="94"/>
      <c r="N4" s="94"/>
      <c r="O4" s="94"/>
      <c r="Q4" s="91">
        <v>1</v>
      </c>
      <c r="R4" s="92" t="s">
        <v>133</v>
      </c>
      <c r="S4" s="93" t="s">
        <v>134</v>
      </c>
      <c r="T4" s="94">
        <v>2</v>
      </c>
      <c r="U4" s="94"/>
      <c r="V4" s="94"/>
      <c r="W4" s="94"/>
      <c r="Y4" s="91">
        <v>1</v>
      </c>
      <c r="Z4" s="92" t="s">
        <v>133</v>
      </c>
      <c r="AA4" s="93" t="s">
        <v>134</v>
      </c>
      <c r="AB4" s="94">
        <v>2</v>
      </c>
      <c r="AC4" s="94"/>
      <c r="AD4" s="94"/>
      <c r="AE4" s="94"/>
    </row>
    <row r="5" ht="48.9" customHeight="1" spans="1:31">
      <c r="A5" s="91">
        <v>3</v>
      </c>
      <c r="B5" s="95" t="s">
        <v>135</v>
      </c>
      <c r="C5" s="94" t="s">
        <v>136</v>
      </c>
      <c r="D5" s="94">
        <f>5.17*2</f>
        <v>10.34</v>
      </c>
      <c r="E5" s="94">
        <v>30.62</v>
      </c>
      <c r="F5" s="94">
        <f>E5*D5</f>
        <v>316.6108</v>
      </c>
      <c r="G5" s="94"/>
      <c r="I5" s="91">
        <v>3</v>
      </c>
      <c r="J5" s="95" t="s">
        <v>135</v>
      </c>
      <c r="K5" s="94" t="s">
        <v>136</v>
      </c>
      <c r="L5" s="94">
        <f>5.17*2</f>
        <v>10.34</v>
      </c>
      <c r="M5" s="94">
        <v>30.62</v>
      </c>
      <c r="N5" s="94">
        <f>M5*L5</f>
        <v>316.6108</v>
      </c>
      <c r="O5" s="94"/>
      <c r="Q5" s="91">
        <v>3</v>
      </c>
      <c r="R5" s="95" t="s">
        <v>135</v>
      </c>
      <c r="S5" s="94" t="s">
        <v>136</v>
      </c>
      <c r="T5" s="94">
        <f>5.17*2</f>
        <v>10.34</v>
      </c>
      <c r="U5" s="94">
        <v>30.62</v>
      </c>
      <c r="V5" s="94">
        <f>U5*T5</f>
        <v>316.6108</v>
      </c>
      <c r="W5" s="94"/>
      <c r="Y5" s="91">
        <v>3</v>
      </c>
      <c r="Z5" s="95" t="s">
        <v>135</v>
      </c>
      <c r="AA5" s="94" t="s">
        <v>136</v>
      </c>
      <c r="AB5" s="94">
        <f>5.17*2</f>
        <v>10.34</v>
      </c>
      <c r="AC5" s="94">
        <v>30.62</v>
      </c>
      <c r="AD5" s="94">
        <f>AC5*AB5</f>
        <v>316.6108</v>
      </c>
      <c r="AE5" s="94"/>
    </row>
    <row r="6" ht="48.9" customHeight="1" spans="1:31">
      <c r="A6" s="91">
        <v>4</v>
      </c>
      <c r="B6" s="95" t="s">
        <v>137</v>
      </c>
      <c r="C6" s="94" t="s">
        <v>136</v>
      </c>
      <c r="D6" s="94">
        <f>5.17*8</f>
        <v>41.36</v>
      </c>
      <c r="E6" s="94">
        <v>8</v>
      </c>
      <c r="F6" s="94">
        <f>E6*D6</f>
        <v>330.88</v>
      </c>
      <c r="G6" s="94"/>
      <c r="I6" s="91">
        <v>4</v>
      </c>
      <c r="J6" s="95" t="s">
        <v>137</v>
      </c>
      <c r="K6" s="94" t="s">
        <v>136</v>
      </c>
      <c r="L6" s="94">
        <f>5.17*8</f>
        <v>41.36</v>
      </c>
      <c r="M6" s="94">
        <v>8</v>
      </c>
      <c r="N6" s="94">
        <f>M6*L6</f>
        <v>330.88</v>
      </c>
      <c r="O6" s="94"/>
      <c r="Q6" s="91">
        <v>4</v>
      </c>
      <c r="R6" s="95" t="s">
        <v>137</v>
      </c>
      <c r="S6" s="94" t="s">
        <v>136</v>
      </c>
      <c r="T6" s="94">
        <f>5.17*8</f>
        <v>41.36</v>
      </c>
      <c r="U6" s="94">
        <v>8</v>
      </c>
      <c r="V6" s="94">
        <f>U6*T6</f>
        <v>330.88</v>
      </c>
      <c r="W6" s="94"/>
      <c r="Y6" s="91">
        <v>4</v>
      </c>
      <c r="Z6" s="95" t="s">
        <v>137</v>
      </c>
      <c r="AA6" s="94" t="s">
        <v>136</v>
      </c>
      <c r="AB6" s="94">
        <f>5.17*8</f>
        <v>41.36</v>
      </c>
      <c r="AC6" s="94">
        <v>8</v>
      </c>
      <c r="AD6" s="94">
        <f>AC6*AB6</f>
        <v>330.88</v>
      </c>
      <c r="AE6" s="94"/>
    </row>
    <row r="7" ht="48.9" customHeight="1" spans="1:31">
      <c r="A7" s="91">
        <v>5</v>
      </c>
      <c r="B7" s="95" t="s">
        <v>138</v>
      </c>
      <c r="C7" s="94" t="s">
        <v>136</v>
      </c>
      <c r="D7" s="94">
        <f>(0.575+0.495+0.858+0.11+0.19+0.787+0.148+0.148+0.475+0.675+0.495+0.855)*6</f>
        <v>34.866</v>
      </c>
      <c r="E7" s="94">
        <v>3.06</v>
      </c>
      <c r="F7" s="94">
        <f t="shared" ref="F7:F21" si="0">E7*D7</f>
        <v>106.68996</v>
      </c>
      <c r="G7" s="94"/>
      <c r="I7" s="91">
        <v>5</v>
      </c>
      <c r="J7" s="95" t="s">
        <v>138</v>
      </c>
      <c r="K7" s="94" t="s">
        <v>136</v>
      </c>
      <c r="L7" s="94">
        <f>(0.575+0.495+0.858+0.11+0.19+0.787+0.148+0.148+0.475+0.675+0.495+0.855)*6</f>
        <v>34.866</v>
      </c>
      <c r="M7" s="94">
        <v>3.06</v>
      </c>
      <c r="N7" s="94">
        <f t="shared" ref="N7:N16" si="1">M7*L7</f>
        <v>106.68996</v>
      </c>
      <c r="O7" s="94"/>
      <c r="Q7" s="91">
        <v>5</v>
      </c>
      <c r="R7" s="95" t="s">
        <v>138</v>
      </c>
      <c r="S7" s="94" t="s">
        <v>136</v>
      </c>
      <c r="T7" s="94">
        <f>(0.575+0.495+0.858+0.11+0.19+0.787+0.148+0.148+0.475+0.675+0.495+0.855)*6</f>
        <v>34.866</v>
      </c>
      <c r="U7" s="94">
        <v>3.06</v>
      </c>
      <c r="V7" s="94">
        <f t="shared" ref="V7:V16" si="2">U7*T7</f>
        <v>106.68996</v>
      </c>
      <c r="W7" s="94"/>
      <c r="Y7" s="91">
        <v>5</v>
      </c>
      <c r="Z7" s="95" t="s">
        <v>138</v>
      </c>
      <c r="AA7" s="94" t="s">
        <v>136</v>
      </c>
      <c r="AB7" s="94">
        <f>(0.575+0.495+0.858+0.11+0.19+0.787+0.148+0.148+0.475+0.675+0.495+0.855)*6</f>
        <v>34.866</v>
      </c>
      <c r="AC7" s="94">
        <v>3.06</v>
      </c>
      <c r="AD7" s="94">
        <f t="shared" ref="AD7:AD16" si="3">AC7*AB7</f>
        <v>106.68996</v>
      </c>
      <c r="AE7" s="94"/>
    </row>
    <row r="8" ht="48.9" customHeight="1" spans="1:31">
      <c r="A8" s="91">
        <v>6</v>
      </c>
      <c r="B8" s="95" t="s">
        <v>139</v>
      </c>
      <c r="C8" s="94" t="s">
        <v>136</v>
      </c>
      <c r="D8" s="94">
        <f>(0.185*2+0.085*2+0.11*2+0.135+0.11*2+0.185*2+0.085*2+0.135)*6</f>
        <v>10.74</v>
      </c>
      <c r="E8" s="94">
        <v>10</v>
      </c>
      <c r="F8" s="94">
        <f t="shared" si="0"/>
        <v>107.4</v>
      </c>
      <c r="G8" s="94"/>
      <c r="I8" s="91">
        <v>6</v>
      </c>
      <c r="J8" s="95" t="s">
        <v>139</v>
      </c>
      <c r="K8" s="94" t="s">
        <v>136</v>
      </c>
      <c r="L8" s="94">
        <f>(0.185*2+0.085*2+0.11*2+0.135+0.11*2+0.185*2+0.085*2+0.135)*6</f>
        <v>10.74</v>
      </c>
      <c r="M8" s="94">
        <v>10</v>
      </c>
      <c r="N8" s="94">
        <f t="shared" si="1"/>
        <v>107.4</v>
      </c>
      <c r="O8" s="94"/>
      <c r="Q8" s="91">
        <v>6</v>
      </c>
      <c r="R8" s="95" t="s">
        <v>139</v>
      </c>
      <c r="S8" s="94" t="s">
        <v>136</v>
      </c>
      <c r="T8" s="94">
        <f>(0.185*2+0.085*2+0.11*2+0.135+0.11*2+0.185*2+0.085*2+0.135)*6</f>
        <v>10.74</v>
      </c>
      <c r="U8" s="94">
        <v>10</v>
      </c>
      <c r="V8" s="94">
        <f t="shared" si="2"/>
        <v>107.4</v>
      </c>
      <c r="W8" s="94"/>
      <c r="Y8" s="91">
        <v>6</v>
      </c>
      <c r="Z8" s="95" t="s">
        <v>139</v>
      </c>
      <c r="AA8" s="94" t="s">
        <v>136</v>
      </c>
      <c r="AB8" s="94">
        <f>(0.185*2+0.085*2+0.11*2+0.135+0.11*2+0.185*2+0.085*2+0.135)*6</f>
        <v>10.74</v>
      </c>
      <c r="AC8" s="94">
        <v>10</v>
      </c>
      <c r="AD8" s="94">
        <f t="shared" si="3"/>
        <v>107.4</v>
      </c>
      <c r="AE8" s="94"/>
    </row>
    <row r="9" ht="78" customHeight="1" spans="1:31">
      <c r="A9" s="91">
        <v>7</v>
      </c>
      <c r="B9" s="92" t="s">
        <v>140</v>
      </c>
      <c r="C9" s="93" t="s">
        <v>134</v>
      </c>
      <c r="D9" s="94">
        <f>6*6</f>
        <v>36</v>
      </c>
      <c r="E9" s="94"/>
      <c r="F9" s="94">
        <f t="shared" si="0"/>
        <v>0</v>
      </c>
      <c r="G9" s="94"/>
      <c r="I9" s="91">
        <v>7</v>
      </c>
      <c r="J9" s="92" t="s">
        <v>140</v>
      </c>
      <c r="K9" s="93" t="s">
        <v>134</v>
      </c>
      <c r="L9" s="94">
        <f>6*6</f>
        <v>36</v>
      </c>
      <c r="M9" s="94"/>
      <c r="N9" s="94">
        <f t="shared" si="1"/>
        <v>0</v>
      </c>
      <c r="O9" s="94"/>
      <c r="Q9" s="91">
        <v>7</v>
      </c>
      <c r="R9" s="92" t="s">
        <v>140</v>
      </c>
      <c r="S9" s="93" t="s">
        <v>134</v>
      </c>
      <c r="T9" s="94">
        <f>6*6</f>
        <v>36</v>
      </c>
      <c r="U9" s="94"/>
      <c r="V9" s="94">
        <f t="shared" si="2"/>
        <v>0</v>
      </c>
      <c r="W9" s="94"/>
      <c r="Y9" s="91">
        <v>7</v>
      </c>
      <c r="Z9" s="92" t="s">
        <v>140</v>
      </c>
      <c r="AA9" s="93" t="s">
        <v>134</v>
      </c>
      <c r="AB9" s="94">
        <f>6*6</f>
        <v>36</v>
      </c>
      <c r="AC9" s="94"/>
      <c r="AD9" s="94">
        <f t="shared" si="3"/>
        <v>0</v>
      </c>
      <c r="AE9" s="94"/>
    </row>
    <row r="10" ht="78" customHeight="1" spans="1:31">
      <c r="A10" s="91"/>
      <c r="B10" s="92" t="s">
        <v>141</v>
      </c>
      <c r="C10" s="93"/>
      <c r="D10" s="94">
        <f>0.21*7</f>
        <v>1.47</v>
      </c>
      <c r="E10" s="94">
        <v>3.06</v>
      </c>
      <c r="F10" s="94">
        <f t="shared" si="0"/>
        <v>4.4982</v>
      </c>
      <c r="G10" s="94"/>
      <c r="I10" s="91"/>
      <c r="J10" s="92" t="s">
        <v>141</v>
      </c>
      <c r="K10" s="93"/>
      <c r="L10" s="94">
        <f>0.21*7</f>
        <v>1.47</v>
      </c>
      <c r="M10" s="94">
        <v>3.06</v>
      </c>
      <c r="N10" s="94">
        <f t="shared" si="1"/>
        <v>4.4982</v>
      </c>
      <c r="O10" s="94"/>
      <c r="Q10" s="91"/>
      <c r="R10" s="92" t="s">
        <v>141</v>
      </c>
      <c r="S10" s="93"/>
      <c r="T10" s="94">
        <f>0.21*7</f>
        <v>1.47</v>
      </c>
      <c r="U10" s="94">
        <v>3.06</v>
      </c>
      <c r="V10" s="94">
        <f t="shared" si="2"/>
        <v>4.4982</v>
      </c>
      <c r="W10" s="94"/>
      <c r="Y10" s="91"/>
      <c r="Z10" s="92" t="s">
        <v>141</v>
      </c>
      <c r="AA10" s="93"/>
      <c r="AB10" s="94">
        <f>0.21*7</f>
        <v>1.47</v>
      </c>
      <c r="AC10" s="94">
        <v>3.06</v>
      </c>
      <c r="AD10" s="94">
        <f t="shared" si="3"/>
        <v>4.4982</v>
      </c>
      <c r="AE10" s="94"/>
    </row>
    <row r="11" ht="42" customHeight="1" spans="1:31">
      <c r="A11" s="91"/>
      <c r="B11" s="96" t="s">
        <v>142</v>
      </c>
      <c r="C11" s="93"/>
      <c r="D11" s="94"/>
      <c r="E11" s="94"/>
      <c r="F11" s="94">
        <f t="shared" si="0"/>
        <v>0</v>
      </c>
      <c r="G11" s="94"/>
      <c r="I11" s="91"/>
      <c r="J11" s="96" t="s">
        <v>142</v>
      </c>
      <c r="K11" s="93"/>
      <c r="L11" s="94"/>
      <c r="M11" s="94"/>
      <c r="N11" s="94">
        <f t="shared" si="1"/>
        <v>0</v>
      </c>
      <c r="O11" s="94"/>
      <c r="Q11" s="91"/>
      <c r="R11" s="96" t="s">
        <v>142</v>
      </c>
      <c r="S11" s="93"/>
      <c r="T11" s="94"/>
      <c r="U11" s="94"/>
      <c r="V11" s="94">
        <f t="shared" si="2"/>
        <v>0</v>
      </c>
      <c r="W11" s="94"/>
      <c r="Y11" s="91"/>
      <c r="Z11" s="96" t="s">
        <v>142</v>
      </c>
      <c r="AA11" s="93"/>
      <c r="AB11" s="94"/>
      <c r="AC11" s="94"/>
      <c r="AD11" s="94">
        <f t="shared" si="3"/>
        <v>0</v>
      </c>
      <c r="AE11" s="94"/>
    </row>
    <row r="12" ht="48.9" customHeight="1" spans="1:31">
      <c r="A12" s="91">
        <v>1</v>
      </c>
      <c r="B12" s="95" t="s">
        <v>138</v>
      </c>
      <c r="C12" s="94" t="s">
        <v>136</v>
      </c>
      <c r="D12" s="94">
        <f>(0.547+0.156+0.686+1.112+1.137)*2+1.13*4+(0.547+0.156+0.686)*3*2+(1.55+1.7+1.055)*3</f>
        <v>33.045</v>
      </c>
      <c r="E12" s="94"/>
      <c r="F12" s="94">
        <f t="shared" si="0"/>
        <v>0</v>
      </c>
      <c r="G12" s="94"/>
      <c r="I12" s="91">
        <v>1</v>
      </c>
      <c r="J12" s="95" t="s">
        <v>138</v>
      </c>
      <c r="K12" s="94" t="s">
        <v>136</v>
      </c>
      <c r="L12" s="94">
        <f>(0.547+0.156+0.686+1.112+1.137)*2+1.13*4+(0.547+0.156+0.686)*3*2+(1.55+1.7+1.055)*3</f>
        <v>33.045</v>
      </c>
      <c r="M12" s="94">
        <f>M10</f>
        <v>3.06</v>
      </c>
      <c r="N12" s="94">
        <f t="shared" si="1"/>
        <v>101.1177</v>
      </c>
      <c r="O12" s="94"/>
      <c r="Q12" s="91">
        <v>1</v>
      </c>
      <c r="R12" s="95" t="s">
        <v>138</v>
      </c>
      <c r="S12" s="94" t="s">
        <v>136</v>
      </c>
      <c r="T12" s="94">
        <f>(0.547+0.156+0.686+1.112+1.137)*2+1.13*4+(0.547+0.156+0.686)*3*2+(1.55+1.7+1.055)*3</f>
        <v>33.045</v>
      </c>
      <c r="U12" s="94">
        <f>U10</f>
        <v>3.06</v>
      </c>
      <c r="V12" s="94">
        <f t="shared" si="2"/>
        <v>101.1177</v>
      </c>
      <c r="W12" s="94"/>
      <c r="Y12" s="91">
        <v>1</v>
      </c>
      <c r="Z12" s="95" t="s">
        <v>138</v>
      </c>
      <c r="AA12" s="94" t="s">
        <v>136</v>
      </c>
      <c r="AB12" s="94">
        <f>(0.547+0.156+0.686+1.112)*2+(0.547+0.156+0.686)*3*2+(1.55+1.055)*3</f>
        <v>21.151</v>
      </c>
      <c r="AC12" s="94">
        <f>AC10</f>
        <v>3.06</v>
      </c>
      <c r="AD12" s="94">
        <f t="shared" si="3"/>
        <v>64.72206</v>
      </c>
      <c r="AE12" s="94"/>
    </row>
    <row r="13" ht="48.9" customHeight="1" spans="1:31">
      <c r="A13" s="91"/>
      <c r="B13" s="92" t="s">
        <v>143</v>
      </c>
      <c r="C13" s="93" t="s">
        <v>134</v>
      </c>
      <c r="D13" s="94">
        <f>3*2</f>
        <v>6</v>
      </c>
      <c r="E13" s="94"/>
      <c r="F13" s="94">
        <f t="shared" si="0"/>
        <v>0</v>
      </c>
      <c r="G13" s="94"/>
      <c r="I13" s="91"/>
      <c r="J13" s="92" t="s">
        <v>143</v>
      </c>
      <c r="K13" s="93" t="s">
        <v>134</v>
      </c>
      <c r="L13" s="94">
        <f>3*2</f>
        <v>6</v>
      </c>
      <c r="M13" s="94"/>
      <c r="N13" s="94">
        <f t="shared" si="1"/>
        <v>0</v>
      </c>
      <c r="O13" s="94"/>
      <c r="Q13" s="91"/>
      <c r="R13" s="92" t="s">
        <v>143</v>
      </c>
      <c r="S13" s="93" t="s">
        <v>134</v>
      </c>
      <c r="T13" s="94">
        <f>3*2</f>
        <v>6</v>
      </c>
      <c r="U13" s="94"/>
      <c r="V13" s="94">
        <f t="shared" si="2"/>
        <v>0</v>
      </c>
      <c r="W13" s="94"/>
      <c r="Y13" s="91"/>
      <c r="Z13" s="92" t="s">
        <v>143</v>
      </c>
      <c r="AA13" s="93" t="s">
        <v>134</v>
      </c>
      <c r="AB13" s="94">
        <f>3*2</f>
        <v>6</v>
      </c>
      <c r="AC13" s="94"/>
      <c r="AD13" s="94">
        <f t="shared" si="3"/>
        <v>0</v>
      </c>
      <c r="AE13" s="94"/>
    </row>
    <row r="14" ht="48.9" customHeight="1" spans="1:31">
      <c r="A14" s="91"/>
      <c r="B14" s="96" t="s">
        <v>144</v>
      </c>
      <c r="C14" s="94"/>
      <c r="D14" s="94"/>
      <c r="E14" s="94"/>
      <c r="F14" s="94">
        <f t="shared" si="0"/>
        <v>0</v>
      </c>
      <c r="G14" s="94"/>
      <c r="I14" s="91"/>
      <c r="J14" s="96" t="s">
        <v>144</v>
      </c>
      <c r="K14" s="94"/>
      <c r="L14" s="94"/>
      <c r="M14" s="94"/>
      <c r="N14" s="94">
        <f t="shared" si="1"/>
        <v>0</v>
      </c>
      <c r="O14" s="94"/>
      <c r="Q14" s="91"/>
      <c r="R14" s="96" t="s">
        <v>144</v>
      </c>
      <c r="S14" s="94"/>
      <c r="T14" s="94"/>
      <c r="U14" s="94"/>
      <c r="V14" s="94">
        <f t="shared" si="2"/>
        <v>0</v>
      </c>
      <c r="W14" s="94"/>
      <c r="Y14" s="91"/>
      <c r="Z14" s="96" t="s">
        <v>144</v>
      </c>
      <c r="AA14" s="94"/>
      <c r="AB14" s="94"/>
      <c r="AC14" s="94"/>
      <c r="AD14" s="94">
        <f t="shared" si="3"/>
        <v>0</v>
      </c>
      <c r="AE14" s="94"/>
    </row>
    <row r="15" ht="48.9" customHeight="1" spans="1:31">
      <c r="A15" s="91"/>
      <c r="B15" s="95" t="s">
        <v>138</v>
      </c>
      <c r="C15" s="94" t="s">
        <v>136</v>
      </c>
      <c r="D15" s="94">
        <f>(0.543+0.156+0.686+1.112+1.133*2+0.296*3)*3+3.98*3+(1.55+1.7+1.055)*3</f>
        <v>41.808</v>
      </c>
      <c r="E15" s="94">
        <v>3.06</v>
      </c>
      <c r="F15" s="94">
        <f t="shared" si="0"/>
        <v>127.93248</v>
      </c>
      <c r="G15" s="94"/>
      <c r="I15" s="91"/>
      <c r="J15" s="95" t="s">
        <v>138</v>
      </c>
      <c r="K15" s="94" t="s">
        <v>136</v>
      </c>
      <c r="L15" s="94">
        <f>(0.543+0.156+0.686+1.112+1.133*2+0.296*3)*3+3.98*3+(1.55+1.7+1.055)*3</f>
        <v>41.808</v>
      </c>
      <c r="M15" s="94">
        <v>3.06</v>
      </c>
      <c r="N15" s="94">
        <f t="shared" si="1"/>
        <v>127.93248</v>
      </c>
      <c r="O15" s="94"/>
      <c r="Q15" s="91"/>
      <c r="R15" s="95" t="s">
        <v>138</v>
      </c>
      <c r="S15" s="94" t="s">
        <v>136</v>
      </c>
      <c r="T15" s="94">
        <f>(0.543+0.156+0.686+1.112+1.133*2+0.296*3)*3+3.98*3+(1.55+1.7+1.055)*3</f>
        <v>41.808</v>
      </c>
      <c r="U15" s="94">
        <v>3.06</v>
      </c>
      <c r="V15" s="94">
        <f t="shared" si="2"/>
        <v>127.93248</v>
      </c>
      <c r="W15" s="94"/>
      <c r="Y15" s="91"/>
      <c r="Z15" s="95" t="s">
        <v>138</v>
      </c>
      <c r="AA15" s="94" t="s">
        <v>136</v>
      </c>
      <c r="AB15" s="94">
        <f>(0.543+0.156+0.686+1.112+1.133*2+0.296*3)*3+3.98*3+(1.55+1.7+1.055)*3</f>
        <v>41.808</v>
      </c>
      <c r="AC15" s="94">
        <v>3.06</v>
      </c>
      <c r="AD15" s="94">
        <f t="shared" si="3"/>
        <v>127.93248</v>
      </c>
      <c r="AE15" s="94"/>
    </row>
    <row r="16" ht="48.9" customHeight="1" spans="1:31">
      <c r="A16" s="91"/>
      <c r="B16" s="92" t="s">
        <v>145</v>
      </c>
      <c r="C16" s="93" t="s">
        <v>134</v>
      </c>
      <c r="D16" s="94">
        <f>5*3</f>
        <v>15</v>
      </c>
      <c r="E16" s="94"/>
      <c r="F16" s="94">
        <f t="shared" si="0"/>
        <v>0</v>
      </c>
      <c r="G16" s="94"/>
      <c r="I16" s="91"/>
      <c r="J16" s="92" t="s">
        <v>145</v>
      </c>
      <c r="K16" s="93" t="s">
        <v>134</v>
      </c>
      <c r="L16" s="94">
        <f>5*3</f>
        <v>15</v>
      </c>
      <c r="M16" s="94"/>
      <c r="N16" s="94">
        <f t="shared" si="1"/>
        <v>0</v>
      </c>
      <c r="O16" s="94"/>
      <c r="Q16" s="91"/>
      <c r="R16" s="92" t="s">
        <v>145</v>
      </c>
      <c r="S16" s="93" t="s">
        <v>134</v>
      </c>
      <c r="T16" s="94">
        <f>5*3</f>
        <v>15</v>
      </c>
      <c r="U16" s="94"/>
      <c r="V16" s="94">
        <f t="shared" si="2"/>
        <v>0</v>
      </c>
      <c r="W16" s="94"/>
      <c r="Y16" s="91"/>
      <c r="Z16" s="92" t="s">
        <v>145</v>
      </c>
      <c r="AA16" s="93" t="s">
        <v>134</v>
      </c>
      <c r="AB16" s="94">
        <f>5*3</f>
        <v>15</v>
      </c>
      <c r="AC16" s="94"/>
      <c r="AD16" s="94">
        <f t="shared" si="3"/>
        <v>0</v>
      </c>
      <c r="AE16" s="94"/>
    </row>
    <row r="17" ht="48.9" customHeight="1" spans="1:31">
      <c r="A17" s="91"/>
      <c r="B17" s="97" t="s">
        <v>146</v>
      </c>
      <c r="C17" s="94"/>
      <c r="D17" s="94"/>
      <c r="E17" s="94"/>
      <c r="F17" s="94">
        <f t="shared" si="0"/>
        <v>0</v>
      </c>
      <c r="G17" s="94"/>
      <c r="I17" s="91"/>
      <c r="J17" s="97"/>
      <c r="K17" s="94"/>
      <c r="L17" s="94"/>
      <c r="M17" s="94"/>
      <c r="N17" s="94"/>
      <c r="O17" s="94"/>
      <c r="Q17" s="91"/>
      <c r="R17" s="97"/>
      <c r="S17" s="94"/>
      <c r="T17" s="94"/>
      <c r="U17" s="94"/>
      <c r="V17" s="94"/>
      <c r="W17" s="94"/>
      <c r="Y17" s="91"/>
      <c r="Z17" s="97"/>
      <c r="AA17" s="94"/>
      <c r="AB17" s="94"/>
      <c r="AC17" s="94"/>
      <c r="AD17" s="94"/>
      <c r="AE17" s="94"/>
    </row>
    <row r="18" ht="48.9" customHeight="1" spans="1:31">
      <c r="A18" s="91">
        <v>1</v>
      </c>
      <c r="B18" s="92" t="s">
        <v>147</v>
      </c>
      <c r="C18" s="94" t="s">
        <v>136</v>
      </c>
      <c r="D18" s="94">
        <f>2.55*4*2</f>
        <v>20.4</v>
      </c>
      <c r="E18" s="94">
        <v>10.21</v>
      </c>
      <c r="F18" s="94">
        <f t="shared" si="0"/>
        <v>208.284</v>
      </c>
      <c r="G18" s="94"/>
      <c r="I18" s="91"/>
      <c r="J18" s="92"/>
      <c r="K18" s="94"/>
      <c r="L18" s="94"/>
      <c r="M18" s="94"/>
      <c r="N18" s="94"/>
      <c r="O18" s="94"/>
      <c r="Q18" s="91"/>
      <c r="R18" s="92"/>
      <c r="S18" s="94"/>
      <c r="T18" s="94"/>
      <c r="U18" s="94"/>
      <c r="V18" s="94"/>
      <c r="W18" s="94"/>
      <c r="Y18" s="91"/>
      <c r="Z18" s="92"/>
      <c r="AA18" s="94"/>
      <c r="AB18" s="94"/>
      <c r="AC18" s="94"/>
      <c r="AD18" s="94"/>
      <c r="AE18" s="94"/>
    </row>
    <row r="19" ht="48.9" customHeight="1" spans="1:31">
      <c r="A19" s="91">
        <v>2</v>
      </c>
      <c r="B19" s="92" t="s">
        <v>148</v>
      </c>
      <c r="C19" s="94"/>
      <c r="D19" s="94">
        <f>3.568*3*2+2.55*4+0.17*6*4</f>
        <v>35.688</v>
      </c>
      <c r="E19" s="94">
        <v>3.06</v>
      </c>
      <c r="F19" s="94">
        <f t="shared" si="0"/>
        <v>109.20528</v>
      </c>
      <c r="G19" s="94"/>
      <c r="I19" s="91"/>
      <c r="J19" s="92"/>
      <c r="K19" s="94"/>
      <c r="L19" s="94"/>
      <c r="M19" s="94"/>
      <c r="N19" s="94"/>
      <c r="O19" s="94"/>
      <c r="Q19" s="91"/>
      <c r="R19" s="92"/>
      <c r="S19" s="94"/>
      <c r="T19" s="94"/>
      <c r="U19" s="94"/>
      <c r="V19" s="94"/>
      <c r="W19" s="94"/>
      <c r="Y19" s="91"/>
      <c r="Z19" s="92"/>
      <c r="AA19" s="94"/>
      <c r="AB19" s="94"/>
      <c r="AC19" s="94"/>
      <c r="AD19" s="94"/>
      <c r="AE19" s="94"/>
    </row>
    <row r="20" ht="93" customHeight="1" spans="1:31">
      <c r="A20" s="91">
        <v>3</v>
      </c>
      <c r="B20" s="92" t="s">
        <v>149</v>
      </c>
      <c r="C20" s="93" t="s">
        <v>134</v>
      </c>
      <c r="D20" s="94">
        <f>4*2+2</f>
        <v>10</v>
      </c>
      <c r="E20" s="94"/>
      <c r="F20" s="94">
        <f t="shared" si="0"/>
        <v>0</v>
      </c>
      <c r="G20" s="94"/>
      <c r="I20" s="91"/>
      <c r="J20" s="92"/>
      <c r="K20" s="93"/>
      <c r="L20" s="94"/>
      <c r="M20" s="94"/>
      <c r="N20" s="94"/>
      <c r="O20" s="94"/>
      <c r="Q20" s="91"/>
      <c r="R20" s="92"/>
      <c r="S20" s="93"/>
      <c r="T20" s="94"/>
      <c r="U20" s="94"/>
      <c r="V20" s="94"/>
      <c r="W20" s="94"/>
      <c r="Y20" s="91"/>
      <c r="Z20" s="92"/>
      <c r="AA20" s="93"/>
      <c r="AB20" s="94"/>
      <c r="AC20" s="94"/>
      <c r="AD20" s="94"/>
      <c r="AE20" s="94"/>
    </row>
    <row r="21" ht="44.1" customHeight="1" spans="1:31">
      <c r="A21" s="91"/>
      <c r="B21" s="95" t="s">
        <v>150</v>
      </c>
      <c r="C21" s="94" t="s">
        <v>136</v>
      </c>
      <c r="D21" s="94">
        <f>(23.77-6)*2</f>
        <v>35.54</v>
      </c>
      <c r="E21" s="94">
        <v>0.89</v>
      </c>
      <c r="F21" s="94">
        <f t="shared" si="0"/>
        <v>31.6306</v>
      </c>
      <c r="G21" s="94"/>
      <c r="I21" s="91"/>
      <c r="J21" s="95"/>
      <c r="K21" s="94"/>
      <c r="L21" s="94"/>
      <c r="M21" s="94"/>
      <c r="N21" s="94"/>
      <c r="O21" s="94"/>
      <c r="Q21" s="91"/>
      <c r="R21" s="95"/>
      <c r="S21" s="94"/>
      <c r="T21" s="94"/>
      <c r="U21" s="94"/>
      <c r="V21" s="94"/>
      <c r="W21" s="94"/>
      <c r="Y21" s="91"/>
      <c r="Z21" s="95"/>
      <c r="AA21" s="94"/>
      <c r="AB21" s="94"/>
      <c r="AC21" s="94"/>
      <c r="AD21" s="94"/>
      <c r="AE21" s="94"/>
    </row>
    <row r="22" ht="26.1" customHeight="1" spans="1:31">
      <c r="A22" s="91"/>
      <c r="B22" s="97" t="s">
        <v>123</v>
      </c>
      <c r="C22" s="94" t="s">
        <v>151</v>
      </c>
      <c r="D22" s="94"/>
      <c r="E22" s="94"/>
      <c r="F22" s="94">
        <f>SUM(F3:F21)</f>
        <v>1343.13132</v>
      </c>
      <c r="G22" s="94"/>
      <c r="I22" s="91"/>
      <c r="J22" s="97" t="s">
        <v>123</v>
      </c>
      <c r="K22" s="94" t="s">
        <v>151</v>
      </c>
      <c r="L22" s="94"/>
      <c r="M22" s="94"/>
      <c r="N22" s="94">
        <f>SUM(N3:N21)</f>
        <v>1095.12914</v>
      </c>
      <c r="O22" s="94"/>
      <c r="Q22" s="91"/>
      <c r="R22" s="97" t="s">
        <v>123</v>
      </c>
      <c r="S22" s="94" t="s">
        <v>151</v>
      </c>
      <c r="T22" s="94"/>
      <c r="U22" s="94"/>
      <c r="V22" s="94">
        <f>SUM(V3:V21)</f>
        <v>1095.12914</v>
      </c>
      <c r="W22" s="94"/>
      <c r="Y22" s="91"/>
      <c r="Z22" s="97" t="s">
        <v>123</v>
      </c>
      <c r="AA22" s="94" t="s">
        <v>151</v>
      </c>
      <c r="AB22" s="94"/>
      <c r="AC22" s="94"/>
      <c r="AD22" s="94">
        <f>SUM(AD3:AD21)</f>
        <v>1058.7335</v>
      </c>
      <c r="AE22" s="94"/>
    </row>
    <row r="26" ht="11.1" customHeight="1"/>
    <row r="27" hidden="1"/>
  </sheetData>
  <sheetProtection formatCells="0" formatColumns="0" formatRows="0" insertRows="0" insertColumns="0" insertHyperlinks="0" deleteColumns="0" deleteRows="0" sort="0" autoFilter="0" pivotTables="0"/>
  <autoFilter xmlns:etc="http://www.wps.cn/officeDocument/2017/etCustomData" ref="A2:G22" etc:filterBottomFollowUsedRange="0">
    <extLst/>
  </autoFilter>
  <mergeCells count="4">
    <mergeCell ref="A1:G1"/>
    <mergeCell ref="I1:O1"/>
    <mergeCell ref="Q1:W1"/>
    <mergeCell ref="Y1:AE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81"/>
  <sheetViews>
    <sheetView view="pageBreakPreview" zoomScaleNormal="80" workbookViewId="0">
      <pane ySplit="8" topLeftCell="A22" activePane="bottomLeft" state="frozen"/>
      <selection/>
      <selection pane="bottomLeft" activeCell="O77" sqref="O77"/>
    </sheetView>
  </sheetViews>
  <sheetFormatPr defaultColWidth="18.552380952381" defaultRowHeight="11.25"/>
  <cols>
    <col min="1" max="1" width="4.44761904761905" style="54" customWidth="1"/>
    <col min="2" max="2" width="11.1428571428571" style="54" customWidth="1"/>
    <col min="3" max="3" width="29.1809523809524" style="54" customWidth="1"/>
    <col min="4" max="4" width="5.66666666666667" style="54" customWidth="1"/>
    <col min="5" max="5" width="14.2857142857143" style="54" customWidth="1"/>
    <col min="6" max="12" width="11" style="54" customWidth="1"/>
    <col min="13" max="14" width="16.5714285714286" style="54" customWidth="1"/>
    <col min="15" max="15" width="13.5714285714286" style="55" customWidth="1"/>
    <col min="16" max="16384" width="18.552380952381" style="54"/>
  </cols>
  <sheetData>
    <row r="1" ht="25.5" spans="1:15">
      <c r="A1" s="56" t="s">
        <v>152</v>
      </c>
      <c r="B1" s="57"/>
      <c r="C1" s="57"/>
      <c r="D1" s="57"/>
      <c r="E1" s="57"/>
      <c r="F1" s="57"/>
      <c r="G1" s="57"/>
      <c r="H1" s="57"/>
      <c r="I1" s="71"/>
      <c r="J1" s="57"/>
      <c r="K1" s="57"/>
      <c r="L1" s="57"/>
      <c r="M1" s="57"/>
      <c r="N1" s="57"/>
      <c r="O1" s="57"/>
    </row>
    <row r="2" ht="12" spans="1:15">
      <c r="A2" s="58" t="s">
        <v>43</v>
      </c>
      <c r="B2" s="59"/>
      <c r="C2" s="59"/>
      <c r="D2" s="60"/>
      <c r="E2" s="60"/>
      <c r="F2" s="60"/>
      <c r="G2" s="61"/>
      <c r="H2" s="61"/>
      <c r="I2" s="72"/>
      <c r="J2" s="61"/>
      <c r="K2" s="61"/>
      <c r="L2" s="61"/>
      <c r="M2" s="61"/>
      <c r="N2" s="61"/>
      <c r="O2" s="61"/>
    </row>
    <row r="3" ht="13.5" spans="1:15">
      <c r="A3" s="62" t="s">
        <v>44</v>
      </c>
      <c r="B3" s="63" t="s">
        <v>45</v>
      </c>
      <c r="C3" s="63" t="s">
        <v>46</v>
      </c>
      <c r="D3" s="63" t="s">
        <v>25</v>
      </c>
      <c r="E3" s="63" t="s">
        <v>47</v>
      </c>
      <c r="F3" s="63" t="s">
        <v>48</v>
      </c>
      <c r="G3" s="63"/>
      <c r="H3" s="63"/>
      <c r="I3" s="73"/>
      <c r="J3" s="63"/>
      <c r="K3" s="63"/>
      <c r="L3" s="63"/>
      <c r="M3" s="63" t="s">
        <v>49</v>
      </c>
      <c r="N3" s="63" t="s">
        <v>50</v>
      </c>
      <c r="O3" s="63" t="s">
        <v>153</v>
      </c>
    </row>
    <row r="4" ht="54" spans="1:15">
      <c r="A4" s="62"/>
      <c r="B4" s="63"/>
      <c r="C4" s="63"/>
      <c r="D4" s="63"/>
      <c r="E4" s="63"/>
      <c r="F4" s="63" t="s">
        <v>52</v>
      </c>
      <c r="G4" s="63" t="s">
        <v>53</v>
      </c>
      <c r="H4" s="63" t="s">
        <v>54</v>
      </c>
      <c r="I4" s="73" t="s">
        <v>55</v>
      </c>
      <c r="J4" s="63" t="s">
        <v>56</v>
      </c>
      <c r="K4" s="63" t="s">
        <v>57</v>
      </c>
      <c r="L4" s="63" t="s">
        <v>58</v>
      </c>
      <c r="M4" s="63"/>
      <c r="N4" s="63"/>
      <c r="O4" s="63"/>
    </row>
    <row r="5" ht="27" spans="1:15">
      <c r="A5" s="62"/>
      <c r="B5" s="63"/>
      <c r="C5" s="63"/>
      <c r="D5" s="63"/>
      <c r="E5" s="63"/>
      <c r="F5" s="63"/>
      <c r="G5" s="63" t="s">
        <v>59</v>
      </c>
      <c r="H5" s="63" t="s">
        <v>60</v>
      </c>
      <c r="I5" s="73" t="s">
        <v>154</v>
      </c>
      <c r="J5" s="63"/>
      <c r="K5" s="74">
        <f>'[1]02、装饰工程'!K5</f>
        <v>0.06</v>
      </c>
      <c r="L5" s="74">
        <f>'[1]02、装饰工程'!L5</f>
        <v>0.09</v>
      </c>
      <c r="M5" s="63"/>
      <c r="N5" s="63"/>
      <c r="O5" s="63"/>
    </row>
    <row r="6" ht="13.5" spans="1:15">
      <c r="A6" s="64"/>
      <c r="B6" s="65" t="s">
        <v>155</v>
      </c>
      <c r="C6" s="65"/>
      <c r="D6" s="66"/>
      <c r="E6" s="66"/>
      <c r="F6" s="66"/>
      <c r="G6" s="66"/>
      <c r="H6" s="66"/>
      <c r="I6" s="75"/>
      <c r="J6" s="66"/>
      <c r="K6" s="66"/>
      <c r="L6" s="66"/>
      <c r="M6" s="66"/>
      <c r="N6" s="66">
        <f>N7+N50</f>
        <v>119019.24233435</v>
      </c>
      <c r="O6" s="66"/>
    </row>
    <row r="7" ht="13.5" spans="1:15">
      <c r="A7" s="62"/>
      <c r="B7" s="65" t="s">
        <v>156</v>
      </c>
      <c r="C7" s="67"/>
      <c r="D7" s="63"/>
      <c r="E7" s="63"/>
      <c r="F7" s="63"/>
      <c r="G7" s="63"/>
      <c r="H7" s="63"/>
      <c r="I7" s="73"/>
      <c r="J7" s="63"/>
      <c r="K7" s="63"/>
      <c r="L7" s="63"/>
      <c r="M7" s="63"/>
      <c r="N7" s="66">
        <f>N8+N36</f>
        <v>92185.5738304642</v>
      </c>
      <c r="O7" s="63"/>
    </row>
    <row r="8" ht="13.5" spans="1:15">
      <c r="A8" s="62"/>
      <c r="B8" s="68" t="s">
        <v>157</v>
      </c>
      <c r="C8" s="69"/>
      <c r="D8" s="63"/>
      <c r="E8" s="63"/>
      <c r="F8" s="63"/>
      <c r="G8" s="63"/>
      <c r="H8" s="63"/>
      <c r="I8" s="73"/>
      <c r="J8" s="63"/>
      <c r="K8" s="63"/>
      <c r="L8" s="63"/>
      <c r="M8" s="63"/>
      <c r="N8" s="66">
        <f>SUM(N9:N35)</f>
        <v>58915.2448497124</v>
      </c>
      <c r="O8" s="63"/>
    </row>
    <row r="9" ht="67.5" spans="1:15">
      <c r="A9" s="62">
        <v>1</v>
      </c>
      <c r="B9" s="67" t="s">
        <v>158</v>
      </c>
      <c r="C9" s="67" t="s">
        <v>159</v>
      </c>
      <c r="D9" s="63" t="s">
        <v>136</v>
      </c>
      <c r="E9" s="63">
        <v>270.58</v>
      </c>
      <c r="F9" s="63">
        <v>9.8</v>
      </c>
      <c r="G9" s="63">
        <f>H9*(1+I9)</f>
        <v>4.6453</v>
      </c>
      <c r="H9" s="63">
        <v>4.51</v>
      </c>
      <c r="I9" s="73">
        <v>0.03</v>
      </c>
      <c r="J9" s="63">
        <v>2.63</v>
      </c>
      <c r="K9" s="63">
        <f t="shared" ref="K9:K35" si="0">(F9+G9+J9)*$K$5</f>
        <v>1.024518</v>
      </c>
      <c r="L9" s="63">
        <f t="shared" ref="L9:L35" si="1">(F9+G9+J9+K9)*$L$5</f>
        <v>1.62898362</v>
      </c>
      <c r="M9" s="63">
        <f t="shared" ref="M9:M35" si="2">F9+G9+J9+K9+L9</f>
        <v>19.72880162</v>
      </c>
      <c r="N9" s="63">
        <f t="shared" ref="N9:N35" si="3">M9*E9</f>
        <v>5338.2191423396</v>
      </c>
      <c r="O9" s="63"/>
    </row>
    <row r="10" ht="67.5" spans="1:15">
      <c r="A10" s="62">
        <v>2</v>
      </c>
      <c r="B10" s="67" t="s">
        <v>158</v>
      </c>
      <c r="C10" s="67" t="s">
        <v>160</v>
      </c>
      <c r="D10" s="63" t="s">
        <v>136</v>
      </c>
      <c r="E10" s="63">
        <v>139.14</v>
      </c>
      <c r="F10" s="63">
        <v>5.13</v>
      </c>
      <c r="G10" s="63">
        <f t="shared" ref="G10:G35" si="4">H10*(1+I10)</f>
        <v>4.6453</v>
      </c>
      <c r="H10" s="63">
        <v>4.51</v>
      </c>
      <c r="I10" s="73">
        <v>0.03</v>
      </c>
      <c r="J10" s="63">
        <v>1.91</v>
      </c>
      <c r="K10" s="63">
        <f t="shared" si="0"/>
        <v>0.701118</v>
      </c>
      <c r="L10" s="63">
        <f t="shared" si="1"/>
        <v>1.11477762</v>
      </c>
      <c r="M10" s="63">
        <f t="shared" si="2"/>
        <v>13.50119562</v>
      </c>
      <c r="N10" s="63">
        <f t="shared" si="3"/>
        <v>1878.5563585668</v>
      </c>
      <c r="O10" s="63"/>
    </row>
    <row r="11" ht="67.5" spans="1:15">
      <c r="A11" s="62">
        <v>3</v>
      </c>
      <c r="B11" s="67" t="s">
        <v>158</v>
      </c>
      <c r="C11" s="67" t="s">
        <v>161</v>
      </c>
      <c r="D11" s="63" t="s">
        <v>136</v>
      </c>
      <c r="E11" s="63">
        <v>43.145</v>
      </c>
      <c r="F11" s="63">
        <v>11.98</v>
      </c>
      <c r="G11" s="63">
        <f t="shared" si="4"/>
        <v>7.8692</v>
      </c>
      <c r="H11" s="63">
        <v>7.64</v>
      </c>
      <c r="I11" s="73">
        <v>0.03</v>
      </c>
      <c r="J11" s="63">
        <v>3.48</v>
      </c>
      <c r="K11" s="63">
        <f t="shared" si="0"/>
        <v>1.399752</v>
      </c>
      <c r="L11" s="63">
        <f t="shared" si="1"/>
        <v>2.22560568</v>
      </c>
      <c r="M11" s="63">
        <f t="shared" si="2"/>
        <v>26.95455768</v>
      </c>
      <c r="N11" s="63">
        <f t="shared" si="3"/>
        <v>1162.9543911036</v>
      </c>
      <c r="O11" s="63"/>
    </row>
    <row r="12" ht="67.5" spans="1:15">
      <c r="A12" s="62">
        <v>4</v>
      </c>
      <c r="B12" s="67" t="s">
        <v>162</v>
      </c>
      <c r="C12" s="67" t="s">
        <v>163</v>
      </c>
      <c r="D12" s="63" t="s">
        <v>136</v>
      </c>
      <c r="E12" s="63">
        <v>1334.675</v>
      </c>
      <c r="F12" s="63">
        <v>2.02</v>
      </c>
      <c r="G12" s="63">
        <f t="shared" si="4"/>
        <v>3.2596</v>
      </c>
      <c r="H12" s="63">
        <v>2.81</v>
      </c>
      <c r="I12" s="73">
        <v>0.16</v>
      </c>
      <c r="J12" s="63">
        <v>1.1</v>
      </c>
      <c r="K12" s="63">
        <f t="shared" si="0"/>
        <v>0.382776</v>
      </c>
      <c r="L12" s="63">
        <f t="shared" si="1"/>
        <v>0.60861384</v>
      </c>
      <c r="M12" s="63">
        <f t="shared" si="2"/>
        <v>7.37098984</v>
      </c>
      <c r="N12" s="63">
        <f t="shared" si="3"/>
        <v>9837.875864702</v>
      </c>
      <c r="O12" s="76"/>
    </row>
    <row r="13" ht="67.5" spans="1:15">
      <c r="A13" s="62">
        <v>5</v>
      </c>
      <c r="B13" s="67" t="s">
        <v>162</v>
      </c>
      <c r="C13" s="67" t="s">
        <v>164</v>
      </c>
      <c r="D13" s="63" t="s">
        <v>136</v>
      </c>
      <c r="E13" s="63">
        <v>191.8</v>
      </c>
      <c r="F13" s="63">
        <v>2.02</v>
      </c>
      <c r="G13" s="63">
        <f t="shared" si="4"/>
        <v>3.2596</v>
      </c>
      <c r="H13" s="63">
        <v>2.81</v>
      </c>
      <c r="I13" s="73">
        <v>0.16</v>
      </c>
      <c r="J13" s="63">
        <v>1.1</v>
      </c>
      <c r="K13" s="63">
        <f t="shared" si="0"/>
        <v>0.382776</v>
      </c>
      <c r="L13" s="63">
        <f t="shared" si="1"/>
        <v>0.60861384</v>
      </c>
      <c r="M13" s="63">
        <f t="shared" si="2"/>
        <v>7.37098984</v>
      </c>
      <c r="N13" s="63">
        <f t="shared" si="3"/>
        <v>1413.755851312</v>
      </c>
      <c r="O13" s="76"/>
    </row>
    <row r="14" ht="67.5" spans="1:15">
      <c r="A14" s="62">
        <v>6</v>
      </c>
      <c r="B14" s="67" t="s">
        <v>162</v>
      </c>
      <c r="C14" s="67" t="s">
        <v>165</v>
      </c>
      <c r="D14" s="63" t="s">
        <v>136</v>
      </c>
      <c r="E14" s="63">
        <v>324.55</v>
      </c>
      <c r="F14" s="63">
        <v>1.94</v>
      </c>
      <c r="G14" s="63">
        <f t="shared" si="4"/>
        <v>4.0484</v>
      </c>
      <c r="H14" s="63">
        <v>3.49</v>
      </c>
      <c r="I14" s="73">
        <v>0.16</v>
      </c>
      <c r="J14" s="63">
        <v>1.1</v>
      </c>
      <c r="K14" s="63">
        <f t="shared" si="0"/>
        <v>0.425304</v>
      </c>
      <c r="L14" s="63">
        <f t="shared" si="1"/>
        <v>0.67623336</v>
      </c>
      <c r="M14" s="63">
        <f t="shared" si="2"/>
        <v>8.18993736</v>
      </c>
      <c r="N14" s="63">
        <f t="shared" si="3"/>
        <v>2658.044170188</v>
      </c>
      <c r="O14" s="76"/>
    </row>
    <row r="15" ht="67.5" spans="1:15">
      <c r="A15" s="62">
        <v>7</v>
      </c>
      <c r="B15" s="67" t="s">
        <v>162</v>
      </c>
      <c r="C15" s="67" t="s">
        <v>166</v>
      </c>
      <c r="D15" s="63" t="s">
        <v>136</v>
      </c>
      <c r="E15" s="63">
        <v>62.26</v>
      </c>
      <c r="F15" s="63">
        <v>2.02</v>
      </c>
      <c r="G15" s="63">
        <f t="shared" si="4"/>
        <v>11.3724</v>
      </c>
      <c r="H15" s="63">
        <v>10.53</v>
      </c>
      <c r="I15" s="73">
        <v>0.08</v>
      </c>
      <c r="J15" s="63">
        <v>0.68</v>
      </c>
      <c r="K15" s="63">
        <f t="shared" si="0"/>
        <v>0.844344</v>
      </c>
      <c r="L15" s="63">
        <f t="shared" si="1"/>
        <v>1.34250696</v>
      </c>
      <c r="M15" s="63">
        <f t="shared" si="2"/>
        <v>16.25925096</v>
      </c>
      <c r="N15" s="63">
        <f t="shared" si="3"/>
        <v>1012.3009647696</v>
      </c>
      <c r="O15" s="76"/>
    </row>
    <row r="16" ht="81" spans="1:15">
      <c r="A16" s="62">
        <v>8</v>
      </c>
      <c r="B16" s="67" t="s">
        <v>167</v>
      </c>
      <c r="C16" s="67" t="s">
        <v>168</v>
      </c>
      <c r="D16" s="63" t="s">
        <v>169</v>
      </c>
      <c r="E16" s="63">
        <v>12</v>
      </c>
      <c r="F16" s="63">
        <v>9.55</v>
      </c>
      <c r="G16" s="63">
        <f t="shared" si="4"/>
        <v>58.58</v>
      </c>
      <c r="H16" s="63">
        <v>58</v>
      </c>
      <c r="I16" s="73">
        <v>0.01</v>
      </c>
      <c r="J16" s="63">
        <v>13.95</v>
      </c>
      <c r="K16" s="63">
        <f t="shared" si="0"/>
        <v>4.9248</v>
      </c>
      <c r="L16" s="63">
        <f t="shared" si="1"/>
        <v>7.830432</v>
      </c>
      <c r="M16" s="63">
        <f t="shared" si="2"/>
        <v>94.835232</v>
      </c>
      <c r="N16" s="63">
        <f t="shared" si="3"/>
        <v>1138.022784</v>
      </c>
      <c r="O16" s="76"/>
    </row>
    <row r="17" ht="81" spans="1:15">
      <c r="A17" s="62">
        <v>9</v>
      </c>
      <c r="B17" s="67" t="s">
        <v>167</v>
      </c>
      <c r="C17" s="67" t="s">
        <v>170</v>
      </c>
      <c r="D17" s="63" t="s">
        <v>169</v>
      </c>
      <c r="E17" s="63">
        <v>6</v>
      </c>
      <c r="F17" s="63">
        <v>7.36</v>
      </c>
      <c r="G17" s="63">
        <f t="shared" si="4"/>
        <v>58.58</v>
      </c>
      <c r="H17" s="63">
        <v>58</v>
      </c>
      <c r="I17" s="73">
        <v>0.01</v>
      </c>
      <c r="J17" s="63">
        <v>13.95</v>
      </c>
      <c r="K17" s="63">
        <f t="shared" si="0"/>
        <v>4.7934</v>
      </c>
      <c r="L17" s="63">
        <f t="shared" si="1"/>
        <v>7.621506</v>
      </c>
      <c r="M17" s="63">
        <f t="shared" si="2"/>
        <v>92.304906</v>
      </c>
      <c r="N17" s="63">
        <f t="shared" si="3"/>
        <v>553.829436</v>
      </c>
      <c r="O17" s="76"/>
    </row>
    <row r="18" ht="67.5" spans="1:15">
      <c r="A18" s="62">
        <v>10</v>
      </c>
      <c r="B18" s="67" t="s">
        <v>171</v>
      </c>
      <c r="C18" s="67" t="s">
        <v>172</v>
      </c>
      <c r="D18" s="63" t="s">
        <v>136</v>
      </c>
      <c r="E18" s="63">
        <v>20</v>
      </c>
      <c r="F18" s="63">
        <v>7.36</v>
      </c>
      <c r="G18" s="63">
        <f t="shared" si="4"/>
        <v>36.2893</v>
      </c>
      <c r="H18" s="63">
        <v>35.93</v>
      </c>
      <c r="I18" s="73">
        <v>0.01</v>
      </c>
      <c r="J18" s="63">
        <v>20.62</v>
      </c>
      <c r="K18" s="63">
        <f t="shared" si="0"/>
        <v>3.856158</v>
      </c>
      <c r="L18" s="63">
        <f t="shared" si="1"/>
        <v>6.13129122</v>
      </c>
      <c r="M18" s="63">
        <f t="shared" si="2"/>
        <v>74.25674922</v>
      </c>
      <c r="N18" s="63">
        <f t="shared" si="3"/>
        <v>1485.1349844</v>
      </c>
      <c r="O18" s="63"/>
    </row>
    <row r="19" ht="81" spans="1:15">
      <c r="A19" s="62">
        <v>11</v>
      </c>
      <c r="B19" s="67" t="s">
        <v>167</v>
      </c>
      <c r="C19" s="67" t="s">
        <v>173</v>
      </c>
      <c r="D19" s="63" t="s">
        <v>169</v>
      </c>
      <c r="E19" s="63">
        <v>13</v>
      </c>
      <c r="F19" s="63">
        <v>40.78</v>
      </c>
      <c r="G19" s="63">
        <f t="shared" si="4"/>
        <v>117.16</v>
      </c>
      <c r="H19" s="63">
        <v>116</v>
      </c>
      <c r="I19" s="73">
        <v>0.01</v>
      </c>
      <c r="J19" s="63">
        <v>66.93</v>
      </c>
      <c r="K19" s="63">
        <f t="shared" si="0"/>
        <v>13.4922</v>
      </c>
      <c r="L19" s="63">
        <f t="shared" si="1"/>
        <v>21.452598</v>
      </c>
      <c r="M19" s="63">
        <f t="shared" si="2"/>
        <v>259.814798</v>
      </c>
      <c r="N19" s="63">
        <f t="shared" si="3"/>
        <v>3377.592374</v>
      </c>
      <c r="O19" s="76"/>
    </row>
    <row r="20" ht="67.5" spans="1:15">
      <c r="A20" s="62">
        <v>12</v>
      </c>
      <c r="B20" s="67" t="s">
        <v>167</v>
      </c>
      <c r="C20" s="67" t="s">
        <v>174</v>
      </c>
      <c r="D20" s="63" t="s">
        <v>169</v>
      </c>
      <c r="E20" s="63">
        <v>13</v>
      </c>
      <c r="F20" s="63">
        <v>15.37</v>
      </c>
      <c r="G20" s="63">
        <f t="shared" si="4"/>
        <v>58.58</v>
      </c>
      <c r="H20" s="63">
        <v>58</v>
      </c>
      <c r="I20" s="73">
        <v>0.01</v>
      </c>
      <c r="J20" s="63">
        <v>13.95</v>
      </c>
      <c r="K20" s="63">
        <f t="shared" si="0"/>
        <v>5.274</v>
      </c>
      <c r="L20" s="63">
        <f t="shared" si="1"/>
        <v>8.38566</v>
      </c>
      <c r="M20" s="63">
        <f t="shared" si="2"/>
        <v>101.55966</v>
      </c>
      <c r="N20" s="63">
        <f t="shared" si="3"/>
        <v>1320.27558</v>
      </c>
      <c r="O20" s="76"/>
    </row>
    <row r="21" ht="81" spans="1:15">
      <c r="A21" s="62">
        <v>13</v>
      </c>
      <c r="B21" s="67" t="s">
        <v>167</v>
      </c>
      <c r="C21" s="67" t="s">
        <v>175</v>
      </c>
      <c r="D21" s="63" t="s">
        <v>169</v>
      </c>
      <c r="E21" s="63">
        <v>26</v>
      </c>
      <c r="F21" s="63">
        <v>9.55</v>
      </c>
      <c r="G21" s="63">
        <f t="shared" si="4"/>
        <v>63.63</v>
      </c>
      <c r="H21" s="63">
        <v>63</v>
      </c>
      <c r="I21" s="73">
        <v>0.01</v>
      </c>
      <c r="J21" s="63">
        <v>18.95</v>
      </c>
      <c r="K21" s="63">
        <f t="shared" si="0"/>
        <v>5.5278</v>
      </c>
      <c r="L21" s="63">
        <f t="shared" si="1"/>
        <v>8.789202</v>
      </c>
      <c r="M21" s="63">
        <f t="shared" si="2"/>
        <v>106.447002</v>
      </c>
      <c r="N21" s="63">
        <f t="shared" si="3"/>
        <v>2767.622052</v>
      </c>
      <c r="O21" s="76"/>
    </row>
    <row r="22" ht="81" spans="1:15">
      <c r="A22" s="62">
        <v>14</v>
      </c>
      <c r="B22" s="67" t="s">
        <v>167</v>
      </c>
      <c r="C22" s="67" t="s">
        <v>176</v>
      </c>
      <c r="D22" s="63" t="s">
        <v>169</v>
      </c>
      <c r="E22" s="63">
        <v>24</v>
      </c>
      <c r="F22" s="63">
        <v>9.55</v>
      </c>
      <c r="G22" s="63">
        <f t="shared" si="4"/>
        <v>73.73</v>
      </c>
      <c r="H22" s="63">
        <v>73</v>
      </c>
      <c r="I22" s="73">
        <v>0.01</v>
      </c>
      <c r="J22" s="63">
        <v>21.95</v>
      </c>
      <c r="K22" s="63">
        <f t="shared" si="0"/>
        <v>6.3138</v>
      </c>
      <c r="L22" s="63">
        <f t="shared" si="1"/>
        <v>10.038942</v>
      </c>
      <c r="M22" s="63">
        <f t="shared" si="2"/>
        <v>121.582742</v>
      </c>
      <c r="N22" s="63">
        <f t="shared" si="3"/>
        <v>2917.985808</v>
      </c>
      <c r="O22" s="76"/>
    </row>
    <row r="23" ht="54" spans="1:15">
      <c r="A23" s="62">
        <v>15</v>
      </c>
      <c r="B23" s="67" t="s">
        <v>167</v>
      </c>
      <c r="C23" s="67" t="s">
        <v>177</v>
      </c>
      <c r="D23" s="63" t="s">
        <v>169</v>
      </c>
      <c r="E23" s="63">
        <v>17</v>
      </c>
      <c r="F23" s="63">
        <v>15.37</v>
      </c>
      <c r="G23" s="63">
        <f t="shared" si="4"/>
        <v>55.55</v>
      </c>
      <c r="H23" s="63">
        <v>55</v>
      </c>
      <c r="I23" s="73">
        <v>0.01</v>
      </c>
      <c r="J23" s="63">
        <v>17.6</v>
      </c>
      <c r="K23" s="63">
        <f t="shared" si="0"/>
        <v>5.3112</v>
      </c>
      <c r="L23" s="63">
        <f t="shared" si="1"/>
        <v>8.444808</v>
      </c>
      <c r="M23" s="63">
        <f t="shared" si="2"/>
        <v>102.276008</v>
      </c>
      <c r="N23" s="63">
        <f t="shared" si="3"/>
        <v>1738.692136</v>
      </c>
      <c r="O23" s="76"/>
    </row>
    <row r="24" ht="67.5" spans="1:15">
      <c r="A24" s="62">
        <v>16</v>
      </c>
      <c r="B24" s="67" t="s">
        <v>167</v>
      </c>
      <c r="C24" s="67" t="s">
        <v>178</v>
      </c>
      <c r="D24" s="63" t="s">
        <v>136</v>
      </c>
      <c r="E24" s="63">
        <v>245.785</v>
      </c>
      <c r="F24" s="63">
        <v>15.23</v>
      </c>
      <c r="G24" s="63">
        <f t="shared" si="4"/>
        <v>12.75</v>
      </c>
      <c r="H24" s="63">
        <v>12.5</v>
      </c>
      <c r="I24" s="73">
        <v>0.02</v>
      </c>
      <c r="J24" s="63">
        <v>11.78</v>
      </c>
      <c r="K24" s="63">
        <f t="shared" si="0"/>
        <v>2.3856</v>
      </c>
      <c r="L24" s="63">
        <f t="shared" si="1"/>
        <v>3.793104</v>
      </c>
      <c r="M24" s="63">
        <f t="shared" si="2"/>
        <v>45.938704</v>
      </c>
      <c r="N24" s="63">
        <f t="shared" si="3"/>
        <v>11291.04436264</v>
      </c>
      <c r="O24" s="63"/>
    </row>
    <row r="25" ht="81" spans="1:15">
      <c r="A25" s="62">
        <v>17</v>
      </c>
      <c r="B25" s="67" t="s">
        <v>167</v>
      </c>
      <c r="C25" s="67" t="s">
        <v>179</v>
      </c>
      <c r="D25" s="63" t="s">
        <v>136</v>
      </c>
      <c r="E25" s="63">
        <v>52.29</v>
      </c>
      <c r="F25" s="63">
        <v>24.03</v>
      </c>
      <c r="G25" s="63">
        <f t="shared" si="4"/>
        <v>26.2238</v>
      </c>
      <c r="H25" s="63">
        <v>25.46</v>
      </c>
      <c r="I25" s="73">
        <v>0.03</v>
      </c>
      <c r="J25" s="63">
        <v>13.95</v>
      </c>
      <c r="K25" s="63">
        <f t="shared" si="0"/>
        <v>3.852228</v>
      </c>
      <c r="L25" s="63">
        <f t="shared" si="1"/>
        <v>6.12504252</v>
      </c>
      <c r="M25" s="63">
        <f t="shared" si="2"/>
        <v>74.18107052</v>
      </c>
      <c r="N25" s="63">
        <f t="shared" si="3"/>
        <v>3878.9281774908</v>
      </c>
      <c r="O25" s="63"/>
    </row>
    <row r="26" ht="40.5" spans="1:15">
      <c r="A26" s="62">
        <v>18</v>
      </c>
      <c r="B26" s="67" t="s">
        <v>180</v>
      </c>
      <c r="C26" s="67" t="s">
        <v>181</v>
      </c>
      <c r="D26" s="63" t="s">
        <v>80</v>
      </c>
      <c r="E26" s="63">
        <v>2</v>
      </c>
      <c r="F26" s="63">
        <v>7.07</v>
      </c>
      <c r="G26" s="63">
        <f t="shared" si="4"/>
        <v>20.4</v>
      </c>
      <c r="H26" s="63">
        <v>20</v>
      </c>
      <c r="I26" s="73">
        <v>0.02</v>
      </c>
      <c r="J26" s="63">
        <v>1</v>
      </c>
      <c r="K26" s="63">
        <f t="shared" si="0"/>
        <v>1.7082</v>
      </c>
      <c r="L26" s="63">
        <f t="shared" si="1"/>
        <v>2.716038</v>
      </c>
      <c r="M26" s="63">
        <f t="shared" si="2"/>
        <v>32.894238</v>
      </c>
      <c r="N26" s="63">
        <f t="shared" si="3"/>
        <v>65.788476</v>
      </c>
      <c r="O26" s="63"/>
    </row>
    <row r="27" ht="40.5" spans="1:15">
      <c r="A27" s="62">
        <v>19</v>
      </c>
      <c r="B27" s="67" t="s">
        <v>180</v>
      </c>
      <c r="C27" s="67" t="s">
        <v>182</v>
      </c>
      <c r="D27" s="63" t="s">
        <v>80</v>
      </c>
      <c r="E27" s="63">
        <v>3</v>
      </c>
      <c r="F27" s="63">
        <v>7.07</v>
      </c>
      <c r="G27" s="63">
        <f t="shared" si="4"/>
        <v>20.4</v>
      </c>
      <c r="H27" s="63">
        <v>20</v>
      </c>
      <c r="I27" s="73">
        <v>0.02</v>
      </c>
      <c r="J27" s="63">
        <v>1</v>
      </c>
      <c r="K27" s="63">
        <f t="shared" si="0"/>
        <v>1.7082</v>
      </c>
      <c r="L27" s="63">
        <f t="shared" si="1"/>
        <v>2.716038</v>
      </c>
      <c r="M27" s="63">
        <f t="shared" si="2"/>
        <v>32.894238</v>
      </c>
      <c r="N27" s="63">
        <f t="shared" si="3"/>
        <v>98.682714</v>
      </c>
      <c r="O27" s="63"/>
    </row>
    <row r="28" ht="40.5" spans="1:15">
      <c r="A28" s="62">
        <v>20</v>
      </c>
      <c r="B28" s="67" t="s">
        <v>180</v>
      </c>
      <c r="C28" s="67" t="s">
        <v>183</v>
      </c>
      <c r="D28" s="63" t="s">
        <v>80</v>
      </c>
      <c r="E28" s="63">
        <v>1</v>
      </c>
      <c r="F28" s="63">
        <v>7.07</v>
      </c>
      <c r="G28" s="63">
        <f t="shared" si="4"/>
        <v>20.4</v>
      </c>
      <c r="H28" s="63">
        <v>20</v>
      </c>
      <c r="I28" s="73">
        <v>0.02</v>
      </c>
      <c r="J28" s="63">
        <v>1</v>
      </c>
      <c r="K28" s="63">
        <f t="shared" si="0"/>
        <v>1.7082</v>
      </c>
      <c r="L28" s="63">
        <f t="shared" si="1"/>
        <v>2.716038</v>
      </c>
      <c r="M28" s="63">
        <f t="shared" si="2"/>
        <v>32.894238</v>
      </c>
      <c r="N28" s="63">
        <f t="shared" si="3"/>
        <v>32.894238</v>
      </c>
      <c r="O28" s="63"/>
    </row>
    <row r="29" ht="40.5" spans="1:15">
      <c r="A29" s="62">
        <v>21</v>
      </c>
      <c r="B29" s="67" t="s">
        <v>180</v>
      </c>
      <c r="C29" s="67" t="s">
        <v>184</v>
      </c>
      <c r="D29" s="63" t="s">
        <v>80</v>
      </c>
      <c r="E29" s="63">
        <v>28</v>
      </c>
      <c r="F29" s="63">
        <v>6.725</v>
      </c>
      <c r="G29" s="63">
        <f t="shared" si="4"/>
        <v>32.64</v>
      </c>
      <c r="H29" s="63">
        <v>32</v>
      </c>
      <c r="I29" s="73">
        <v>0.02</v>
      </c>
      <c r="J29" s="63">
        <v>1</v>
      </c>
      <c r="K29" s="63">
        <f t="shared" si="0"/>
        <v>2.4219</v>
      </c>
      <c r="L29" s="63">
        <f t="shared" si="1"/>
        <v>3.850821</v>
      </c>
      <c r="M29" s="63">
        <f t="shared" si="2"/>
        <v>46.637721</v>
      </c>
      <c r="N29" s="63">
        <f t="shared" si="3"/>
        <v>1305.856188</v>
      </c>
      <c r="O29" s="63"/>
    </row>
    <row r="30" ht="40.5" spans="1:15">
      <c r="A30" s="62">
        <v>22</v>
      </c>
      <c r="B30" s="67" t="s">
        <v>185</v>
      </c>
      <c r="C30" s="67" t="s">
        <v>186</v>
      </c>
      <c r="D30" s="63" t="s">
        <v>80</v>
      </c>
      <c r="E30" s="63">
        <v>2</v>
      </c>
      <c r="F30" s="63">
        <v>8.76</v>
      </c>
      <c r="G30" s="63">
        <f t="shared" si="4"/>
        <v>15.3</v>
      </c>
      <c r="H30" s="63">
        <v>15</v>
      </c>
      <c r="I30" s="73">
        <v>0.02</v>
      </c>
      <c r="J30" s="63">
        <v>1.46</v>
      </c>
      <c r="K30" s="63">
        <f t="shared" si="0"/>
        <v>1.5312</v>
      </c>
      <c r="L30" s="63">
        <f t="shared" si="1"/>
        <v>2.434608</v>
      </c>
      <c r="M30" s="63">
        <f t="shared" si="2"/>
        <v>29.485808</v>
      </c>
      <c r="N30" s="63">
        <f t="shared" si="3"/>
        <v>58.971616</v>
      </c>
      <c r="O30" s="63"/>
    </row>
    <row r="31" ht="40.5" spans="1:15">
      <c r="A31" s="62">
        <v>23</v>
      </c>
      <c r="B31" s="67" t="s">
        <v>185</v>
      </c>
      <c r="C31" s="67" t="s">
        <v>187</v>
      </c>
      <c r="D31" s="63" t="s">
        <v>80</v>
      </c>
      <c r="E31" s="63">
        <v>4</v>
      </c>
      <c r="F31" s="63">
        <v>9.34</v>
      </c>
      <c r="G31" s="63">
        <v>12.64</v>
      </c>
      <c r="H31" s="63">
        <v>49.7</v>
      </c>
      <c r="I31" s="73">
        <v>0.02</v>
      </c>
      <c r="J31" s="63">
        <v>1.46</v>
      </c>
      <c r="K31" s="63">
        <f t="shared" si="0"/>
        <v>1.4064</v>
      </c>
      <c r="L31" s="63">
        <f t="shared" si="1"/>
        <v>2.236176</v>
      </c>
      <c r="M31" s="63">
        <f t="shared" si="2"/>
        <v>27.082576</v>
      </c>
      <c r="N31" s="63">
        <f t="shared" si="3"/>
        <v>108.330304</v>
      </c>
      <c r="O31" s="63"/>
    </row>
    <row r="32" ht="40.5" spans="1:15">
      <c r="A32" s="62">
        <v>24</v>
      </c>
      <c r="B32" s="67" t="s">
        <v>185</v>
      </c>
      <c r="C32" s="67" t="s">
        <v>188</v>
      </c>
      <c r="D32" s="63" t="s">
        <v>80</v>
      </c>
      <c r="E32" s="63">
        <v>3</v>
      </c>
      <c r="F32" s="63">
        <v>8.76</v>
      </c>
      <c r="G32" s="63">
        <f t="shared" ref="G32:G33" si="5">H32*(1+I32)</f>
        <v>40.0248</v>
      </c>
      <c r="H32" s="63">
        <v>39.24</v>
      </c>
      <c r="I32" s="73">
        <v>0.02</v>
      </c>
      <c r="J32" s="63">
        <v>1.46</v>
      </c>
      <c r="K32" s="63">
        <f t="shared" si="0"/>
        <v>3.014688</v>
      </c>
      <c r="L32" s="63">
        <f t="shared" si="1"/>
        <v>4.79335392</v>
      </c>
      <c r="M32" s="63">
        <f t="shared" si="2"/>
        <v>58.05284192</v>
      </c>
      <c r="N32" s="63">
        <f t="shared" si="3"/>
        <v>174.15852576</v>
      </c>
      <c r="O32" s="63"/>
    </row>
    <row r="33" ht="40.5" spans="1:15">
      <c r="A33" s="62">
        <v>25</v>
      </c>
      <c r="B33" s="67" t="s">
        <v>185</v>
      </c>
      <c r="C33" s="67" t="s">
        <v>189</v>
      </c>
      <c r="D33" s="63" t="s">
        <v>80</v>
      </c>
      <c r="E33" s="63">
        <v>4</v>
      </c>
      <c r="F33" s="63">
        <v>20.36</v>
      </c>
      <c r="G33" s="63">
        <f t="shared" si="5"/>
        <v>33.4764</v>
      </c>
      <c r="H33" s="63">
        <v>32.82</v>
      </c>
      <c r="I33" s="73">
        <v>0.02</v>
      </c>
      <c r="J33" s="63">
        <v>1.46</v>
      </c>
      <c r="K33" s="63">
        <f t="shared" si="0"/>
        <v>3.317784</v>
      </c>
      <c r="L33" s="63">
        <f t="shared" si="1"/>
        <v>5.27527656</v>
      </c>
      <c r="M33" s="63">
        <f t="shared" si="2"/>
        <v>63.88946056</v>
      </c>
      <c r="N33" s="63">
        <f t="shared" si="3"/>
        <v>255.55784224</v>
      </c>
      <c r="O33" s="63"/>
    </row>
    <row r="34" ht="13.5" spans="1:15">
      <c r="A34" s="62">
        <v>26</v>
      </c>
      <c r="B34" s="67" t="s">
        <v>190</v>
      </c>
      <c r="C34" s="67" t="s">
        <v>191</v>
      </c>
      <c r="D34" s="63" t="s">
        <v>136</v>
      </c>
      <c r="E34" s="63">
        <v>87.9</v>
      </c>
      <c r="F34" s="63">
        <v>7.75</v>
      </c>
      <c r="G34" s="63">
        <f t="shared" si="4"/>
        <v>0</v>
      </c>
      <c r="H34" s="63"/>
      <c r="I34" s="73"/>
      <c r="J34" s="63">
        <v>2.96</v>
      </c>
      <c r="K34" s="63">
        <f t="shared" si="0"/>
        <v>0.6426</v>
      </c>
      <c r="L34" s="63">
        <f t="shared" si="1"/>
        <v>1.021734</v>
      </c>
      <c r="M34" s="63">
        <f t="shared" si="2"/>
        <v>12.374334</v>
      </c>
      <c r="N34" s="63">
        <f t="shared" si="3"/>
        <v>1087.7039586</v>
      </c>
      <c r="O34" s="63"/>
    </row>
    <row r="35" ht="40.5" spans="1:15">
      <c r="A35" s="62">
        <v>27</v>
      </c>
      <c r="B35" s="67" t="s">
        <v>192</v>
      </c>
      <c r="C35" s="67" t="s">
        <v>193</v>
      </c>
      <c r="D35" s="63" t="s">
        <v>80</v>
      </c>
      <c r="E35" s="63">
        <v>173</v>
      </c>
      <c r="F35" s="63">
        <v>7.27</v>
      </c>
      <c r="G35" s="63">
        <f t="shared" si="4"/>
        <v>1.938</v>
      </c>
      <c r="H35" s="63">
        <v>1.9</v>
      </c>
      <c r="I35" s="73">
        <v>0.02</v>
      </c>
      <c r="J35" s="63">
        <v>0.58</v>
      </c>
      <c r="K35" s="63">
        <f t="shared" si="0"/>
        <v>0.58728</v>
      </c>
      <c r="L35" s="63">
        <f t="shared" si="1"/>
        <v>0.9337752</v>
      </c>
      <c r="M35" s="63">
        <f t="shared" si="2"/>
        <v>11.3090552</v>
      </c>
      <c r="N35" s="63">
        <f t="shared" si="3"/>
        <v>1956.4665496</v>
      </c>
      <c r="O35" s="63"/>
    </row>
    <row r="36" ht="13.5" spans="1:15">
      <c r="A36" s="62"/>
      <c r="B36" s="68" t="s">
        <v>194</v>
      </c>
      <c r="C36" s="69"/>
      <c r="D36" s="63"/>
      <c r="E36" s="63"/>
      <c r="F36" s="63"/>
      <c r="G36" s="63"/>
      <c r="H36" s="63"/>
      <c r="I36" s="73"/>
      <c r="J36" s="63"/>
      <c r="K36" s="63"/>
      <c r="L36" s="63"/>
      <c r="M36" s="63"/>
      <c r="N36" s="66">
        <f>SUM(N37:N49)</f>
        <v>33270.3289807518</v>
      </c>
      <c r="O36" s="63"/>
    </row>
    <row r="37" ht="27" spans="1:15">
      <c r="A37" s="62">
        <v>28</v>
      </c>
      <c r="B37" s="67" t="s">
        <v>195</v>
      </c>
      <c r="C37" s="67" t="s">
        <v>196</v>
      </c>
      <c r="D37" s="63" t="s">
        <v>80</v>
      </c>
      <c r="E37" s="63">
        <v>1</v>
      </c>
      <c r="F37" s="63">
        <v>582.57</v>
      </c>
      <c r="G37" s="63">
        <f t="shared" ref="G37:G49" si="6">H37*(1+I37)</f>
        <v>2860</v>
      </c>
      <c r="H37" s="63">
        <v>2860</v>
      </c>
      <c r="I37" s="73"/>
      <c r="J37" s="63">
        <v>32.67</v>
      </c>
      <c r="K37" s="63">
        <f t="shared" ref="K37:K49" si="7">(F37+G37+J37)*$K$5</f>
        <v>208.5144</v>
      </c>
      <c r="L37" s="63">
        <f t="shared" ref="L37:L49" si="8">(F37+G37+J37+K37)*$L$5</f>
        <v>331.537896</v>
      </c>
      <c r="M37" s="63">
        <f t="shared" ref="M37:M49" si="9">F37+G37+J37+K37+L37</f>
        <v>4015.292296</v>
      </c>
      <c r="N37" s="63">
        <f t="shared" ref="N37:N49" si="10">M37*E37</f>
        <v>4015.292296</v>
      </c>
      <c r="O37" s="63"/>
    </row>
    <row r="38" ht="40.5" spans="1:15">
      <c r="A38" s="62">
        <v>29</v>
      </c>
      <c r="B38" s="70" t="s">
        <v>197</v>
      </c>
      <c r="C38" s="67" t="s">
        <v>198</v>
      </c>
      <c r="D38" s="63" t="s">
        <v>80</v>
      </c>
      <c r="E38" s="63">
        <v>2</v>
      </c>
      <c r="F38" s="63">
        <v>582.57</v>
      </c>
      <c r="G38" s="63">
        <f t="shared" si="6"/>
        <v>2000</v>
      </c>
      <c r="H38" s="63">
        <v>2000</v>
      </c>
      <c r="I38" s="73"/>
      <c r="J38" s="63">
        <v>32.67</v>
      </c>
      <c r="K38" s="63">
        <f t="shared" si="7"/>
        <v>156.9144</v>
      </c>
      <c r="L38" s="63">
        <f t="shared" si="8"/>
        <v>249.493896</v>
      </c>
      <c r="M38" s="63">
        <f t="shared" si="9"/>
        <v>3021.648296</v>
      </c>
      <c r="N38" s="63">
        <f t="shared" si="10"/>
        <v>6043.296592</v>
      </c>
      <c r="O38" s="63"/>
    </row>
    <row r="39" ht="40.5" spans="1:15">
      <c r="A39" s="62">
        <v>30</v>
      </c>
      <c r="B39" s="70" t="s">
        <v>167</v>
      </c>
      <c r="C39" s="67" t="s">
        <v>199</v>
      </c>
      <c r="D39" s="63" t="s">
        <v>80</v>
      </c>
      <c r="E39" s="63">
        <v>19</v>
      </c>
      <c r="F39" s="63">
        <v>18</v>
      </c>
      <c r="G39" s="63">
        <f t="shared" si="6"/>
        <v>55.55</v>
      </c>
      <c r="H39" s="63">
        <v>55</v>
      </c>
      <c r="I39" s="73">
        <v>0.01</v>
      </c>
      <c r="J39" s="63">
        <v>14.43</v>
      </c>
      <c r="K39" s="63">
        <f t="shared" si="7"/>
        <v>5.2788</v>
      </c>
      <c r="L39" s="63">
        <f t="shared" si="8"/>
        <v>8.393292</v>
      </c>
      <c r="M39" s="63">
        <f t="shared" si="9"/>
        <v>101.652092</v>
      </c>
      <c r="N39" s="63">
        <f t="shared" si="10"/>
        <v>1931.389748</v>
      </c>
      <c r="O39" s="63"/>
    </row>
    <row r="40" ht="54" spans="1:15">
      <c r="A40" s="62">
        <v>31</v>
      </c>
      <c r="B40" s="70" t="s">
        <v>167</v>
      </c>
      <c r="C40" s="67" t="s">
        <v>200</v>
      </c>
      <c r="D40" s="63" t="s">
        <v>80</v>
      </c>
      <c r="E40" s="63">
        <v>30</v>
      </c>
      <c r="F40" s="63">
        <v>18</v>
      </c>
      <c r="G40" s="63">
        <f t="shared" si="6"/>
        <v>55.55</v>
      </c>
      <c r="H40" s="63">
        <v>55</v>
      </c>
      <c r="I40" s="73">
        <v>0.01</v>
      </c>
      <c r="J40" s="63">
        <v>14.43</v>
      </c>
      <c r="K40" s="63">
        <f t="shared" si="7"/>
        <v>5.2788</v>
      </c>
      <c r="L40" s="63">
        <f t="shared" si="8"/>
        <v>8.393292</v>
      </c>
      <c r="M40" s="63">
        <f t="shared" si="9"/>
        <v>101.652092</v>
      </c>
      <c r="N40" s="63">
        <f t="shared" si="10"/>
        <v>3049.56276</v>
      </c>
      <c r="O40" s="63"/>
    </row>
    <row r="41" ht="54" spans="1:15">
      <c r="A41" s="62">
        <v>32</v>
      </c>
      <c r="B41" s="70" t="s">
        <v>167</v>
      </c>
      <c r="C41" s="67" t="s">
        <v>201</v>
      </c>
      <c r="D41" s="63" t="s">
        <v>80</v>
      </c>
      <c r="E41" s="63">
        <v>1</v>
      </c>
      <c r="F41" s="63">
        <v>21.57</v>
      </c>
      <c r="G41" s="63">
        <f t="shared" si="6"/>
        <v>60.6</v>
      </c>
      <c r="H41" s="63">
        <v>60</v>
      </c>
      <c r="I41" s="73">
        <v>0.01</v>
      </c>
      <c r="J41" s="63">
        <v>18.43</v>
      </c>
      <c r="K41" s="63">
        <f t="shared" si="7"/>
        <v>6.036</v>
      </c>
      <c r="L41" s="63">
        <f t="shared" si="8"/>
        <v>9.59724</v>
      </c>
      <c r="M41" s="63">
        <f t="shared" si="9"/>
        <v>116.23324</v>
      </c>
      <c r="N41" s="63">
        <f t="shared" si="10"/>
        <v>116.23324</v>
      </c>
      <c r="O41" s="63"/>
    </row>
    <row r="42" ht="40.5" spans="1:15">
      <c r="A42" s="62">
        <v>33</v>
      </c>
      <c r="B42" s="70" t="s">
        <v>167</v>
      </c>
      <c r="C42" s="67" t="s">
        <v>202</v>
      </c>
      <c r="D42" s="63" t="s">
        <v>80</v>
      </c>
      <c r="E42" s="63">
        <v>3</v>
      </c>
      <c r="F42" s="63">
        <v>18</v>
      </c>
      <c r="G42" s="63">
        <f t="shared" si="6"/>
        <v>57.57</v>
      </c>
      <c r="H42" s="63">
        <v>57</v>
      </c>
      <c r="I42" s="73">
        <v>0.01</v>
      </c>
      <c r="J42" s="63">
        <v>14.43</v>
      </c>
      <c r="K42" s="63">
        <f t="shared" si="7"/>
        <v>5.4</v>
      </c>
      <c r="L42" s="63">
        <f t="shared" si="8"/>
        <v>8.586</v>
      </c>
      <c r="M42" s="63">
        <f t="shared" si="9"/>
        <v>103.986</v>
      </c>
      <c r="N42" s="63">
        <f t="shared" si="10"/>
        <v>311.958</v>
      </c>
      <c r="O42" s="63"/>
    </row>
    <row r="43" ht="40.5" spans="1:15">
      <c r="A43" s="62">
        <v>34</v>
      </c>
      <c r="B43" s="70" t="s">
        <v>167</v>
      </c>
      <c r="C43" s="67" t="s">
        <v>203</v>
      </c>
      <c r="D43" s="63" t="s">
        <v>80</v>
      </c>
      <c r="E43" s="63">
        <v>32</v>
      </c>
      <c r="F43" s="63">
        <v>18</v>
      </c>
      <c r="G43" s="63">
        <f t="shared" si="6"/>
        <v>57.57</v>
      </c>
      <c r="H43" s="63">
        <v>57</v>
      </c>
      <c r="I43" s="73">
        <v>0.01</v>
      </c>
      <c r="J43" s="63">
        <v>14.43</v>
      </c>
      <c r="K43" s="63">
        <f t="shared" si="7"/>
        <v>5.4</v>
      </c>
      <c r="L43" s="63">
        <f t="shared" si="8"/>
        <v>8.586</v>
      </c>
      <c r="M43" s="63">
        <f t="shared" si="9"/>
        <v>103.986</v>
      </c>
      <c r="N43" s="63">
        <f t="shared" si="10"/>
        <v>3327.552</v>
      </c>
      <c r="O43" s="63"/>
    </row>
    <row r="44" ht="54" spans="1:15">
      <c r="A44" s="62">
        <v>35</v>
      </c>
      <c r="B44" s="70" t="s">
        <v>167</v>
      </c>
      <c r="C44" s="67" t="s">
        <v>204</v>
      </c>
      <c r="D44" s="63" t="s">
        <v>80</v>
      </c>
      <c r="E44" s="63">
        <v>1</v>
      </c>
      <c r="F44" s="63">
        <v>18</v>
      </c>
      <c r="G44" s="63">
        <f t="shared" si="6"/>
        <v>57.57</v>
      </c>
      <c r="H44" s="63">
        <v>57</v>
      </c>
      <c r="I44" s="73">
        <v>0.01</v>
      </c>
      <c r="J44" s="63">
        <v>18.43</v>
      </c>
      <c r="K44" s="63">
        <f t="shared" si="7"/>
        <v>5.64</v>
      </c>
      <c r="L44" s="63">
        <f t="shared" si="8"/>
        <v>8.9676</v>
      </c>
      <c r="M44" s="63">
        <f t="shared" si="9"/>
        <v>108.6076</v>
      </c>
      <c r="N44" s="63">
        <f t="shared" si="10"/>
        <v>108.6076</v>
      </c>
      <c r="O44" s="63"/>
    </row>
    <row r="45" ht="54" spans="1:15">
      <c r="A45" s="62">
        <v>36</v>
      </c>
      <c r="B45" s="70" t="s">
        <v>167</v>
      </c>
      <c r="C45" s="67" t="s">
        <v>205</v>
      </c>
      <c r="D45" s="63" t="s">
        <v>80</v>
      </c>
      <c r="E45" s="63">
        <v>1</v>
      </c>
      <c r="F45" s="63">
        <v>18</v>
      </c>
      <c r="G45" s="63">
        <f t="shared" si="6"/>
        <v>57.57</v>
      </c>
      <c r="H45" s="63">
        <v>57</v>
      </c>
      <c r="I45" s="73">
        <v>0.01</v>
      </c>
      <c r="J45" s="63">
        <v>14.43</v>
      </c>
      <c r="K45" s="63">
        <f t="shared" si="7"/>
        <v>5.4</v>
      </c>
      <c r="L45" s="63">
        <f t="shared" si="8"/>
        <v>8.586</v>
      </c>
      <c r="M45" s="63">
        <f t="shared" si="9"/>
        <v>103.986</v>
      </c>
      <c r="N45" s="63">
        <f t="shared" si="10"/>
        <v>103.986</v>
      </c>
      <c r="O45" s="63"/>
    </row>
    <row r="46" ht="67.5" spans="1:15">
      <c r="A46" s="62">
        <v>37</v>
      </c>
      <c r="B46" s="67" t="s">
        <v>162</v>
      </c>
      <c r="C46" s="67" t="s">
        <v>166</v>
      </c>
      <c r="D46" s="63" t="s">
        <v>136</v>
      </c>
      <c r="E46" s="63">
        <v>647.655</v>
      </c>
      <c r="F46" s="63">
        <v>2.02</v>
      </c>
      <c r="G46" s="63">
        <f t="shared" si="6"/>
        <v>11.3724</v>
      </c>
      <c r="H46" s="63">
        <v>10.53</v>
      </c>
      <c r="I46" s="73">
        <v>0.08</v>
      </c>
      <c r="J46" s="63">
        <v>0.68</v>
      </c>
      <c r="K46" s="63">
        <f t="shared" si="7"/>
        <v>0.844344</v>
      </c>
      <c r="L46" s="63">
        <f t="shared" si="8"/>
        <v>1.34250696</v>
      </c>
      <c r="M46" s="63">
        <f t="shared" si="9"/>
        <v>16.25925096</v>
      </c>
      <c r="N46" s="63">
        <f t="shared" si="10"/>
        <v>10530.3851804988</v>
      </c>
      <c r="O46" s="76"/>
    </row>
    <row r="47" ht="81" spans="1:15">
      <c r="A47" s="62">
        <v>38</v>
      </c>
      <c r="B47" s="67" t="s">
        <v>162</v>
      </c>
      <c r="C47" s="67" t="s">
        <v>206</v>
      </c>
      <c r="D47" s="63" t="s">
        <v>136</v>
      </c>
      <c r="E47" s="63">
        <v>300.92</v>
      </c>
      <c r="F47" s="63">
        <v>1.9</v>
      </c>
      <c r="G47" s="63">
        <f t="shared" si="6"/>
        <v>4.374</v>
      </c>
      <c r="H47" s="63">
        <v>4.05</v>
      </c>
      <c r="I47" s="73">
        <v>0.08</v>
      </c>
      <c r="J47" s="63">
        <v>0.65</v>
      </c>
      <c r="K47" s="63">
        <f t="shared" si="7"/>
        <v>0.41544</v>
      </c>
      <c r="L47" s="63">
        <f t="shared" si="8"/>
        <v>0.6605496</v>
      </c>
      <c r="M47" s="63">
        <f t="shared" si="9"/>
        <v>7.9999896</v>
      </c>
      <c r="N47" s="63">
        <f t="shared" si="10"/>
        <v>2407.356870432</v>
      </c>
      <c r="O47" s="76"/>
    </row>
    <row r="48" ht="40.5" spans="1:15">
      <c r="A48" s="62">
        <v>39</v>
      </c>
      <c r="B48" s="67" t="s">
        <v>158</v>
      </c>
      <c r="C48" s="67" t="s">
        <v>207</v>
      </c>
      <c r="D48" s="63" t="s">
        <v>136</v>
      </c>
      <c r="E48" s="63">
        <v>25.95</v>
      </c>
      <c r="F48" s="63">
        <v>14.05</v>
      </c>
      <c r="G48" s="63">
        <f t="shared" si="6"/>
        <v>22.4643</v>
      </c>
      <c r="H48" s="63">
        <v>21.81</v>
      </c>
      <c r="I48" s="73">
        <v>0.03</v>
      </c>
      <c r="J48" s="63">
        <v>4.46</v>
      </c>
      <c r="K48" s="63">
        <f t="shared" si="7"/>
        <v>2.458458</v>
      </c>
      <c r="L48" s="63">
        <f t="shared" si="8"/>
        <v>3.90894822</v>
      </c>
      <c r="M48" s="63">
        <f t="shared" si="9"/>
        <v>47.34170622</v>
      </c>
      <c r="N48" s="63">
        <f t="shared" si="10"/>
        <v>1228.517276409</v>
      </c>
      <c r="O48" s="63"/>
    </row>
    <row r="49" ht="81" spans="1:15">
      <c r="A49" s="62">
        <v>40</v>
      </c>
      <c r="B49" s="67" t="s">
        <v>162</v>
      </c>
      <c r="C49" s="67" t="s">
        <v>208</v>
      </c>
      <c r="D49" s="63" t="s">
        <v>136</v>
      </c>
      <c r="E49" s="63">
        <v>13.05</v>
      </c>
      <c r="F49" s="63">
        <v>2.02</v>
      </c>
      <c r="G49" s="63">
        <f t="shared" si="6"/>
        <v>3.2596</v>
      </c>
      <c r="H49" s="63">
        <v>2.81</v>
      </c>
      <c r="I49" s="73">
        <v>0.16</v>
      </c>
      <c r="J49" s="63">
        <v>1.1</v>
      </c>
      <c r="K49" s="63">
        <f t="shared" si="7"/>
        <v>0.382776</v>
      </c>
      <c r="L49" s="63">
        <f t="shared" si="8"/>
        <v>0.60861384</v>
      </c>
      <c r="M49" s="63">
        <f t="shared" si="9"/>
        <v>7.37098984</v>
      </c>
      <c r="N49" s="63">
        <f t="shared" si="10"/>
        <v>96.191417412</v>
      </c>
      <c r="O49" s="76"/>
    </row>
    <row r="50" ht="13.5" spans="1:15">
      <c r="A50" s="62"/>
      <c r="B50" s="65" t="s">
        <v>209</v>
      </c>
      <c r="C50" s="67"/>
      <c r="D50" s="63"/>
      <c r="E50" s="63"/>
      <c r="F50" s="63"/>
      <c r="G50" s="63"/>
      <c r="H50" s="63"/>
      <c r="I50" s="73"/>
      <c r="J50" s="63"/>
      <c r="K50" s="63"/>
      <c r="L50" s="63"/>
      <c r="M50" s="63"/>
      <c r="N50" s="66">
        <f>N51+N67</f>
        <v>26833.6685038856</v>
      </c>
      <c r="O50" s="63"/>
    </row>
    <row r="51" ht="13.5" spans="1:15">
      <c r="A51" s="62"/>
      <c r="B51" s="68" t="s">
        <v>210</v>
      </c>
      <c r="C51" s="69"/>
      <c r="D51" s="63"/>
      <c r="E51" s="63"/>
      <c r="F51" s="63"/>
      <c r="G51" s="63"/>
      <c r="H51" s="63"/>
      <c r="I51" s="73"/>
      <c r="J51" s="63"/>
      <c r="K51" s="63"/>
      <c r="L51" s="63"/>
      <c r="M51" s="63"/>
      <c r="N51" s="66">
        <f>SUM(N52:N66)</f>
        <v>18272.6608941549</v>
      </c>
      <c r="O51" s="63"/>
    </row>
    <row r="52" ht="67.5" spans="1:15">
      <c r="A52" s="62">
        <v>41</v>
      </c>
      <c r="B52" s="67" t="s">
        <v>158</v>
      </c>
      <c r="C52" s="67" t="s">
        <v>159</v>
      </c>
      <c r="D52" s="63" t="s">
        <v>136</v>
      </c>
      <c r="E52" s="63">
        <v>135.708369565217</v>
      </c>
      <c r="F52" s="63">
        <v>9.8</v>
      </c>
      <c r="G52" s="63">
        <f t="shared" ref="G52:G66" si="11">H52*(1+I52)</f>
        <v>4.6453</v>
      </c>
      <c r="H52" s="63">
        <v>4.51</v>
      </c>
      <c r="I52" s="73">
        <v>0.03</v>
      </c>
      <c r="J52" s="63">
        <v>2.63</v>
      </c>
      <c r="K52" s="63">
        <f t="shared" ref="K52:K66" si="12">(F52+G52+J52)*$K$5</f>
        <v>1.024518</v>
      </c>
      <c r="L52" s="63">
        <f t="shared" ref="L52:L66" si="13">(F52+G52+J52+K52)*$L$5</f>
        <v>1.62898362</v>
      </c>
      <c r="M52" s="63">
        <f t="shared" ref="M52:M66" si="14">F52+G52+J52+K52+L52</f>
        <v>19.72880162</v>
      </c>
      <c r="N52" s="63">
        <f t="shared" ref="N52:N66" si="15">M52*E52</f>
        <v>2677.36350132581</v>
      </c>
      <c r="O52" s="63"/>
    </row>
    <row r="53" ht="67.5" spans="1:15">
      <c r="A53" s="62">
        <v>42</v>
      </c>
      <c r="B53" s="67" t="s">
        <v>158</v>
      </c>
      <c r="C53" s="67" t="s">
        <v>160</v>
      </c>
      <c r="D53" s="63" t="s">
        <v>136</v>
      </c>
      <c r="E53" s="63">
        <v>3.98478260869565</v>
      </c>
      <c r="F53" s="63">
        <v>5.13</v>
      </c>
      <c r="G53" s="63">
        <f t="shared" si="11"/>
        <v>4.6453</v>
      </c>
      <c r="H53" s="63">
        <v>4.51</v>
      </c>
      <c r="I53" s="73">
        <v>0.03</v>
      </c>
      <c r="J53" s="63">
        <v>1.91</v>
      </c>
      <c r="K53" s="63">
        <f t="shared" si="12"/>
        <v>0.701118</v>
      </c>
      <c r="L53" s="63">
        <f t="shared" si="13"/>
        <v>1.11477762</v>
      </c>
      <c r="M53" s="63">
        <f t="shared" si="14"/>
        <v>13.50119562</v>
      </c>
      <c r="N53" s="63">
        <f t="shared" si="15"/>
        <v>53.7993295031739</v>
      </c>
      <c r="O53" s="63"/>
    </row>
    <row r="54" ht="67.5" spans="1:15">
      <c r="A54" s="62">
        <v>43</v>
      </c>
      <c r="B54" s="67" t="s">
        <v>158</v>
      </c>
      <c r="C54" s="67" t="s">
        <v>161</v>
      </c>
      <c r="D54" s="63" t="s">
        <v>136</v>
      </c>
      <c r="E54" s="63">
        <v>31.0588043478261</v>
      </c>
      <c r="F54" s="63">
        <v>11.98</v>
      </c>
      <c r="G54" s="63">
        <f t="shared" si="11"/>
        <v>7.8692</v>
      </c>
      <c r="H54" s="63">
        <v>7.64</v>
      </c>
      <c r="I54" s="73">
        <v>0.03</v>
      </c>
      <c r="J54" s="63">
        <v>3.48</v>
      </c>
      <c r="K54" s="63">
        <f t="shared" si="12"/>
        <v>1.399752</v>
      </c>
      <c r="L54" s="63">
        <f t="shared" si="13"/>
        <v>2.22560568</v>
      </c>
      <c r="M54" s="63">
        <f t="shared" si="14"/>
        <v>26.95455768</v>
      </c>
      <c r="N54" s="63">
        <f t="shared" si="15"/>
        <v>837.176333265313</v>
      </c>
      <c r="O54" s="63"/>
    </row>
    <row r="55" ht="67.5" spans="1:15">
      <c r="A55" s="62">
        <v>44</v>
      </c>
      <c r="B55" s="67" t="s">
        <v>162</v>
      </c>
      <c r="C55" s="67" t="s">
        <v>163</v>
      </c>
      <c r="D55" s="63" t="s">
        <v>136</v>
      </c>
      <c r="E55" s="63">
        <v>628.007173913044</v>
      </c>
      <c r="F55" s="63">
        <v>2.02</v>
      </c>
      <c r="G55" s="63">
        <f t="shared" si="11"/>
        <v>3.2596</v>
      </c>
      <c r="H55" s="63">
        <v>2.81</v>
      </c>
      <c r="I55" s="73">
        <v>0.16</v>
      </c>
      <c r="J55" s="63">
        <v>1.1</v>
      </c>
      <c r="K55" s="63">
        <f t="shared" si="12"/>
        <v>0.382776</v>
      </c>
      <c r="L55" s="63">
        <f t="shared" si="13"/>
        <v>0.60861384</v>
      </c>
      <c r="M55" s="63">
        <f t="shared" si="14"/>
        <v>7.37098984</v>
      </c>
      <c r="N55" s="63">
        <f t="shared" si="15"/>
        <v>4629.03449836016</v>
      </c>
      <c r="O55" s="76"/>
    </row>
    <row r="56" ht="67.5" spans="1:15">
      <c r="A56" s="62">
        <v>45</v>
      </c>
      <c r="B56" s="67" t="s">
        <v>162</v>
      </c>
      <c r="C56" s="67" t="s">
        <v>166</v>
      </c>
      <c r="D56" s="63" t="s">
        <v>136</v>
      </c>
      <c r="E56" s="63">
        <v>38.9930434782609</v>
      </c>
      <c r="F56" s="63">
        <v>2.02</v>
      </c>
      <c r="G56" s="63">
        <f t="shared" si="11"/>
        <v>11.3724</v>
      </c>
      <c r="H56" s="63">
        <v>10.53</v>
      </c>
      <c r="I56" s="73">
        <v>0.08</v>
      </c>
      <c r="J56" s="63">
        <v>0.68</v>
      </c>
      <c r="K56" s="63">
        <f t="shared" si="12"/>
        <v>0.844344</v>
      </c>
      <c r="L56" s="63">
        <f t="shared" si="13"/>
        <v>1.34250696</v>
      </c>
      <c r="M56" s="63">
        <f t="shared" si="14"/>
        <v>16.25925096</v>
      </c>
      <c r="N56" s="63">
        <f t="shared" si="15"/>
        <v>633.997679607235</v>
      </c>
      <c r="O56" s="76"/>
    </row>
    <row r="57" ht="81" spans="1:15">
      <c r="A57" s="62">
        <v>46</v>
      </c>
      <c r="B57" s="67" t="s">
        <v>167</v>
      </c>
      <c r="C57" s="67" t="s">
        <v>170</v>
      </c>
      <c r="D57" s="63" t="s">
        <v>169</v>
      </c>
      <c r="E57" s="63">
        <v>6</v>
      </c>
      <c r="F57" s="63">
        <v>7.36</v>
      </c>
      <c r="G57" s="63">
        <f t="shared" si="11"/>
        <v>58.58</v>
      </c>
      <c r="H57" s="63">
        <v>58</v>
      </c>
      <c r="I57" s="73">
        <v>0.01</v>
      </c>
      <c r="J57" s="63">
        <v>13.95</v>
      </c>
      <c r="K57" s="63">
        <f t="shared" si="12"/>
        <v>4.7934</v>
      </c>
      <c r="L57" s="63">
        <f t="shared" si="13"/>
        <v>7.621506</v>
      </c>
      <c r="M57" s="63">
        <f t="shared" si="14"/>
        <v>92.304906</v>
      </c>
      <c r="N57" s="63">
        <f t="shared" si="15"/>
        <v>553.829436</v>
      </c>
      <c r="O57" s="76"/>
    </row>
    <row r="58" ht="67.5" spans="1:15">
      <c r="A58" s="62">
        <v>47</v>
      </c>
      <c r="B58" s="67" t="s">
        <v>171</v>
      </c>
      <c r="C58" s="67" t="s">
        <v>172</v>
      </c>
      <c r="D58" s="63" t="s">
        <v>136</v>
      </c>
      <c r="E58" s="63">
        <v>5.75217391304348</v>
      </c>
      <c r="F58" s="63">
        <v>7.36</v>
      </c>
      <c r="G58" s="63">
        <f t="shared" si="11"/>
        <v>36.2893</v>
      </c>
      <c r="H58" s="63">
        <v>35.93</v>
      </c>
      <c r="I58" s="73">
        <v>0.01</v>
      </c>
      <c r="J58" s="63">
        <v>20.62</v>
      </c>
      <c r="K58" s="63">
        <f t="shared" si="12"/>
        <v>3.856158</v>
      </c>
      <c r="L58" s="63">
        <f t="shared" si="13"/>
        <v>6.13129122</v>
      </c>
      <c r="M58" s="63">
        <f t="shared" si="14"/>
        <v>74.25674922</v>
      </c>
      <c r="N58" s="63">
        <f t="shared" si="15"/>
        <v>427.137735730696</v>
      </c>
      <c r="O58" s="63"/>
    </row>
    <row r="59" ht="67.5" spans="1:15">
      <c r="A59" s="62">
        <v>48</v>
      </c>
      <c r="B59" s="67" t="s">
        <v>167</v>
      </c>
      <c r="C59" s="67" t="s">
        <v>174</v>
      </c>
      <c r="D59" s="63" t="s">
        <v>169</v>
      </c>
      <c r="E59" s="63">
        <v>7</v>
      </c>
      <c r="F59" s="63">
        <v>15.37</v>
      </c>
      <c r="G59" s="63">
        <f t="shared" si="11"/>
        <v>55.55</v>
      </c>
      <c r="H59" s="63">
        <v>55</v>
      </c>
      <c r="I59" s="73">
        <v>0.01</v>
      </c>
      <c r="J59" s="63">
        <v>13.95</v>
      </c>
      <c r="K59" s="63">
        <f t="shared" si="12"/>
        <v>5.0922</v>
      </c>
      <c r="L59" s="63">
        <f t="shared" si="13"/>
        <v>8.096598</v>
      </c>
      <c r="M59" s="63">
        <f t="shared" si="14"/>
        <v>98.058798</v>
      </c>
      <c r="N59" s="63">
        <f t="shared" si="15"/>
        <v>686.411586</v>
      </c>
      <c r="O59" s="76"/>
    </row>
    <row r="60" ht="81" spans="1:15">
      <c r="A60" s="62">
        <v>49</v>
      </c>
      <c r="B60" s="67" t="s">
        <v>167</v>
      </c>
      <c r="C60" s="67" t="s">
        <v>175</v>
      </c>
      <c r="D60" s="63" t="s">
        <v>169</v>
      </c>
      <c r="E60" s="63">
        <v>22</v>
      </c>
      <c r="F60" s="63">
        <v>9.55</v>
      </c>
      <c r="G60" s="63">
        <f t="shared" si="11"/>
        <v>58.58</v>
      </c>
      <c r="H60" s="63">
        <v>58</v>
      </c>
      <c r="I60" s="73">
        <v>0.01</v>
      </c>
      <c r="J60" s="63">
        <v>13.95</v>
      </c>
      <c r="K60" s="63">
        <f t="shared" si="12"/>
        <v>4.9248</v>
      </c>
      <c r="L60" s="63">
        <f t="shared" si="13"/>
        <v>7.830432</v>
      </c>
      <c r="M60" s="63">
        <f t="shared" si="14"/>
        <v>94.835232</v>
      </c>
      <c r="N60" s="63">
        <f t="shared" si="15"/>
        <v>2086.375104</v>
      </c>
      <c r="O60" s="76"/>
    </row>
    <row r="61" ht="67.5" spans="1:15">
      <c r="A61" s="62">
        <v>50</v>
      </c>
      <c r="B61" s="67" t="s">
        <v>167</v>
      </c>
      <c r="C61" s="67" t="s">
        <v>178</v>
      </c>
      <c r="D61" s="63" t="s">
        <v>136</v>
      </c>
      <c r="E61" s="63">
        <v>89.9894565217391</v>
      </c>
      <c r="F61" s="63">
        <v>15.23</v>
      </c>
      <c r="G61" s="63">
        <f t="shared" si="11"/>
        <v>12.75</v>
      </c>
      <c r="H61" s="63">
        <v>12.5</v>
      </c>
      <c r="I61" s="73">
        <v>0.02</v>
      </c>
      <c r="J61" s="63">
        <v>11.78</v>
      </c>
      <c r="K61" s="63">
        <f t="shared" si="12"/>
        <v>2.3856</v>
      </c>
      <c r="L61" s="63">
        <f t="shared" si="13"/>
        <v>3.793104</v>
      </c>
      <c r="M61" s="63">
        <f t="shared" si="14"/>
        <v>45.938704</v>
      </c>
      <c r="N61" s="63">
        <f t="shared" si="15"/>
        <v>4133.99900627304</v>
      </c>
      <c r="O61" s="63"/>
    </row>
    <row r="62" ht="81" spans="1:15">
      <c r="A62" s="62">
        <v>51</v>
      </c>
      <c r="B62" s="67" t="s">
        <v>167</v>
      </c>
      <c r="C62" s="67" t="s">
        <v>179</v>
      </c>
      <c r="D62" s="63" t="s">
        <v>136</v>
      </c>
      <c r="E62" s="63">
        <v>10.6858695652174</v>
      </c>
      <c r="F62" s="63">
        <v>24.03</v>
      </c>
      <c r="G62" s="63">
        <f t="shared" si="11"/>
        <v>26.2238</v>
      </c>
      <c r="H62" s="63">
        <v>25.46</v>
      </c>
      <c r="I62" s="73">
        <v>0.03</v>
      </c>
      <c r="J62" s="63">
        <v>18.95</v>
      </c>
      <c r="K62" s="63">
        <f t="shared" si="12"/>
        <v>4.152228</v>
      </c>
      <c r="L62" s="63">
        <f t="shared" si="13"/>
        <v>6.60204252</v>
      </c>
      <c r="M62" s="63">
        <f t="shared" si="14"/>
        <v>79.95807052</v>
      </c>
      <c r="N62" s="63">
        <f t="shared" si="15"/>
        <v>854.421512263175</v>
      </c>
      <c r="O62" s="63"/>
    </row>
    <row r="63" ht="67.5" spans="1:15">
      <c r="A63" s="62">
        <v>52</v>
      </c>
      <c r="B63" s="67" t="s">
        <v>167</v>
      </c>
      <c r="C63" s="67" t="s">
        <v>211</v>
      </c>
      <c r="D63" s="63" t="s">
        <v>136</v>
      </c>
      <c r="E63" s="63">
        <v>0.302608695652174</v>
      </c>
      <c r="F63" s="63">
        <v>15.23</v>
      </c>
      <c r="G63" s="63">
        <f t="shared" si="11"/>
        <v>16.171</v>
      </c>
      <c r="H63" s="63">
        <v>15.7</v>
      </c>
      <c r="I63" s="73">
        <v>0.03</v>
      </c>
      <c r="J63" s="63">
        <v>11.78</v>
      </c>
      <c r="K63" s="63">
        <f t="shared" si="12"/>
        <v>2.59086</v>
      </c>
      <c r="L63" s="63">
        <f t="shared" si="13"/>
        <v>4.1194674</v>
      </c>
      <c r="M63" s="63">
        <f t="shared" si="14"/>
        <v>49.8913274</v>
      </c>
      <c r="N63" s="63">
        <f t="shared" si="15"/>
        <v>15.0975495088696</v>
      </c>
      <c r="O63" s="63"/>
    </row>
    <row r="64" ht="40.5" spans="1:15">
      <c r="A64" s="62">
        <v>53</v>
      </c>
      <c r="B64" s="67" t="s">
        <v>180</v>
      </c>
      <c r="C64" s="67" t="s">
        <v>184</v>
      </c>
      <c r="D64" s="63" t="s">
        <v>80</v>
      </c>
      <c r="E64" s="63">
        <v>1</v>
      </c>
      <c r="F64" s="63">
        <v>6.725</v>
      </c>
      <c r="G64" s="63">
        <f t="shared" si="11"/>
        <v>32.64</v>
      </c>
      <c r="H64" s="63">
        <v>32</v>
      </c>
      <c r="I64" s="73">
        <v>0.02</v>
      </c>
      <c r="J64" s="63">
        <v>1</v>
      </c>
      <c r="K64" s="63">
        <f t="shared" si="12"/>
        <v>2.4219</v>
      </c>
      <c r="L64" s="63">
        <f t="shared" si="13"/>
        <v>3.850821</v>
      </c>
      <c r="M64" s="63">
        <f t="shared" si="14"/>
        <v>46.637721</v>
      </c>
      <c r="N64" s="63">
        <f t="shared" si="15"/>
        <v>46.637721</v>
      </c>
      <c r="O64" s="63"/>
    </row>
    <row r="65" ht="40.5" spans="1:15">
      <c r="A65" s="62">
        <v>54</v>
      </c>
      <c r="B65" s="67" t="s">
        <v>192</v>
      </c>
      <c r="C65" s="67" t="s">
        <v>193</v>
      </c>
      <c r="D65" s="63" t="s">
        <v>80</v>
      </c>
      <c r="E65" s="63">
        <v>52</v>
      </c>
      <c r="F65" s="63">
        <v>7.27</v>
      </c>
      <c r="G65" s="63">
        <f t="shared" si="11"/>
        <v>1.938</v>
      </c>
      <c r="H65" s="63">
        <v>1.9</v>
      </c>
      <c r="I65" s="73">
        <v>0.02</v>
      </c>
      <c r="J65" s="63">
        <v>0.58</v>
      </c>
      <c r="K65" s="63">
        <f t="shared" si="12"/>
        <v>0.58728</v>
      </c>
      <c r="L65" s="63">
        <f t="shared" si="13"/>
        <v>0.9337752</v>
      </c>
      <c r="M65" s="63">
        <f t="shared" si="14"/>
        <v>11.3090552</v>
      </c>
      <c r="N65" s="63">
        <f t="shared" si="15"/>
        <v>588.0708704</v>
      </c>
      <c r="O65" s="63"/>
    </row>
    <row r="66" ht="13.5" spans="1:15">
      <c r="A66" s="62">
        <v>55</v>
      </c>
      <c r="B66" s="67" t="s">
        <v>190</v>
      </c>
      <c r="C66" s="67" t="s">
        <v>191</v>
      </c>
      <c r="D66" s="63" t="s">
        <v>136</v>
      </c>
      <c r="E66" s="63">
        <v>3.98478260869565</v>
      </c>
      <c r="F66" s="63">
        <v>7.75</v>
      </c>
      <c r="G66" s="63">
        <f t="shared" si="11"/>
        <v>0</v>
      </c>
      <c r="H66" s="63"/>
      <c r="I66" s="73"/>
      <c r="J66" s="63">
        <v>2.96</v>
      </c>
      <c r="K66" s="63">
        <f t="shared" si="12"/>
        <v>0.6426</v>
      </c>
      <c r="L66" s="63">
        <f t="shared" si="13"/>
        <v>1.021734</v>
      </c>
      <c r="M66" s="63">
        <f t="shared" si="14"/>
        <v>12.374334</v>
      </c>
      <c r="N66" s="63">
        <f t="shared" si="15"/>
        <v>49.3090309173913</v>
      </c>
      <c r="O66" s="63"/>
    </row>
    <row r="67" ht="13.5" spans="1:15">
      <c r="A67" s="62"/>
      <c r="B67" s="68" t="s">
        <v>212</v>
      </c>
      <c r="C67" s="69"/>
      <c r="D67" s="63"/>
      <c r="E67" s="63"/>
      <c r="F67" s="63"/>
      <c r="G67" s="63"/>
      <c r="H67" s="63"/>
      <c r="I67" s="73"/>
      <c r="J67" s="63"/>
      <c r="K67" s="63"/>
      <c r="L67" s="63"/>
      <c r="M67" s="63"/>
      <c r="N67" s="66">
        <f>SUM(N68:N80)</f>
        <v>8561.00760973072</v>
      </c>
      <c r="O67" s="63"/>
    </row>
    <row r="68" ht="40.5" spans="1:15">
      <c r="A68" s="62">
        <v>56</v>
      </c>
      <c r="B68" s="70" t="s">
        <v>197</v>
      </c>
      <c r="C68" s="67" t="s">
        <v>198</v>
      </c>
      <c r="D68" s="63" t="s">
        <v>80</v>
      </c>
      <c r="E68" s="63">
        <v>1</v>
      </c>
      <c r="F68" s="63">
        <v>582.57</v>
      </c>
      <c r="G68" s="63">
        <f t="shared" ref="G68:G80" si="16">H68*(1+I68)</f>
        <v>2000</v>
      </c>
      <c r="H68" s="63">
        <v>2000</v>
      </c>
      <c r="I68" s="73"/>
      <c r="J68" s="63">
        <v>32.67</v>
      </c>
      <c r="K68" s="63">
        <f t="shared" ref="K68:K80" si="17">(F68+G68+J68)*$K$5</f>
        <v>156.9144</v>
      </c>
      <c r="L68" s="63">
        <f t="shared" ref="L68:L80" si="18">(F68+G68+J68+K68)*$L$5</f>
        <v>249.493896</v>
      </c>
      <c r="M68" s="63">
        <f t="shared" ref="M68:M80" si="19">F68+G68+J68+K68+L68</f>
        <v>3021.648296</v>
      </c>
      <c r="N68" s="63">
        <f t="shared" ref="N68:N80" si="20">M68*E68</f>
        <v>3021.648296</v>
      </c>
      <c r="O68" s="63"/>
    </row>
    <row r="69" ht="40.5" spans="1:15">
      <c r="A69" s="62">
        <v>57</v>
      </c>
      <c r="B69" s="70" t="s">
        <v>167</v>
      </c>
      <c r="C69" s="67" t="s">
        <v>213</v>
      </c>
      <c r="D69" s="63" t="s">
        <v>80</v>
      </c>
      <c r="E69" s="63">
        <v>1</v>
      </c>
      <c r="F69" s="63">
        <v>18</v>
      </c>
      <c r="G69" s="63">
        <f t="shared" si="16"/>
        <v>55.55</v>
      </c>
      <c r="H69" s="63">
        <v>55</v>
      </c>
      <c r="I69" s="73">
        <v>0.01</v>
      </c>
      <c r="J69" s="63">
        <v>14.43</v>
      </c>
      <c r="K69" s="63">
        <f t="shared" si="17"/>
        <v>5.2788</v>
      </c>
      <c r="L69" s="63">
        <f t="shared" si="18"/>
        <v>8.393292</v>
      </c>
      <c r="M69" s="63">
        <f t="shared" si="19"/>
        <v>101.652092</v>
      </c>
      <c r="N69" s="63">
        <f t="shared" si="20"/>
        <v>101.652092</v>
      </c>
      <c r="O69" s="63"/>
    </row>
    <row r="70" ht="40.5" spans="1:15">
      <c r="A70" s="62">
        <v>58</v>
      </c>
      <c r="B70" s="70" t="s">
        <v>167</v>
      </c>
      <c r="C70" s="67" t="s">
        <v>214</v>
      </c>
      <c r="D70" s="63" t="s">
        <v>80</v>
      </c>
      <c r="E70" s="63">
        <v>1</v>
      </c>
      <c r="F70" s="63">
        <v>18</v>
      </c>
      <c r="G70" s="63">
        <f t="shared" si="16"/>
        <v>55.55</v>
      </c>
      <c r="H70" s="63">
        <v>55</v>
      </c>
      <c r="I70" s="73">
        <v>0.01</v>
      </c>
      <c r="J70" s="63">
        <v>14.43</v>
      </c>
      <c r="K70" s="63">
        <f t="shared" si="17"/>
        <v>5.2788</v>
      </c>
      <c r="L70" s="63">
        <f t="shared" si="18"/>
        <v>8.393292</v>
      </c>
      <c r="M70" s="63">
        <f t="shared" si="19"/>
        <v>101.652092</v>
      </c>
      <c r="N70" s="63">
        <f t="shared" si="20"/>
        <v>101.652092</v>
      </c>
      <c r="O70" s="63"/>
    </row>
    <row r="71" ht="40.5" spans="1:15">
      <c r="A71" s="62">
        <v>59</v>
      </c>
      <c r="B71" s="70" t="s">
        <v>167</v>
      </c>
      <c r="C71" s="67" t="s">
        <v>199</v>
      </c>
      <c r="D71" s="63" t="s">
        <v>80</v>
      </c>
      <c r="E71" s="63">
        <v>2</v>
      </c>
      <c r="F71" s="63">
        <v>18</v>
      </c>
      <c r="G71" s="63">
        <f t="shared" si="16"/>
        <v>55.55</v>
      </c>
      <c r="H71" s="63">
        <v>55</v>
      </c>
      <c r="I71" s="73">
        <v>0.01</v>
      </c>
      <c r="J71" s="63">
        <v>14.43</v>
      </c>
      <c r="K71" s="63">
        <f t="shared" si="17"/>
        <v>5.2788</v>
      </c>
      <c r="L71" s="63">
        <f t="shared" si="18"/>
        <v>8.393292</v>
      </c>
      <c r="M71" s="63">
        <f t="shared" si="19"/>
        <v>101.652092</v>
      </c>
      <c r="N71" s="63">
        <f t="shared" si="20"/>
        <v>203.304184</v>
      </c>
      <c r="O71" s="63"/>
    </row>
    <row r="72" ht="54" spans="1:15">
      <c r="A72" s="62">
        <v>60</v>
      </c>
      <c r="B72" s="70" t="s">
        <v>167</v>
      </c>
      <c r="C72" s="67" t="s">
        <v>200</v>
      </c>
      <c r="D72" s="63" t="s">
        <v>80</v>
      </c>
      <c r="E72" s="63">
        <v>12</v>
      </c>
      <c r="F72" s="63">
        <v>18</v>
      </c>
      <c r="G72" s="63">
        <f t="shared" si="16"/>
        <v>57.57</v>
      </c>
      <c r="H72" s="63">
        <v>57</v>
      </c>
      <c r="I72" s="73">
        <v>0.01</v>
      </c>
      <c r="J72" s="63">
        <v>14.43</v>
      </c>
      <c r="K72" s="63">
        <f t="shared" si="17"/>
        <v>5.4</v>
      </c>
      <c r="L72" s="63">
        <f t="shared" si="18"/>
        <v>8.586</v>
      </c>
      <c r="M72" s="63">
        <f t="shared" si="19"/>
        <v>103.986</v>
      </c>
      <c r="N72" s="63">
        <f t="shared" si="20"/>
        <v>1247.832</v>
      </c>
      <c r="O72" s="63"/>
    </row>
    <row r="73" ht="40.5" spans="1:15">
      <c r="A73" s="62">
        <v>61</v>
      </c>
      <c r="B73" s="70" t="s">
        <v>167</v>
      </c>
      <c r="C73" s="67" t="s">
        <v>202</v>
      </c>
      <c r="D73" s="63" t="s">
        <v>80</v>
      </c>
      <c r="E73" s="63">
        <v>1</v>
      </c>
      <c r="F73" s="63">
        <v>18</v>
      </c>
      <c r="G73" s="63">
        <f t="shared" si="16"/>
        <v>57.57</v>
      </c>
      <c r="H73" s="63">
        <v>57</v>
      </c>
      <c r="I73" s="73">
        <v>0.01</v>
      </c>
      <c r="J73" s="63">
        <v>14.43</v>
      </c>
      <c r="K73" s="63">
        <f t="shared" si="17"/>
        <v>5.4</v>
      </c>
      <c r="L73" s="63">
        <f t="shared" si="18"/>
        <v>8.586</v>
      </c>
      <c r="M73" s="63">
        <f t="shared" si="19"/>
        <v>103.986</v>
      </c>
      <c r="N73" s="63">
        <f t="shared" si="20"/>
        <v>103.986</v>
      </c>
      <c r="O73" s="63"/>
    </row>
    <row r="74" ht="40.5" spans="1:15">
      <c r="A74" s="62">
        <v>62</v>
      </c>
      <c r="B74" s="70" t="s">
        <v>167</v>
      </c>
      <c r="C74" s="67" t="s">
        <v>203</v>
      </c>
      <c r="D74" s="63" t="s">
        <v>80</v>
      </c>
      <c r="E74" s="63">
        <v>12</v>
      </c>
      <c r="F74" s="63">
        <v>18</v>
      </c>
      <c r="G74" s="63">
        <f t="shared" si="16"/>
        <v>57.57</v>
      </c>
      <c r="H74" s="63">
        <v>57</v>
      </c>
      <c r="I74" s="73">
        <v>0.01</v>
      </c>
      <c r="J74" s="63">
        <v>14.43</v>
      </c>
      <c r="K74" s="63">
        <f t="shared" si="17"/>
        <v>5.4</v>
      </c>
      <c r="L74" s="63">
        <f t="shared" si="18"/>
        <v>8.586</v>
      </c>
      <c r="M74" s="63">
        <f t="shared" si="19"/>
        <v>103.986</v>
      </c>
      <c r="N74" s="63">
        <f t="shared" si="20"/>
        <v>1247.832</v>
      </c>
      <c r="O74" s="63"/>
    </row>
    <row r="75" ht="40.5" spans="1:15">
      <c r="A75" s="62">
        <v>63</v>
      </c>
      <c r="B75" s="70" t="s">
        <v>167</v>
      </c>
      <c r="C75" s="67" t="s">
        <v>215</v>
      </c>
      <c r="D75" s="63" t="s">
        <v>80</v>
      </c>
      <c r="E75" s="63">
        <v>1</v>
      </c>
      <c r="F75" s="63">
        <v>18</v>
      </c>
      <c r="G75" s="63">
        <f t="shared" si="16"/>
        <v>57.57</v>
      </c>
      <c r="H75" s="63">
        <v>57</v>
      </c>
      <c r="I75" s="73">
        <v>0.01</v>
      </c>
      <c r="J75" s="63">
        <v>14.43</v>
      </c>
      <c r="K75" s="63">
        <f t="shared" si="17"/>
        <v>5.4</v>
      </c>
      <c r="L75" s="63">
        <f t="shared" si="18"/>
        <v>8.586</v>
      </c>
      <c r="M75" s="63">
        <f t="shared" si="19"/>
        <v>103.986</v>
      </c>
      <c r="N75" s="63">
        <f t="shared" si="20"/>
        <v>103.986</v>
      </c>
      <c r="O75" s="63"/>
    </row>
    <row r="76" ht="67.5" spans="1:15">
      <c r="A76" s="62">
        <v>64</v>
      </c>
      <c r="B76" s="67" t="s">
        <v>162</v>
      </c>
      <c r="C76" s="67" t="s">
        <v>166</v>
      </c>
      <c r="D76" s="63" t="s">
        <v>136</v>
      </c>
      <c r="E76" s="63">
        <v>120.087717391304</v>
      </c>
      <c r="F76" s="63">
        <v>2.02</v>
      </c>
      <c r="G76" s="63">
        <f t="shared" si="16"/>
        <v>11.3724</v>
      </c>
      <c r="H76" s="63">
        <v>10.53</v>
      </c>
      <c r="I76" s="73">
        <v>0.08</v>
      </c>
      <c r="J76" s="63">
        <v>0.68</v>
      </c>
      <c r="K76" s="63">
        <f t="shared" si="17"/>
        <v>0.844344</v>
      </c>
      <c r="L76" s="63">
        <f t="shared" si="18"/>
        <v>1.34250696</v>
      </c>
      <c r="M76" s="63">
        <f t="shared" si="19"/>
        <v>16.25925096</v>
      </c>
      <c r="N76" s="63">
        <f t="shared" si="20"/>
        <v>1952.53633427877</v>
      </c>
      <c r="O76" s="76"/>
    </row>
    <row r="77" ht="81" spans="1:15">
      <c r="A77" s="62">
        <v>65</v>
      </c>
      <c r="B77" s="67" t="s">
        <v>162</v>
      </c>
      <c r="C77" s="67" t="s">
        <v>206</v>
      </c>
      <c r="D77" s="63" t="s">
        <v>136</v>
      </c>
      <c r="E77" s="63">
        <v>0.549021739130435</v>
      </c>
      <c r="F77" s="63">
        <v>1.9</v>
      </c>
      <c r="G77" s="63">
        <f t="shared" si="16"/>
        <v>4.374</v>
      </c>
      <c r="H77" s="63">
        <v>4.05</v>
      </c>
      <c r="I77" s="73">
        <v>0.08</v>
      </c>
      <c r="J77" s="63">
        <v>0.68</v>
      </c>
      <c r="K77" s="63">
        <f t="shared" si="17"/>
        <v>0.41724</v>
      </c>
      <c r="L77" s="63">
        <f t="shared" si="18"/>
        <v>0.6634116</v>
      </c>
      <c r="M77" s="63">
        <f t="shared" si="19"/>
        <v>8.0346516</v>
      </c>
      <c r="N77" s="63">
        <f t="shared" si="20"/>
        <v>4.41119839473913</v>
      </c>
      <c r="O77" s="76"/>
    </row>
    <row r="78" ht="67.5" spans="1:15">
      <c r="A78" s="62">
        <v>66</v>
      </c>
      <c r="B78" s="67" t="s">
        <v>162</v>
      </c>
      <c r="C78" s="67" t="s">
        <v>216</v>
      </c>
      <c r="D78" s="63" t="s">
        <v>136</v>
      </c>
      <c r="E78" s="63">
        <v>1.5275</v>
      </c>
      <c r="F78" s="63">
        <v>2.03</v>
      </c>
      <c r="G78" s="63">
        <f t="shared" si="16"/>
        <v>6.7176</v>
      </c>
      <c r="H78" s="63">
        <v>6.22</v>
      </c>
      <c r="I78" s="73">
        <v>0.08</v>
      </c>
      <c r="J78" s="63">
        <v>0.68</v>
      </c>
      <c r="K78" s="63">
        <f t="shared" si="17"/>
        <v>0.565656</v>
      </c>
      <c r="L78" s="63">
        <f t="shared" si="18"/>
        <v>0.89939304</v>
      </c>
      <c r="M78" s="63">
        <f t="shared" si="19"/>
        <v>10.89264904</v>
      </c>
      <c r="N78" s="63">
        <f t="shared" si="20"/>
        <v>16.6385214086</v>
      </c>
      <c r="O78" s="76"/>
    </row>
    <row r="79" ht="40.5" spans="1:15">
      <c r="A79" s="62">
        <v>67</v>
      </c>
      <c r="B79" s="67" t="s">
        <v>158</v>
      </c>
      <c r="C79" s="67" t="s">
        <v>207</v>
      </c>
      <c r="D79" s="63" t="s">
        <v>136</v>
      </c>
      <c r="E79" s="63">
        <v>8.85652173913043</v>
      </c>
      <c r="F79" s="63">
        <v>14.05</v>
      </c>
      <c r="G79" s="63">
        <f t="shared" si="16"/>
        <v>22.4643</v>
      </c>
      <c r="H79" s="63">
        <v>21.81</v>
      </c>
      <c r="I79" s="73">
        <v>0.03</v>
      </c>
      <c r="J79" s="63">
        <v>4.46</v>
      </c>
      <c r="K79" s="63">
        <f t="shared" si="17"/>
        <v>2.458458</v>
      </c>
      <c r="L79" s="63">
        <f t="shared" si="18"/>
        <v>3.90894822</v>
      </c>
      <c r="M79" s="63">
        <f t="shared" si="19"/>
        <v>47.34170622</v>
      </c>
      <c r="N79" s="63">
        <f t="shared" si="20"/>
        <v>419.282850304956</v>
      </c>
      <c r="O79" s="63"/>
    </row>
    <row r="80" ht="81" spans="1:15">
      <c r="A80" s="62">
        <v>68</v>
      </c>
      <c r="B80" s="67" t="s">
        <v>162</v>
      </c>
      <c r="C80" s="67" t="s">
        <v>208</v>
      </c>
      <c r="D80" s="63" t="s">
        <v>136</v>
      </c>
      <c r="E80" s="63">
        <v>4.91739130434783</v>
      </c>
      <c r="F80" s="63">
        <v>2.02</v>
      </c>
      <c r="G80" s="63">
        <f t="shared" si="16"/>
        <v>3.2596</v>
      </c>
      <c r="H80" s="63">
        <v>2.81</v>
      </c>
      <c r="I80" s="73">
        <v>0.16</v>
      </c>
      <c r="J80" s="63">
        <v>1.1</v>
      </c>
      <c r="K80" s="63">
        <f t="shared" si="17"/>
        <v>0.382776</v>
      </c>
      <c r="L80" s="63">
        <f t="shared" si="18"/>
        <v>0.60861384</v>
      </c>
      <c r="M80" s="63">
        <f t="shared" si="19"/>
        <v>7.37098984</v>
      </c>
      <c r="N80" s="63">
        <f t="shared" si="20"/>
        <v>36.2460413436522</v>
      </c>
      <c r="O80" s="76"/>
    </row>
    <row r="81" ht="43" customHeight="1" spans="1:15">
      <c r="A81" s="77" t="s">
        <v>124</v>
      </c>
      <c r="B81" s="78" t="s">
        <v>125</v>
      </c>
      <c r="C81" s="78"/>
      <c r="D81" s="79"/>
      <c r="E81" s="78"/>
      <c r="F81" s="78"/>
      <c r="G81" s="78"/>
      <c r="H81" s="78"/>
      <c r="I81" s="80"/>
      <c r="J81" s="78"/>
      <c r="K81" s="78"/>
      <c r="L81" s="78"/>
      <c r="M81" s="78"/>
      <c r="N81" s="78"/>
      <c r="O81" s="79"/>
    </row>
  </sheetData>
  <autoFilter xmlns:etc="http://www.wps.cn/officeDocument/2017/etCustomData" ref="A8:O81" etc:filterBottomFollowUsedRange="0">
    <extLst/>
  </autoFilter>
  <mergeCells count="20">
    <mergeCell ref="A1:O1"/>
    <mergeCell ref="A2:F2"/>
    <mergeCell ref="G2:M2"/>
    <mergeCell ref="N2:O2"/>
    <mergeCell ref="F3:L3"/>
    <mergeCell ref="B8:C8"/>
    <mergeCell ref="B36:C36"/>
    <mergeCell ref="B51:C51"/>
    <mergeCell ref="B67:C67"/>
    <mergeCell ref="B81:O81"/>
    <mergeCell ref="A3:A5"/>
    <mergeCell ref="B3:B5"/>
    <mergeCell ref="C3:C5"/>
    <mergeCell ref="D3:D5"/>
    <mergeCell ref="E3:E5"/>
    <mergeCell ref="F4:F5"/>
    <mergeCell ref="J4:J5"/>
    <mergeCell ref="M3:M5"/>
    <mergeCell ref="N3:N5"/>
    <mergeCell ref="O3:O5"/>
  </mergeCells>
  <pageMargins left="1" right="1" top="1" bottom="1" header="0.5" footer="0.5"/>
  <pageSetup paperSize="9" scale="60" orientation="landscape"/>
  <headerFooter>
    <oddFooter>&amp;C第 &amp;P 页，共 &amp;N 页</oddFooter>
  </headerFooter>
  <rowBreaks count="1" manualBreakCount="1">
    <brk id="70" max="14"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0"/>
  <sheetViews>
    <sheetView tabSelected="1" zoomScale="130" zoomScaleNormal="130" topLeftCell="A65" workbookViewId="0">
      <selection activeCell="O72" sqref="O72"/>
    </sheetView>
  </sheetViews>
  <sheetFormatPr defaultColWidth="10" defaultRowHeight="14.25"/>
  <cols>
    <col min="1" max="1" width="5.07619047619048" style="3" customWidth="1"/>
    <col min="2" max="2" width="11.2285714285714" style="1" customWidth="1"/>
    <col min="3" max="3" width="30.552380952381" style="1" customWidth="1"/>
    <col min="4" max="4" width="6.66666666666667" style="1" customWidth="1"/>
    <col min="5" max="5" width="8.11428571428571" style="4" customWidth="1"/>
    <col min="6" max="8" width="9.92380952380952" style="4" customWidth="1"/>
    <col min="9" max="12" width="13.0571428571429" style="4" customWidth="1"/>
    <col min="13" max="13" width="14.2190476190476" style="1"/>
    <col min="14" max="16384" width="10" style="1"/>
  </cols>
  <sheetData>
    <row r="1" s="1" customFormat="1" ht="47" customHeight="1" spans="1:12">
      <c r="A1" s="5" t="s">
        <v>217</v>
      </c>
      <c r="B1" s="5"/>
      <c r="C1" s="5"/>
      <c r="D1" s="5"/>
      <c r="E1" s="5"/>
      <c r="F1" s="5"/>
      <c r="G1" s="5"/>
      <c r="H1" s="5"/>
      <c r="I1" s="5"/>
      <c r="J1" s="5"/>
      <c r="K1" s="5"/>
      <c r="L1" s="5"/>
    </row>
    <row r="2" s="1" customFormat="1" spans="1:12">
      <c r="A2" s="6" t="s">
        <v>44</v>
      </c>
      <c r="B2" s="6" t="s">
        <v>24</v>
      </c>
      <c r="C2" s="6" t="s">
        <v>46</v>
      </c>
      <c r="D2" s="6" t="s">
        <v>25</v>
      </c>
      <c r="E2" s="7" t="s">
        <v>47</v>
      </c>
      <c r="F2" s="8" t="s">
        <v>48</v>
      </c>
      <c r="G2" s="8"/>
      <c r="H2" s="8"/>
      <c r="I2" s="8"/>
      <c r="J2" s="8"/>
      <c r="K2" s="8" t="s">
        <v>49</v>
      </c>
      <c r="L2" s="8" t="s">
        <v>218</v>
      </c>
    </row>
    <row r="3" s="1" customFormat="1" ht="33.75" spans="1:12">
      <c r="A3" s="6"/>
      <c r="B3" s="6"/>
      <c r="C3" s="6"/>
      <c r="D3" s="6"/>
      <c r="E3" s="7"/>
      <c r="F3" s="8" t="s">
        <v>52</v>
      </c>
      <c r="G3" s="8" t="s">
        <v>219</v>
      </c>
      <c r="H3" s="8" t="s">
        <v>56</v>
      </c>
      <c r="I3" s="8" t="s">
        <v>57</v>
      </c>
      <c r="J3" s="8" t="s">
        <v>58</v>
      </c>
      <c r="K3" s="8"/>
      <c r="L3" s="8"/>
    </row>
    <row r="4" s="1" customFormat="1" spans="1:12">
      <c r="A4" s="6"/>
      <c r="B4" s="6"/>
      <c r="C4" s="6"/>
      <c r="D4" s="6"/>
      <c r="E4" s="7"/>
      <c r="F4" s="8"/>
      <c r="G4" s="8"/>
      <c r="H4" s="8"/>
      <c r="I4" s="35">
        <v>0.06</v>
      </c>
      <c r="J4" s="35">
        <v>0.09</v>
      </c>
      <c r="K4" s="8"/>
      <c r="L4" s="8"/>
    </row>
    <row r="5" s="1" customFormat="1" ht="33" customHeight="1" spans="1:12">
      <c r="A5" s="6" t="s">
        <v>220</v>
      </c>
      <c r="B5" s="9" t="s">
        <v>221</v>
      </c>
      <c r="C5" s="10"/>
      <c r="D5" s="11"/>
      <c r="E5" s="12"/>
      <c r="F5" s="13"/>
      <c r="G5" s="13"/>
      <c r="H5" s="13"/>
      <c r="I5" s="13"/>
      <c r="J5" s="13"/>
      <c r="K5" s="13"/>
      <c r="L5" s="13"/>
    </row>
    <row r="6" s="1" customFormat="1" ht="56.25" spans="1:12">
      <c r="A6" s="12">
        <v>1</v>
      </c>
      <c r="B6" s="14" t="s">
        <v>222</v>
      </c>
      <c r="C6" s="14" t="s">
        <v>223</v>
      </c>
      <c r="D6" s="15" t="s">
        <v>136</v>
      </c>
      <c r="E6" s="12">
        <v>32</v>
      </c>
      <c r="F6" s="13">
        <v>30</v>
      </c>
      <c r="G6" s="13">
        <v>30</v>
      </c>
      <c r="H6" s="13">
        <v>3</v>
      </c>
      <c r="I6" s="13">
        <f>(F6+G6+H6)*$I$4</f>
        <v>3.78</v>
      </c>
      <c r="J6" s="13">
        <f>(F6+G6+H6+I6)*$J$4</f>
        <v>6.0102</v>
      </c>
      <c r="K6" s="13">
        <f t="shared" ref="K6:K8" si="0">F6+G6+H6+I6+J6</f>
        <v>72.7902</v>
      </c>
      <c r="L6" s="13">
        <f t="shared" ref="L6:L10" si="1">K6*E6</f>
        <v>2329.2864</v>
      </c>
    </row>
    <row r="7" s="1" customFormat="1" ht="56.25" spans="1:12">
      <c r="A7" s="12">
        <v>2</v>
      </c>
      <c r="B7" s="14" t="s">
        <v>222</v>
      </c>
      <c r="C7" s="14" t="s">
        <v>224</v>
      </c>
      <c r="D7" s="15" t="s">
        <v>136</v>
      </c>
      <c r="E7" s="12">
        <v>86.17</v>
      </c>
      <c r="F7" s="13">
        <v>40</v>
      </c>
      <c r="G7" s="13">
        <v>45</v>
      </c>
      <c r="H7" s="13">
        <v>3</v>
      </c>
      <c r="I7" s="13">
        <f>(F7+G7+H7)*$I$4</f>
        <v>5.28</v>
      </c>
      <c r="J7" s="13">
        <f>(F7+G7+H7+I7)*$J$4</f>
        <v>8.3952</v>
      </c>
      <c r="K7" s="13">
        <f t="shared" si="0"/>
        <v>101.6752</v>
      </c>
      <c r="L7" s="13">
        <f t="shared" si="1"/>
        <v>8761.351984</v>
      </c>
    </row>
    <row r="8" s="1" customFormat="1" ht="56.25" spans="1:12">
      <c r="A8" s="12">
        <v>3</v>
      </c>
      <c r="B8" s="14" t="s">
        <v>222</v>
      </c>
      <c r="C8" s="14" t="s">
        <v>225</v>
      </c>
      <c r="D8" s="15" t="s">
        <v>136</v>
      </c>
      <c r="E8" s="12">
        <v>86.64</v>
      </c>
      <c r="F8" s="13">
        <v>40</v>
      </c>
      <c r="G8" s="13">
        <v>71</v>
      </c>
      <c r="H8" s="13">
        <v>3</v>
      </c>
      <c r="I8" s="13">
        <f>(F8+G8+H8)*$I$4</f>
        <v>6.84</v>
      </c>
      <c r="J8" s="13">
        <f>(F8+G8+H8+I8)*$J$4</f>
        <v>10.8756</v>
      </c>
      <c r="K8" s="13">
        <f t="shared" si="0"/>
        <v>131.7156</v>
      </c>
      <c r="L8" s="13">
        <f t="shared" si="1"/>
        <v>11411.839584</v>
      </c>
    </row>
    <row r="9" s="1" customFormat="1" ht="34" customHeight="1" spans="1:12">
      <c r="A9" s="16">
        <v>4</v>
      </c>
      <c r="B9" s="17" t="s">
        <v>226</v>
      </c>
      <c r="C9" s="17" t="s">
        <v>227</v>
      </c>
      <c r="D9" s="18" t="s">
        <v>151</v>
      </c>
      <c r="E9" s="16">
        <v>100</v>
      </c>
      <c r="F9" s="13"/>
      <c r="G9" s="13"/>
      <c r="H9" s="13"/>
      <c r="I9" s="13"/>
      <c r="J9" s="13"/>
      <c r="K9" s="13">
        <v>19.32</v>
      </c>
      <c r="L9" s="13">
        <f t="shared" si="1"/>
        <v>1932</v>
      </c>
    </row>
    <row r="10" s="1" customFormat="1" ht="29" customHeight="1" spans="1:12">
      <c r="A10" s="16">
        <v>5</v>
      </c>
      <c r="B10" s="19" t="s">
        <v>228</v>
      </c>
      <c r="C10" s="19" t="s">
        <v>229</v>
      </c>
      <c r="D10" s="20" t="s">
        <v>151</v>
      </c>
      <c r="E10" s="16">
        <v>100</v>
      </c>
      <c r="F10" s="13"/>
      <c r="G10" s="13"/>
      <c r="H10" s="13"/>
      <c r="I10" s="13"/>
      <c r="J10" s="13"/>
      <c r="K10" s="13">
        <v>2.8</v>
      </c>
      <c r="L10" s="13">
        <f t="shared" si="1"/>
        <v>280</v>
      </c>
    </row>
    <row r="11" s="1" customFormat="1" ht="33" customHeight="1" spans="1:12">
      <c r="A11" s="6" t="s">
        <v>31</v>
      </c>
      <c r="B11" s="9" t="s">
        <v>230</v>
      </c>
      <c r="C11" s="10"/>
      <c r="D11" s="11"/>
      <c r="E11" s="12"/>
      <c r="F11" s="13"/>
      <c r="G11" s="13"/>
      <c r="H11" s="13"/>
      <c r="I11" s="13"/>
      <c r="J11" s="13"/>
      <c r="K11" s="13"/>
      <c r="L11" s="13"/>
    </row>
    <row r="12" s="1" customFormat="1" ht="67.5" spans="1:12">
      <c r="A12" s="21">
        <v>1</v>
      </c>
      <c r="B12" s="22" t="s">
        <v>162</v>
      </c>
      <c r="C12" s="23" t="s">
        <v>231</v>
      </c>
      <c r="D12" s="21" t="s">
        <v>232</v>
      </c>
      <c r="E12" s="24">
        <v>1800</v>
      </c>
      <c r="F12" s="13">
        <v>3</v>
      </c>
      <c r="G12" s="13">
        <v>7.31</v>
      </c>
      <c r="H12" s="13">
        <v>1.1</v>
      </c>
      <c r="I12" s="13">
        <f>(F12+G12+H12)*$I$4</f>
        <v>0.6846</v>
      </c>
      <c r="J12" s="13">
        <f>(F12+G12+H12+I12)*$J$4</f>
        <v>1.088514</v>
      </c>
      <c r="K12" s="13">
        <f t="shared" ref="K12:K16" si="2">F12+G12+H12+I12+J12</f>
        <v>13.183114</v>
      </c>
      <c r="L12" s="13">
        <f t="shared" ref="L12:L21" si="3">K12*E12</f>
        <v>23729.6052</v>
      </c>
    </row>
    <row r="13" s="1" customFormat="1" ht="67.5" spans="1:12">
      <c r="A13" s="21">
        <v>2</v>
      </c>
      <c r="B13" s="22" t="s">
        <v>162</v>
      </c>
      <c r="C13" s="23" t="s">
        <v>233</v>
      </c>
      <c r="D13" s="21" t="s">
        <v>232</v>
      </c>
      <c r="E13" s="24">
        <f>16*2+8</f>
        <v>40</v>
      </c>
      <c r="F13" s="13">
        <v>8</v>
      </c>
      <c r="G13" s="13">
        <v>9</v>
      </c>
      <c r="H13" s="13">
        <v>0.5</v>
      </c>
      <c r="I13" s="13">
        <f>(F13+G13+H13)*$I$4</f>
        <v>1.05</v>
      </c>
      <c r="J13" s="13">
        <f>(F13+G13+H13+I13)*$J$4</f>
        <v>1.6695</v>
      </c>
      <c r="K13" s="13">
        <f t="shared" si="2"/>
        <v>20.2195</v>
      </c>
      <c r="L13" s="13">
        <f t="shared" si="3"/>
        <v>808.78</v>
      </c>
    </row>
    <row r="14" s="1" customFormat="1" ht="33" customHeight="1" spans="1:12">
      <c r="A14" s="6" t="s">
        <v>234</v>
      </c>
      <c r="B14" s="9" t="s">
        <v>235</v>
      </c>
      <c r="C14" s="10"/>
      <c r="D14" s="11"/>
      <c r="E14" s="12"/>
      <c r="F14" s="13"/>
      <c r="G14" s="13"/>
      <c r="H14" s="13"/>
      <c r="I14" s="13"/>
      <c r="J14" s="13"/>
      <c r="K14" s="13"/>
      <c r="L14" s="13"/>
    </row>
    <row r="15" s="1" customFormat="1" ht="101.25" spans="1:12">
      <c r="A15" s="21">
        <v>1</v>
      </c>
      <c r="B15" s="19" t="s">
        <v>236</v>
      </c>
      <c r="C15" s="19" t="s">
        <v>237</v>
      </c>
      <c r="D15" s="15" t="s">
        <v>136</v>
      </c>
      <c r="E15" s="16">
        <v>12.4</v>
      </c>
      <c r="F15" s="13">
        <v>25</v>
      </c>
      <c r="G15" s="13">
        <v>62.98</v>
      </c>
      <c r="H15" s="13">
        <v>2</v>
      </c>
      <c r="I15" s="13">
        <f>(F15+G15+H15)*$I$4</f>
        <v>5.3988</v>
      </c>
      <c r="J15" s="13">
        <f>(F15+G15+H15+I15)*$J$4</f>
        <v>8.584092</v>
      </c>
      <c r="K15" s="13">
        <f t="shared" si="2"/>
        <v>103.962892</v>
      </c>
      <c r="L15" s="13">
        <f t="shared" si="3"/>
        <v>1289.1398608</v>
      </c>
    </row>
    <row r="16" s="1" customFormat="1" ht="101.25" spans="1:12">
      <c r="A16" s="21">
        <v>2</v>
      </c>
      <c r="B16" s="14" t="s">
        <v>236</v>
      </c>
      <c r="C16" s="19" t="s">
        <v>238</v>
      </c>
      <c r="D16" s="15" t="s">
        <v>136</v>
      </c>
      <c r="E16" s="16">
        <v>24</v>
      </c>
      <c r="F16" s="13">
        <v>25</v>
      </c>
      <c r="G16" s="13">
        <v>42.2</v>
      </c>
      <c r="H16" s="13">
        <v>2</v>
      </c>
      <c r="I16" s="13">
        <f>(F16+G16+H16)*$I$4</f>
        <v>4.152</v>
      </c>
      <c r="J16" s="13">
        <f>(F16+G16+H16+I16)*$J$4</f>
        <v>6.60168</v>
      </c>
      <c r="K16" s="13">
        <f t="shared" si="2"/>
        <v>79.95368</v>
      </c>
      <c r="L16" s="13">
        <f t="shared" si="3"/>
        <v>1918.88832</v>
      </c>
    </row>
    <row r="17" s="1" customFormat="1" ht="29" customHeight="1" spans="1:12">
      <c r="A17" s="21">
        <v>3</v>
      </c>
      <c r="B17" s="17" t="s">
        <v>226</v>
      </c>
      <c r="C17" s="17" t="s">
        <v>227</v>
      </c>
      <c r="D17" s="18" t="s">
        <v>151</v>
      </c>
      <c r="E17" s="16">
        <v>25</v>
      </c>
      <c r="F17" s="13"/>
      <c r="G17" s="13"/>
      <c r="H17" s="13"/>
      <c r="I17" s="13"/>
      <c r="J17" s="13"/>
      <c r="K17" s="13">
        <v>19.32</v>
      </c>
      <c r="L17" s="13">
        <f t="shared" si="3"/>
        <v>483</v>
      </c>
    </row>
    <row r="18" s="1" customFormat="1" ht="29" customHeight="1" spans="1:12">
      <c r="A18" s="21">
        <v>4</v>
      </c>
      <c r="B18" s="19" t="s">
        <v>228</v>
      </c>
      <c r="C18" s="19" t="s">
        <v>229</v>
      </c>
      <c r="D18" s="20" t="s">
        <v>151</v>
      </c>
      <c r="E18" s="16">
        <v>25</v>
      </c>
      <c r="F18" s="13"/>
      <c r="G18" s="13"/>
      <c r="H18" s="13"/>
      <c r="I18" s="13"/>
      <c r="J18" s="13"/>
      <c r="K18" s="13">
        <v>2.8</v>
      </c>
      <c r="L18" s="13">
        <f t="shared" si="3"/>
        <v>70</v>
      </c>
    </row>
    <row r="19" s="1" customFormat="1" ht="99" customHeight="1" spans="1:12">
      <c r="A19" s="21">
        <v>5</v>
      </c>
      <c r="B19" s="14" t="s">
        <v>239</v>
      </c>
      <c r="C19" s="14" t="s">
        <v>240</v>
      </c>
      <c r="D19" s="15" t="s">
        <v>169</v>
      </c>
      <c r="E19" s="16">
        <v>4</v>
      </c>
      <c r="F19" s="13">
        <v>600</v>
      </c>
      <c r="G19" s="13">
        <v>540</v>
      </c>
      <c r="H19" s="13">
        <v>0</v>
      </c>
      <c r="I19" s="13">
        <f>(F19+G19+H19)*$I$4</f>
        <v>68.4</v>
      </c>
      <c r="J19" s="13">
        <f>(F19+G19+H19+I19)*$J$4</f>
        <v>108.756</v>
      </c>
      <c r="K19" s="13">
        <f t="shared" ref="K19:K21" si="4">F19+G19+H19+I19+J19</f>
        <v>1317.156</v>
      </c>
      <c r="L19" s="13">
        <f t="shared" si="3"/>
        <v>5268.624</v>
      </c>
    </row>
    <row r="20" s="1" customFormat="1" ht="33.75" spans="1:12">
      <c r="A20" s="21">
        <v>6</v>
      </c>
      <c r="B20" s="14" t="s">
        <v>241</v>
      </c>
      <c r="C20" s="14" t="s">
        <v>242</v>
      </c>
      <c r="D20" s="15" t="s">
        <v>80</v>
      </c>
      <c r="E20" s="15">
        <v>28</v>
      </c>
      <c r="F20" s="13">
        <v>150</v>
      </c>
      <c r="G20" s="13"/>
      <c r="H20" s="13"/>
      <c r="I20" s="13">
        <f>(F20+G20+H20)*$I$4</f>
        <v>9</v>
      </c>
      <c r="J20" s="13">
        <f>(F20+G20+H20+I20)*$J$4</f>
        <v>14.31</v>
      </c>
      <c r="K20" s="13">
        <f t="shared" si="4"/>
        <v>173.31</v>
      </c>
      <c r="L20" s="13">
        <f t="shared" si="3"/>
        <v>4852.68</v>
      </c>
    </row>
    <row r="21" s="1" customFormat="1" ht="33.75" spans="1:12">
      <c r="A21" s="21">
        <v>7</v>
      </c>
      <c r="B21" s="14" t="s">
        <v>243</v>
      </c>
      <c r="C21" s="14" t="s">
        <v>244</v>
      </c>
      <c r="D21" s="15" t="s">
        <v>80</v>
      </c>
      <c r="E21" s="15">
        <v>28</v>
      </c>
      <c r="F21" s="13">
        <v>20</v>
      </c>
      <c r="G21" s="13"/>
      <c r="H21" s="13"/>
      <c r="I21" s="13">
        <f>(F21+G21+H21)*$I$4</f>
        <v>1.2</v>
      </c>
      <c r="J21" s="13">
        <f>(F21+G21+H21+I21)*$J$4</f>
        <v>1.908</v>
      </c>
      <c r="K21" s="13">
        <f t="shared" si="4"/>
        <v>23.108</v>
      </c>
      <c r="L21" s="13">
        <f t="shared" si="3"/>
        <v>647.024</v>
      </c>
    </row>
    <row r="22" s="1" customFormat="1" ht="33" customHeight="1" spans="1:12">
      <c r="A22" s="6" t="s">
        <v>245</v>
      </c>
      <c r="B22" s="9" t="s">
        <v>246</v>
      </c>
      <c r="C22" s="10"/>
      <c r="D22" s="11"/>
      <c r="E22" s="12"/>
      <c r="F22" s="13"/>
      <c r="G22" s="13"/>
      <c r="H22" s="13"/>
      <c r="I22" s="13"/>
      <c r="J22" s="13"/>
      <c r="K22" s="13"/>
      <c r="L22" s="13"/>
    </row>
    <row r="23" s="1" customFormat="1" ht="101.25" spans="1:12">
      <c r="A23" s="16">
        <v>1</v>
      </c>
      <c r="B23" s="14" t="s">
        <v>247</v>
      </c>
      <c r="C23" s="14" t="s">
        <v>248</v>
      </c>
      <c r="D23" s="15" t="s">
        <v>136</v>
      </c>
      <c r="E23" s="16">
        <v>24</v>
      </c>
      <c r="F23" s="13">
        <v>25</v>
      </c>
      <c r="G23" s="13">
        <v>95</v>
      </c>
      <c r="H23" s="13">
        <v>2</v>
      </c>
      <c r="I23" s="13">
        <f>(F23+G23+H23)*$I$4</f>
        <v>7.32</v>
      </c>
      <c r="J23" s="13">
        <f>(F23+G23+H23+I23)*$J$4</f>
        <v>11.6388</v>
      </c>
      <c r="K23" s="13">
        <f t="shared" ref="K23:K30" si="5">F23+G23+H23+I23+J23</f>
        <v>140.9588</v>
      </c>
      <c r="L23" s="13">
        <f t="shared" ref="L23:L37" si="6">K23*E23</f>
        <v>3383.0112</v>
      </c>
    </row>
    <row r="24" s="1" customFormat="1" ht="101.25" spans="1:12">
      <c r="A24" s="16">
        <v>2</v>
      </c>
      <c r="B24" s="14" t="s">
        <v>247</v>
      </c>
      <c r="C24" s="14" t="s">
        <v>249</v>
      </c>
      <c r="D24" s="15" t="s">
        <v>136</v>
      </c>
      <c r="E24" s="16">
        <v>16</v>
      </c>
      <c r="F24" s="13">
        <v>25</v>
      </c>
      <c r="G24" s="13">
        <v>62.98</v>
      </c>
      <c r="H24" s="13">
        <v>2</v>
      </c>
      <c r="I24" s="13">
        <f>(F24+G24+H24)*$I$4</f>
        <v>5.3988</v>
      </c>
      <c r="J24" s="13">
        <f>(F24+G24+H24+I24)*$J$4</f>
        <v>8.584092</v>
      </c>
      <c r="K24" s="13">
        <f t="shared" si="5"/>
        <v>103.962892</v>
      </c>
      <c r="L24" s="13">
        <f t="shared" si="6"/>
        <v>1663.406272</v>
      </c>
    </row>
    <row r="25" s="1" customFormat="1" ht="101.25" spans="1:12">
      <c r="A25" s="16">
        <v>3</v>
      </c>
      <c r="B25" s="14" t="s">
        <v>247</v>
      </c>
      <c r="C25" s="14" t="s">
        <v>250</v>
      </c>
      <c r="D25" s="15" t="s">
        <v>136</v>
      </c>
      <c r="E25" s="16">
        <v>15</v>
      </c>
      <c r="F25" s="13">
        <v>25</v>
      </c>
      <c r="G25" s="13">
        <v>45.96</v>
      </c>
      <c r="H25" s="13">
        <v>2</v>
      </c>
      <c r="I25" s="13">
        <f>(F25+G25+H25)*$I$4</f>
        <v>4.3776</v>
      </c>
      <c r="J25" s="13">
        <f>(F25+G25+H25+I25)*$J$4</f>
        <v>6.960384</v>
      </c>
      <c r="K25" s="13">
        <f t="shared" si="5"/>
        <v>84.297984</v>
      </c>
      <c r="L25" s="13">
        <f t="shared" si="6"/>
        <v>1264.46976</v>
      </c>
    </row>
    <row r="26" s="1" customFormat="1" ht="101.25" spans="1:12">
      <c r="A26" s="16">
        <v>4</v>
      </c>
      <c r="B26" s="25" t="s">
        <v>247</v>
      </c>
      <c r="C26" s="25" t="s">
        <v>251</v>
      </c>
      <c r="D26" s="26" t="s">
        <v>136</v>
      </c>
      <c r="E26" s="27">
        <v>2</v>
      </c>
      <c r="F26" s="13">
        <v>25</v>
      </c>
      <c r="G26" s="13">
        <v>42.2</v>
      </c>
      <c r="H26" s="13">
        <v>2</v>
      </c>
      <c r="I26" s="13">
        <f>(F26+G26+H26)*$I$4</f>
        <v>4.152</v>
      </c>
      <c r="J26" s="13">
        <f>(F26+G26+H26+I26)*$J$4</f>
        <v>6.60168</v>
      </c>
      <c r="K26" s="13">
        <f t="shared" si="5"/>
        <v>79.95368</v>
      </c>
      <c r="L26" s="13">
        <f t="shared" si="6"/>
        <v>159.90736</v>
      </c>
    </row>
    <row r="27" s="1" customFormat="1" ht="101.25" spans="1:12">
      <c r="A27" s="16">
        <v>5</v>
      </c>
      <c r="B27" s="19" t="s">
        <v>247</v>
      </c>
      <c r="C27" s="19" t="s">
        <v>252</v>
      </c>
      <c r="D27" s="12" t="s">
        <v>136</v>
      </c>
      <c r="E27" s="16">
        <v>104</v>
      </c>
      <c r="F27" s="13">
        <v>25</v>
      </c>
      <c r="G27" s="13">
        <v>30.74</v>
      </c>
      <c r="H27" s="13">
        <v>2</v>
      </c>
      <c r="I27" s="13">
        <f>(F27+G27+H27)*$I$4</f>
        <v>3.4644</v>
      </c>
      <c r="J27" s="13">
        <f>(F27+G27+H27+I27)*$J$4</f>
        <v>5.508396</v>
      </c>
      <c r="K27" s="13">
        <f t="shared" si="5"/>
        <v>66.712796</v>
      </c>
      <c r="L27" s="13">
        <f t="shared" si="6"/>
        <v>6938.130784</v>
      </c>
    </row>
    <row r="28" s="1" customFormat="1" ht="101.25" spans="1:12">
      <c r="A28" s="16">
        <v>6</v>
      </c>
      <c r="B28" s="19" t="s">
        <v>247</v>
      </c>
      <c r="C28" s="19" t="s">
        <v>253</v>
      </c>
      <c r="D28" s="12" t="s">
        <v>136</v>
      </c>
      <c r="E28" s="16">
        <v>6</v>
      </c>
      <c r="F28" s="13">
        <v>25</v>
      </c>
      <c r="G28" s="13">
        <v>23.72</v>
      </c>
      <c r="H28" s="13">
        <v>2</v>
      </c>
      <c r="I28" s="13">
        <f>(F28+G28+H28)*$I$4</f>
        <v>3.0432</v>
      </c>
      <c r="J28" s="13">
        <f>(F28+G28+H28+I28)*$J$4</f>
        <v>4.838688</v>
      </c>
      <c r="K28" s="13">
        <f t="shared" si="5"/>
        <v>58.601888</v>
      </c>
      <c r="L28" s="13">
        <f t="shared" si="6"/>
        <v>351.611328</v>
      </c>
    </row>
    <row r="29" s="1" customFormat="1" ht="101.25" spans="1:12">
      <c r="A29" s="16">
        <v>7</v>
      </c>
      <c r="B29" s="19" t="s">
        <v>247</v>
      </c>
      <c r="C29" s="19" t="s">
        <v>254</v>
      </c>
      <c r="D29" s="12" t="s">
        <v>136</v>
      </c>
      <c r="E29" s="16">
        <v>40</v>
      </c>
      <c r="F29" s="13">
        <v>25</v>
      </c>
      <c r="G29" s="13">
        <v>20.11</v>
      </c>
      <c r="H29" s="13">
        <v>2</v>
      </c>
      <c r="I29" s="13">
        <f>(F29+G29+H29)*$I$4</f>
        <v>2.8266</v>
      </c>
      <c r="J29" s="13">
        <f>(F29+G29+H29+I29)*$J$4</f>
        <v>4.494294</v>
      </c>
      <c r="K29" s="13">
        <f t="shared" si="5"/>
        <v>54.430894</v>
      </c>
      <c r="L29" s="13">
        <f t="shared" si="6"/>
        <v>2177.23576</v>
      </c>
    </row>
    <row r="30" s="1" customFormat="1" ht="101.25" spans="1:12">
      <c r="A30" s="16">
        <v>8</v>
      </c>
      <c r="B30" s="19" t="s">
        <v>247</v>
      </c>
      <c r="C30" s="19" t="s">
        <v>255</v>
      </c>
      <c r="D30" s="12" t="s">
        <v>136</v>
      </c>
      <c r="E30" s="16">
        <v>52</v>
      </c>
      <c r="F30" s="13">
        <v>25</v>
      </c>
      <c r="G30" s="13">
        <v>15.48</v>
      </c>
      <c r="H30" s="13">
        <v>2</v>
      </c>
      <c r="I30" s="13">
        <f>(F30+G30+H30)*$I$4</f>
        <v>2.5488</v>
      </c>
      <c r="J30" s="13">
        <f>(F30+G30+H30+I30)*$J$4</f>
        <v>4.052592</v>
      </c>
      <c r="K30" s="13">
        <f t="shared" si="5"/>
        <v>49.081392</v>
      </c>
      <c r="L30" s="13">
        <f t="shared" si="6"/>
        <v>2552.232384</v>
      </c>
    </row>
    <row r="31" s="1" customFormat="1" ht="29" customHeight="1" spans="1:12">
      <c r="A31" s="16">
        <v>9</v>
      </c>
      <c r="B31" s="17" t="s">
        <v>226</v>
      </c>
      <c r="C31" s="17" t="s">
        <v>227</v>
      </c>
      <c r="D31" s="18" t="s">
        <v>151</v>
      </c>
      <c r="E31" s="16">
        <v>280</v>
      </c>
      <c r="F31" s="13"/>
      <c r="G31" s="13"/>
      <c r="H31" s="13"/>
      <c r="I31" s="13"/>
      <c r="J31" s="13"/>
      <c r="K31" s="13">
        <v>19.32</v>
      </c>
      <c r="L31" s="13">
        <f t="shared" si="6"/>
        <v>5409.6</v>
      </c>
    </row>
    <row r="32" s="1" customFormat="1" ht="29" customHeight="1" spans="1:12">
      <c r="A32" s="16">
        <v>10</v>
      </c>
      <c r="B32" s="19" t="s">
        <v>228</v>
      </c>
      <c r="C32" s="19" t="s">
        <v>229</v>
      </c>
      <c r="D32" s="20" t="s">
        <v>151</v>
      </c>
      <c r="E32" s="16">
        <v>280</v>
      </c>
      <c r="F32" s="13"/>
      <c r="G32" s="13"/>
      <c r="H32" s="13"/>
      <c r="I32" s="13"/>
      <c r="J32" s="13"/>
      <c r="K32" s="13">
        <v>2.8</v>
      </c>
      <c r="L32" s="13">
        <f t="shared" si="6"/>
        <v>784</v>
      </c>
    </row>
    <row r="33" s="1" customFormat="1" ht="37" customHeight="1" spans="1:12">
      <c r="A33" s="16">
        <v>11</v>
      </c>
      <c r="B33" s="14" t="s">
        <v>256</v>
      </c>
      <c r="C33" s="14" t="s">
        <v>257</v>
      </c>
      <c r="D33" s="28" t="s">
        <v>80</v>
      </c>
      <c r="E33" s="16">
        <v>50</v>
      </c>
      <c r="F33" s="13">
        <v>25</v>
      </c>
      <c r="G33" s="13">
        <v>9</v>
      </c>
      <c r="H33" s="13">
        <v>0</v>
      </c>
      <c r="I33" s="13">
        <f>(F33+G33+H33)*$I$4</f>
        <v>2.04</v>
      </c>
      <c r="J33" s="13">
        <f>(F33+G33+H33+I33)*$J$4</f>
        <v>3.2436</v>
      </c>
      <c r="K33" s="13">
        <f t="shared" ref="K33:K37" si="7">F33+G33+H33+I33+J33</f>
        <v>39.2836</v>
      </c>
      <c r="L33" s="13">
        <f t="shared" si="6"/>
        <v>1964.18</v>
      </c>
    </row>
    <row r="34" s="1" customFormat="1" ht="37" customHeight="1" spans="1:12">
      <c r="A34" s="16">
        <v>12</v>
      </c>
      <c r="B34" s="14" t="s">
        <v>258</v>
      </c>
      <c r="C34" s="14" t="s">
        <v>259</v>
      </c>
      <c r="D34" s="28" t="s">
        <v>80</v>
      </c>
      <c r="E34" s="16">
        <v>30</v>
      </c>
      <c r="F34" s="13">
        <v>50</v>
      </c>
      <c r="G34" s="13">
        <v>8</v>
      </c>
      <c r="H34" s="13">
        <v>0</v>
      </c>
      <c r="I34" s="13">
        <f>(F34+G34+H34)*$I$4</f>
        <v>3.48</v>
      </c>
      <c r="J34" s="13">
        <f>(F34+G34+H34+I34)*$J$4</f>
        <v>5.5332</v>
      </c>
      <c r="K34" s="13">
        <f t="shared" si="7"/>
        <v>67.0132</v>
      </c>
      <c r="L34" s="13">
        <f t="shared" si="6"/>
        <v>2010.396</v>
      </c>
    </row>
    <row r="35" s="1" customFormat="1" ht="45" spans="1:12">
      <c r="A35" s="16">
        <v>13</v>
      </c>
      <c r="B35" s="14" t="s">
        <v>260</v>
      </c>
      <c r="C35" s="14" t="s">
        <v>261</v>
      </c>
      <c r="D35" s="28" t="s">
        <v>80</v>
      </c>
      <c r="E35" s="16">
        <v>1</v>
      </c>
      <c r="F35" s="13">
        <v>100</v>
      </c>
      <c r="G35" s="13">
        <v>150</v>
      </c>
      <c r="H35" s="13">
        <v>0</v>
      </c>
      <c r="I35" s="13">
        <f>(F35+G35+H35)*$I$4</f>
        <v>15</v>
      </c>
      <c r="J35" s="13">
        <f>(F35+G35+H35+I35)*$J$4</f>
        <v>23.85</v>
      </c>
      <c r="K35" s="13">
        <f t="shared" si="7"/>
        <v>288.85</v>
      </c>
      <c r="L35" s="13">
        <f t="shared" si="6"/>
        <v>288.85</v>
      </c>
    </row>
    <row r="36" s="1" customFormat="1" ht="45" spans="1:12">
      <c r="A36" s="16">
        <v>14</v>
      </c>
      <c r="B36" s="14" t="s">
        <v>262</v>
      </c>
      <c r="C36" s="14" t="s">
        <v>263</v>
      </c>
      <c r="D36" s="28" t="s">
        <v>80</v>
      </c>
      <c r="E36" s="16">
        <v>1</v>
      </c>
      <c r="F36" s="13">
        <v>100</v>
      </c>
      <c r="G36" s="13">
        <v>576</v>
      </c>
      <c r="H36" s="13">
        <v>0</v>
      </c>
      <c r="I36" s="13">
        <f>(F36+G36+H36)*$I$4</f>
        <v>40.56</v>
      </c>
      <c r="J36" s="13">
        <f>(F36+G36+H36+I36)*$J$4</f>
        <v>64.4904</v>
      </c>
      <c r="K36" s="13">
        <f t="shared" si="7"/>
        <v>781.0504</v>
      </c>
      <c r="L36" s="13">
        <f t="shared" si="6"/>
        <v>781.0504</v>
      </c>
    </row>
    <row r="37" s="1" customFormat="1" ht="45" spans="1:12">
      <c r="A37" s="16">
        <v>15</v>
      </c>
      <c r="B37" s="14" t="s">
        <v>264</v>
      </c>
      <c r="C37" s="14" t="s">
        <v>265</v>
      </c>
      <c r="D37" s="28" t="s">
        <v>80</v>
      </c>
      <c r="E37" s="16">
        <v>1</v>
      </c>
      <c r="F37" s="13">
        <v>100</v>
      </c>
      <c r="G37" s="13">
        <v>273</v>
      </c>
      <c r="H37" s="13">
        <v>0</v>
      </c>
      <c r="I37" s="13">
        <f>(F37+G37+H37)*$I$4</f>
        <v>22.38</v>
      </c>
      <c r="J37" s="13">
        <f>(F37+G37+H37+I37)*$J$4</f>
        <v>35.5842</v>
      </c>
      <c r="K37" s="13">
        <f t="shared" si="7"/>
        <v>430.9642</v>
      </c>
      <c r="L37" s="13">
        <f t="shared" si="6"/>
        <v>430.9642</v>
      </c>
    </row>
    <row r="38" s="1" customFormat="1" ht="33" customHeight="1" spans="1:12">
      <c r="A38" s="6" t="s">
        <v>266</v>
      </c>
      <c r="B38" s="9" t="s">
        <v>267</v>
      </c>
      <c r="C38" s="10"/>
      <c r="D38" s="11"/>
      <c r="E38" s="12"/>
      <c r="F38" s="13"/>
      <c r="G38" s="13"/>
      <c r="H38" s="13"/>
      <c r="I38" s="13"/>
      <c r="J38" s="13"/>
      <c r="K38" s="13"/>
      <c r="L38" s="13"/>
    </row>
    <row r="39" s="2" customFormat="1" ht="112.5" spans="1:12">
      <c r="A39" s="29">
        <v>1</v>
      </c>
      <c r="B39" s="14" t="s">
        <v>268</v>
      </c>
      <c r="C39" s="14" t="s">
        <v>269</v>
      </c>
      <c r="D39" s="15" t="s">
        <v>65</v>
      </c>
      <c r="E39" s="30">
        <v>20.1</v>
      </c>
      <c r="F39" s="13">
        <v>85</v>
      </c>
      <c r="G39" s="13">
        <v>35</v>
      </c>
      <c r="H39" s="13">
        <v>10</v>
      </c>
      <c r="I39" s="13">
        <f>(F39+G39+H39)*$I$4</f>
        <v>7.8</v>
      </c>
      <c r="J39" s="13">
        <f>(F39+G39+H39+I39)*$J$4</f>
        <v>12.402</v>
      </c>
      <c r="K39" s="13">
        <f t="shared" ref="K39:K43" si="8">F39+G39+H39+I39+J39</f>
        <v>150.202</v>
      </c>
      <c r="L39" s="13">
        <f t="shared" ref="L39:L43" si="9">K39*E39</f>
        <v>3019.0602</v>
      </c>
    </row>
    <row r="40" s="2" customFormat="1" ht="45" spans="1:12">
      <c r="A40" s="12">
        <v>2</v>
      </c>
      <c r="B40" s="19" t="s">
        <v>270</v>
      </c>
      <c r="C40" s="19" t="s">
        <v>271</v>
      </c>
      <c r="D40" s="12" t="s">
        <v>65</v>
      </c>
      <c r="E40" s="31">
        <f>3.52*1.5</f>
        <v>5.28</v>
      </c>
      <c r="F40" s="13">
        <v>0</v>
      </c>
      <c r="G40" s="13">
        <v>300</v>
      </c>
      <c r="H40" s="13">
        <v>0</v>
      </c>
      <c r="I40" s="13">
        <f>(F40+G40+H40)*$I$4</f>
        <v>18</v>
      </c>
      <c r="J40" s="13">
        <f>(F40+G40+H40+I40)*$J$4</f>
        <v>28.62</v>
      </c>
      <c r="K40" s="13">
        <f t="shared" si="8"/>
        <v>346.62</v>
      </c>
      <c r="L40" s="13">
        <f t="shared" si="9"/>
        <v>1830.1536</v>
      </c>
    </row>
    <row r="41" s="2" customFormat="1" ht="45" spans="1:12">
      <c r="A41" s="29">
        <v>3</v>
      </c>
      <c r="B41" s="14" t="s">
        <v>272</v>
      </c>
      <c r="C41" s="14" t="s">
        <v>273</v>
      </c>
      <c r="D41" s="15" t="s">
        <v>80</v>
      </c>
      <c r="E41" s="31">
        <v>2</v>
      </c>
      <c r="F41" s="13">
        <v>50</v>
      </c>
      <c r="G41" s="13">
        <v>96</v>
      </c>
      <c r="H41" s="13">
        <v>2</v>
      </c>
      <c r="I41" s="13">
        <f>(F41+G41+H41)*$I$4</f>
        <v>8.88</v>
      </c>
      <c r="J41" s="13">
        <f>(F41+G41+H41+I41)*$J$4</f>
        <v>14.1192</v>
      </c>
      <c r="K41" s="13">
        <f t="shared" si="8"/>
        <v>170.9992</v>
      </c>
      <c r="L41" s="13">
        <f t="shared" si="9"/>
        <v>341.9984</v>
      </c>
    </row>
    <row r="42" s="2" customFormat="1" ht="45" spans="1:12">
      <c r="A42" s="29">
        <v>4</v>
      </c>
      <c r="B42" s="19" t="s">
        <v>274</v>
      </c>
      <c r="C42" s="19" t="s">
        <v>275</v>
      </c>
      <c r="D42" s="12" t="s">
        <v>80</v>
      </c>
      <c r="E42" s="31">
        <v>1</v>
      </c>
      <c r="F42" s="13">
        <v>50</v>
      </c>
      <c r="G42" s="13">
        <v>326</v>
      </c>
      <c r="H42" s="13">
        <v>2</v>
      </c>
      <c r="I42" s="13">
        <f>(F42+G42+H42)*$I$4</f>
        <v>22.68</v>
      </c>
      <c r="J42" s="13">
        <f>(F42+G42+H42+I42)*$J$4</f>
        <v>36.0612</v>
      </c>
      <c r="K42" s="13">
        <f t="shared" si="8"/>
        <v>436.7412</v>
      </c>
      <c r="L42" s="13">
        <f t="shared" si="9"/>
        <v>436.7412</v>
      </c>
    </row>
    <row r="43" s="2" customFormat="1" ht="45" spans="1:12">
      <c r="A43" s="12">
        <v>5</v>
      </c>
      <c r="B43" s="32" t="s">
        <v>276</v>
      </c>
      <c r="C43" s="32" t="s">
        <v>277</v>
      </c>
      <c r="D43" s="33" t="s">
        <v>80</v>
      </c>
      <c r="E43" s="34">
        <v>1</v>
      </c>
      <c r="F43" s="13">
        <v>50</v>
      </c>
      <c r="G43" s="13">
        <v>352</v>
      </c>
      <c r="H43" s="13">
        <v>2</v>
      </c>
      <c r="I43" s="13">
        <f>(F43+G43+H43)*$I$4</f>
        <v>24.24</v>
      </c>
      <c r="J43" s="13">
        <f>(F43+G43+H43+I43)*$J$4</f>
        <v>38.5416</v>
      </c>
      <c r="K43" s="13">
        <f t="shared" si="8"/>
        <v>466.7816</v>
      </c>
      <c r="L43" s="13">
        <f t="shared" si="9"/>
        <v>466.7816</v>
      </c>
    </row>
    <row r="44" s="1" customFormat="1" ht="33" customHeight="1" spans="1:12">
      <c r="A44" s="6" t="s">
        <v>278</v>
      </c>
      <c r="B44" s="9" t="s">
        <v>279</v>
      </c>
      <c r="C44" s="10"/>
      <c r="D44" s="11"/>
      <c r="E44" s="12"/>
      <c r="F44" s="13"/>
      <c r="G44" s="13"/>
      <c r="H44" s="13"/>
      <c r="I44" s="13"/>
      <c r="J44" s="13"/>
      <c r="K44" s="13"/>
      <c r="L44" s="13"/>
    </row>
    <row r="45" s="1" customFormat="1" ht="56.25" spans="1:12">
      <c r="A45" s="29">
        <v>1</v>
      </c>
      <c r="B45" s="19" t="s">
        <v>162</v>
      </c>
      <c r="C45" s="19" t="s">
        <v>280</v>
      </c>
      <c r="D45" s="12" t="s">
        <v>136</v>
      </c>
      <c r="E45" s="16">
        <v>330</v>
      </c>
      <c r="F45" s="13">
        <v>2</v>
      </c>
      <c r="G45" s="13">
        <v>3.98</v>
      </c>
      <c r="H45" s="13">
        <v>0</v>
      </c>
      <c r="I45" s="13">
        <f>(F45+G45+H45)*$I$4</f>
        <v>0.3588</v>
      </c>
      <c r="J45" s="13">
        <f>(F45+G45+H45+I45)*$J$4</f>
        <v>0.570492</v>
      </c>
      <c r="K45" s="13">
        <f t="shared" ref="K45:K69" si="10">F45+G45+H45+I45+J45</f>
        <v>6.909292</v>
      </c>
      <c r="L45" s="13">
        <f t="shared" ref="L45:L69" si="11">K45*E45</f>
        <v>2280.06636</v>
      </c>
    </row>
    <row r="46" s="1" customFormat="1" ht="56.25" spans="1:12">
      <c r="A46" s="29">
        <v>2</v>
      </c>
      <c r="B46" s="19" t="s">
        <v>162</v>
      </c>
      <c r="C46" s="19" t="s">
        <v>281</v>
      </c>
      <c r="D46" s="12" t="s">
        <v>136</v>
      </c>
      <c r="E46" s="16">
        <v>160</v>
      </c>
      <c r="F46" s="13">
        <v>2</v>
      </c>
      <c r="G46" s="13">
        <v>2.3</v>
      </c>
      <c r="H46" s="13">
        <v>0</v>
      </c>
      <c r="I46" s="13">
        <f>(F46+G46+H46)*$I$4</f>
        <v>0.258</v>
      </c>
      <c r="J46" s="13">
        <f>(F46+G46+H46+I46)*$J$4</f>
        <v>0.41022</v>
      </c>
      <c r="K46" s="13">
        <f t="shared" si="10"/>
        <v>4.96822</v>
      </c>
      <c r="L46" s="13">
        <f t="shared" si="11"/>
        <v>794.9152</v>
      </c>
    </row>
    <row r="47" s="1" customFormat="1" ht="56.25" spans="1:12">
      <c r="A47" s="29">
        <v>3</v>
      </c>
      <c r="B47" s="19" t="s">
        <v>162</v>
      </c>
      <c r="C47" s="19" t="s">
        <v>282</v>
      </c>
      <c r="D47" s="12" t="s">
        <v>136</v>
      </c>
      <c r="E47" s="16">
        <v>70</v>
      </c>
      <c r="F47" s="13">
        <v>2</v>
      </c>
      <c r="G47" s="13">
        <v>3.98</v>
      </c>
      <c r="H47" s="13">
        <v>0</v>
      </c>
      <c r="I47" s="13">
        <f>(F47+G47+H47)*$I$4</f>
        <v>0.3588</v>
      </c>
      <c r="J47" s="13">
        <f>(F47+G47+H47+I47)*$J$4</f>
        <v>0.570492</v>
      </c>
      <c r="K47" s="13">
        <f t="shared" si="10"/>
        <v>6.909292</v>
      </c>
      <c r="L47" s="13">
        <f t="shared" si="11"/>
        <v>483.65044</v>
      </c>
    </row>
    <row r="48" s="1" customFormat="1" ht="56.25" spans="1:12">
      <c r="A48" s="29">
        <v>4</v>
      </c>
      <c r="B48" s="19" t="s">
        <v>162</v>
      </c>
      <c r="C48" s="19" t="s">
        <v>283</v>
      </c>
      <c r="D48" s="12" t="s">
        <v>136</v>
      </c>
      <c r="E48" s="16">
        <v>90</v>
      </c>
      <c r="F48" s="13">
        <v>2</v>
      </c>
      <c r="G48" s="13">
        <v>3.98</v>
      </c>
      <c r="H48" s="13">
        <v>0</v>
      </c>
      <c r="I48" s="13">
        <f>(F48+G48+H48)*$I$4</f>
        <v>0.3588</v>
      </c>
      <c r="J48" s="13">
        <f>(F48+G48+H48+I48)*$J$4</f>
        <v>0.570492</v>
      </c>
      <c r="K48" s="13">
        <f t="shared" si="10"/>
        <v>6.909292</v>
      </c>
      <c r="L48" s="13">
        <f t="shared" si="11"/>
        <v>621.83628</v>
      </c>
    </row>
    <row r="49" s="1" customFormat="1" ht="56.25" spans="1:12">
      <c r="A49" s="29">
        <v>5</v>
      </c>
      <c r="B49" s="19" t="s">
        <v>162</v>
      </c>
      <c r="C49" s="19" t="s">
        <v>284</v>
      </c>
      <c r="D49" s="12" t="s">
        <v>136</v>
      </c>
      <c r="E49" s="16">
        <v>100</v>
      </c>
      <c r="F49" s="13">
        <v>2</v>
      </c>
      <c r="G49" s="13">
        <v>7.6</v>
      </c>
      <c r="H49" s="13">
        <v>0</v>
      </c>
      <c r="I49" s="13">
        <f>(F49+G49+H49)*$I$4</f>
        <v>0.576</v>
      </c>
      <c r="J49" s="13">
        <f>(F49+G49+H49+I49)*$J$4</f>
        <v>0.91584</v>
      </c>
      <c r="K49" s="13">
        <f t="shared" si="10"/>
        <v>11.09184</v>
      </c>
      <c r="L49" s="13">
        <f t="shared" si="11"/>
        <v>1109.184</v>
      </c>
    </row>
    <row r="50" s="1" customFormat="1" ht="56.25" spans="1:12">
      <c r="A50" s="29">
        <v>6</v>
      </c>
      <c r="B50" s="19" t="s">
        <v>162</v>
      </c>
      <c r="C50" s="19" t="s">
        <v>285</v>
      </c>
      <c r="D50" s="12" t="s">
        <v>136</v>
      </c>
      <c r="E50" s="16">
        <v>100</v>
      </c>
      <c r="F50" s="13">
        <v>2</v>
      </c>
      <c r="G50" s="13">
        <v>3.98</v>
      </c>
      <c r="H50" s="13">
        <v>0</v>
      </c>
      <c r="I50" s="13">
        <f>(F50+G50+H50)*$I$4</f>
        <v>0.3588</v>
      </c>
      <c r="J50" s="13">
        <f>(F50+G50+H50+I50)*$J$4</f>
        <v>0.570492</v>
      </c>
      <c r="K50" s="13">
        <f t="shared" si="10"/>
        <v>6.909292</v>
      </c>
      <c r="L50" s="13">
        <f t="shared" si="11"/>
        <v>690.9292</v>
      </c>
    </row>
    <row r="51" s="1" customFormat="1" ht="56.25" spans="1:12">
      <c r="A51" s="29">
        <v>7</v>
      </c>
      <c r="B51" s="19" t="s">
        <v>162</v>
      </c>
      <c r="C51" s="19" t="s">
        <v>286</v>
      </c>
      <c r="D51" s="12" t="s">
        <v>136</v>
      </c>
      <c r="E51" s="16">
        <v>100</v>
      </c>
      <c r="F51" s="13">
        <v>2</v>
      </c>
      <c r="G51" s="13">
        <v>3.8</v>
      </c>
      <c r="H51" s="13">
        <v>0</v>
      </c>
      <c r="I51" s="13">
        <f>(F51+G51+H51)*$I$4</f>
        <v>0.348</v>
      </c>
      <c r="J51" s="13">
        <f>(F51+G51+H51+I51)*$J$4</f>
        <v>0.55332</v>
      </c>
      <c r="K51" s="13">
        <f t="shared" si="10"/>
        <v>6.70132</v>
      </c>
      <c r="L51" s="13">
        <f t="shared" si="11"/>
        <v>670.132</v>
      </c>
    </row>
    <row r="52" s="1" customFormat="1" ht="56.25" spans="1:12">
      <c r="A52" s="29">
        <v>8</v>
      </c>
      <c r="B52" s="19" t="s">
        <v>162</v>
      </c>
      <c r="C52" s="19" t="s">
        <v>287</v>
      </c>
      <c r="D52" s="12" t="s">
        <v>136</v>
      </c>
      <c r="E52" s="16">
        <v>100</v>
      </c>
      <c r="F52" s="13">
        <v>2</v>
      </c>
      <c r="G52" s="13">
        <v>3.43</v>
      </c>
      <c r="H52" s="13">
        <v>0</v>
      </c>
      <c r="I52" s="13">
        <f>(F52+G52+H52)*$I$4</f>
        <v>0.3258</v>
      </c>
      <c r="J52" s="13">
        <f>(F52+G52+H52+I52)*$J$4</f>
        <v>0.518022</v>
      </c>
      <c r="K52" s="13">
        <f t="shared" si="10"/>
        <v>6.273822</v>
      </c>
      <c r="L52" s="13">
        <f t="shared" si="11"/>
        <v>627.3822</v>
      </c>
    </row>
    <row r="53" s="1" customFormat="1" ht="45" spans="1:12">
      <c r="A53" s="29">
        <v>9</v>
      </c>
      <c r="B53" s="19" t="s">
        <v>158</v>
      </c>
      <c r="C53" s="19" t="s">
        <v>288</v>
      </c>
      <c r="D53" s="12" t="s">
        <v>136</v>
      </c>
      <c r="E53" s="16">
        <v>100</v>
      </c>
      <c r="F53" s="13">
        <v>10</v>
      </c>
      <c r="G53" s="13">
        <v>4.5</v>
      </c>
      <c r="H53" s="13">
        <v>2.63</v>
      </c>
      <c r="I53" s="13">
        <f>(F53+G53+H53)*$I$4</f>
        <v>1.0278</v>
      </c>
      <c r="J53" s="13">
        <f>(F53+G53+H53+I53)*$J$4</f>
        <v>1.634202</v>
      </c>
      <c r="K53" s="13">
        <f t="shared" si="10"/>
        <v>19.792002</v>
      </c>
      <c r="L53" s="13">
        <f t="shared" si="11"/>
        <v>1979.2002</v>
      </c>
    </row>
    <row r="54" s="1" customFormat="1" ht="45" spans="1:12">
      <c r="A54" s="29">
        <v>10</v>
      </c>
      <c r="B54" s="19" t="s">
        <v>158</v>
      </c>
      <c r="C54" s="19" t="s">
        <v>289</v>
      </c>
      <c r="D54" s="12" t="s">
        <v>136</v>
      </c>
      <c r="E54" s="16">
        <v>100</v>
      </c>
      <c r="F54" s="13">
        <v>10</v>
      </c>
      <c r="G54" s="13">
        <v>6.73</v>
      </c>
      <c r="H54" s="13">
        <v>2.63</v>
      </c>
      <c r="I54" s="13">
        <f>(F54+G54+H54)*$I$4</f>
        <v>1.1616</v>
      </c>
      <c r="J54" s="13">
        <f>(F54+G54+H54+I54)*$J$4</f>
        <v>1.846944</v>
      </c>
      <c r="K54" s="13">
        <f t="shared" si="10"/>
        <v>22.368544</v>
      </c>
      <c r="L54" s="13">
        <f t="shared" si="11"/>
        <v>2236.8544</v>
      </c>
    </row>
    <row r="55" s="1" customFormat="1" ht="33.75" spans="1:12">
      <c r="A55" s="29">
        <v>11</v>
      </c>
      <c r="B55" s="19" t="s">
        <v>290</v>
      </c>
      <c r="C55" s="19" t="s">
        <v>291</v>
      </c>
      <c r="D55" s="12" t="s">
        <v>292</v>
      </c>
      <c r="E55" s="31">
        <v>1</v>
      </c>
      <c r="F55" s="13">
        <v>80</v>
      </c>
      <c r="G55" s="13">
        <v>35</v>
      </c>
      <c r="H55" s="13">
        <v>0</v>
      </c>
      <c r="I55" s="13">
        <f>(F55+G55+H55)*$I$4</f>
        <v>6.9</v>
      </c>
      <c r="J55" s="13">
        <f>(F55+G55+H55+I55)*$J$4</f>
        <v>10.971</v>
      </c>
      <c r="K55" s="13">
        <f t="shared" si="10"/>
        <v>132.871</v>
      </c>
      <c r="L55" s="13">
        <f t="shared" si="11"/>
        <v>132.871</v>
      </c>
    </row>
    <row r="56" s="1" customFormat="1" ht="33.75" spans="1:12">
      <c r="A56" s="29">
        <v>12</v>
      </c>
      <c r="B56" s="19" t="s">
        <v>293</v>
      </c>
      <c r="C56" s="19" t="s">
        <v>294</v>
      </c>
      <c r="D56" s="12" t="s">
        <v>80</v>
      </c>
      <c r="E56" s="31">
        <v>48</v>
      </c>
      <c r="F56" s="13">
        <v>80</v>
      </c>
      <c r="G56" s="13">
        <v>38</v>
      </c>
      <c r="H56" s="13">
        <v>0</v>
      </c>
      <c r="I56" s="13">
        <f>(F56+G56+H56)*$I$4</f>
        <v>7.08</v>
      </c>
      <c r="J56" s="13">
        <f>(F56+G56+H56+I56)*$J$4</f>
        <v>11.2572</v>
      </c>
      <c r="K56" s="13">
        <f t="shared" si="10"/>
        <v>136.3372</v>
      </c>
      <c r="L56" s="13">
        <f t="shared" si="11"/>
        <v>6544.1856</v>
      </c>
    </row>
    <row r="57" s="1" customFormat="1" ht="33.75" spans="1:12">
      <c r="A57" s="29">
        <v>13</v>
      </c>
      <c r="B57" s="19" t="s">
        <v>295</v>
      </c>
      <c r="C57" s="19" t="s">
        <v>296</v>
      </c>
      <c r="D57" s="12" t="s">
        <v>80</v>
      </c>
      <c r="E57" s="31">
        <v>2</v>
      </c>
      <c r="F57" s="13">
        <v>80</v>
      </c>
      <c r="G57" s="13">
        <v>38</v>
      </c>
      <c r="H57" s="13">
        <v>0</v>
      </c>
      <c r="I57" s="13">
        <f>(F57+G57+H57)*$I$4</f>
        <v>7.08</v>
      </c>
      <c r="J57" s="13">
        <f>(F57+G57+H57+I57)*$J$4</f>
        <v>11.2572</v>
      </c>
      <c r="K57" s="13">
        <f t="shared" si="10"/>
        <v>136.3372</v>
      </c>
      <c r="L57" s="13">
        <f t="shared" si="11"/>
        <v>272.6744</v>
      </c>
    </row>
    <row r="58" s="1" customFormat="1" ht="33.75" spans="1:12">
      <c r="A58" s="29">
        <v>14</v>
      </c>
      <c r="B58" s="19" t="s">
        <v>297</v>
      </c>
      <c r="C58" s="19" t="s">
        <v>298</v>
      </c>
      <c r="D58" s="12" t="s">
        <v>80</v>
      </c>
      <c r="E58" s="31">
        <v>5</v>
      </c>
      <c r="F58" s="13">
        <v>80</v>
      </c>
      <c r="G58" s="13">
        <v>45</v>
      </c>
      <c r="H58" s="13">
        <v>0</v>
      </c>
      <c r="I58" s="13">
        <f>(F58+G58+H58)*$I$4</f>
        <v>7.5</v>
      </c>
      <c r="J58" s="13">
        <f>(F58+G58+H58+I58)*$J$4</f>
        <v>11.925</v>
      </c>
      <c r="K58" s="13">
        <f t="shared" si="10"/>
        <v>144.425</v>
      </c>
      <c r="L58" s="13">
        <f t="shared" si="11"/>
        <v>722.125</v>
      </c>
    </row>
    <row r="59" s="1" customFormat="1" ht="33.75" spans="1:12">
      <c r="A59" s="29">
        <v>15</v>
      </c>
      <c r="B59" s="19" t="s">
        <v>299</v>
      </c>
      <c r="C59" s="19" t="s">
        <v>300</v>
      </c>
      <c r="D59" s="12" t="s">
        <v>80</v>
      </c>
      <c r="E59" s="31">
        <v>4</v>
      </c>
      <c r="F59" s="13">
        <v>80</v>
      </c>
      <c r="G59" s="13">
        <v>52</v>
      </c>
      <c r="H59" s="13">
        <v>0</v>
      </c>
      <c r="I59" s="13">
        <f>(F59+G59+H59)*$I$4</f>
        <v>7.92</v>
      </c>
      <c r="J59" s="13">
        <f>(F59+G59+H59+I59)*$J$4</f>
        <v>12.5928</v>
      </c>
      <c r="K59" s="13">
        <f t="shared" si="10"/>
        <v>152.5128</v>
      </c>
      <c r="L59" s="13">
        <f t="shared" si="11"/>
        <v>610.0512</v>
      </c>
    </row>
    <row r="60" s="1" customFormat="1" ht="33.75" spans="1:12">
      <c r="A60" s="29">
        <v>16</v>
      </c>
      <c r="B60" s="19" t="s">
        <v>301</v>
      </c>
      <c r="C60" s="19" t="s">
        <v>302</v>
      </c>
      <c r="D60" s="12" t="s">
        <v>80</v>
      </c>
      <c r="E60" s="31">
        <v>6</v>
      </c>
      <c r="F60" s="13">
        <v>80</v>
      </c>
      <c r="G60" s="13">
        <v>45</v>
      </c>
      <c r="H60" s="13">
        <v>0</v>
      </c>
      <c r="I60" s="13">
        <f>(F60+G60+H60)*$I$4</f>
        <v>7.5</v>
      </c>
      <c r="J60" s="13">
        <f>(F60+G60+H60+I60)*$J$4</f>
        <v>11.925</v>
      </c>
      <c r="K60" s="13">
        <f t="shared" si="10"/>
        <v>144.425</v>
      </c>
      <c r="L60" s="13">
        <f t="shared" si="11"/>
        <v>866.55</v>
      </c>
    </row>
    <row r="61" s="1" customFormat="1" ht="33.75" spans="1:12">
      <c r="A61" s="29">
        <v>17</v>
      </c>
      <c r="B61" s="19" t="s">
        <v>303</v>
      </c>
      <c r="C61" s="19" t="s">
        <v>304</v>
      </c>
      <c r="D61" s="12" t="s">
        <v>80</v>
      </c>
      <c r="E61" s="31">
        <v>1</v>
      </c>
      <c r="F61" s="13">
        <v>85</v>
      </c>
      <c r="G61" s="13">
        <v>80</v>
      </c>
      <c r="H61" s="13">
        <v>0</v>
      </c>
      <c r="I61" s="13">
        <f>(F61+G61+H61)*$I$4</f>
        <v>9.9</v>
      </c>
      <c r="J61" s="13">
        <f>(F61+G61+H61+I61)*$J$4</f>
        <v>15.741</v>
      </c>
      <c r="K61" s="13">
        <f t="shared" si="10"/>
        <v>190.641</v>
      </c>
      <c r="L61" s="13">
        <f t="shared" si="11"/>
        <v>190.641</v>
      </c>
    </row>
    <row r="62" s="1" customFormat="1" ht="33.75" spans="1:12">
      <c r="A62" s="29">
        <v>18</v>
      </c>
      <c r="B62" s="19" t="s">
        <v>305</v>
      </c>
      <c r="C62" s="19" t="s">
        <v>306</v>
      </c>
      <c r="D62" s="12" t="s">
        <v>80</v>
      </c>
      <c r="E62" s="31">
        <v>8</v>
      </c>
      <c r="F62" s="13">
        <v>80</v>
      </c>
      <c r="G62" s="13">
        <v>40</v>
      </c>
      <c r="H62" s="13">
        <v>0</v>
      </c>
      <c r="I62" s="13">
        <f>(F62+G62+H62)*$I$4</f>
        <v>7.2</v>
      </c>
      <c r="J62" s="13">
        <f>(F62+G62+H62+I62)*$J$4</f>
        <v>11.448</v>
      </c>
      <c r="K62" s="13">
        <f t="shared" si="10"/>
        <v>138.648</v>
      </c>
      <c r="L62" s="13">
        <f t="shared" si="11"/>
        <v>1109.184</v>
      </c>
    </row>
    <row r="63" s="1" customFormat="1" ht="33.75" spans="1:12">
      <c r="A63" s="29">
        <v>19</v>
      </c>
      <c r="B63" s="19" t="s">
        <v>307</v>
      </c>
      <c r="C63" s="19" t="s">
        <v>308</v>
      </c>
      <c r="D63" s="12" t="s">
        <v>80</v>
      </c>
      <c r="E63" s="31">
        <v>1</v>
      </c>
      <c r="F63" s="13">
        <v>80</v>
      </c>
      <c r="G63" s="13">
        <v>130</v>
      </c>
      <c r="H63" s="13">
        <v>1</v>
      </c>
      <c r="I63" s="13">
        <f>(F63+G63+H63)*$I$4</f>
        <v>12.66</v>
      </c>
      <c r="J63" s="13">
        <f>(F63+G63+H63+I63)*$J$4</f>
        <v>20.1294</v>
      </c>
      <c r="K63" s="13">
        <f t="shared" si="10"/>
        <v>243.7894</v>
      </c>
      <c r="L63" s="13">
        <f t="shared" si="11"/>
        <v>243.7894</v>
      </c>
    </row>
    <row r="64" s="1" customFormat="1" ht="33.75" spans="1:12">
      <c r="A64" s="29">
        <v>20</v>
      </c>
      <c r="B64" s="19" t="s">
        <v>309</v>
      </c>
      <c r="C64" s="19" t="s">
        <v>310</v>
      </c>
      <c r="D64" s="12" t="s">
        <v>80</v>
      </c>
      <c r="E64" s="31">
        <v>5</v>
      </c>
      <c r="F64" s="13">
        <v>85</v>
      </c>
      <c r="G64" s="13">
        <v>52</v>
      </c>
      <c r="H64" s="13">
        <v>1</v>
      </c>
      <c r="I64" s="13">
        <f>(F64+G64+H64)*$I$4</f>
        <v>8.28</v>
      </c>
      <c r="J64" s="13">
        <f>(F64+G64+H64+I64)*$J$4</f>
        <v>13.1652</v>
      </c>
      <c r="K64" s="13">
        <f t="shared" si="10"/>
        <v>159.4452</v>
      </c>
      <c r="L64" s="13">
        <f t="shared" si="11"/>
        <v>797.226</v>
      </c>
    </row>
    <row r="65" s="1" customFormat="1" ht="33.75" spans="1:12">
      <c r="A65" s="29">
        <v>21</v>
      </c>
      <c r="B65" s="19" t="s">
        <v>311</v>
      </c>
      <c r="C65" s="19" t="s">
        <v>312</v>
      </c>
      <c r="D65" s="12" t="s">
        <v>80</v>
      </c>
      <c r="E65" s="31">
        <v>2</v>
      </c>
      <c r="F65" s="13">
        <v>85</v>
      </c>
      <c r="G65" s="13">
        <v>78</v>
      </c>
      <c r="H65" s="13">
        <v>1</v>
      </c>
      <c r="I65" s="13">
        <f>(F65+G65+H65)*$I$4</f>
        <v>9.84</v>
      </c>
      <c r="J65" s="13">
        <f>(F65+G65+H65+I65)*$J$4</f>
        <v>15.6456</v>
      </c>
      <c r="K65" s="13">
        <f t="shared" si="10"/>
        <v>189.4856</v>
      </c>
      <c r="L65" s="13">
        <f t="shared" si="11"/>
        <v>378.9712</v>
      </c>
    </row>
    <row r="66" s="1" customFormat="1" ht="33.75" spans="1:12">
      <c r="A66" s="29">
        <v>22</v>
      </c>
      <c r="B66" s="19" t="s">
        <v>313</v>
      </c>
      <c r="C66" s="19" t="s">
        <v>314</v>
      </c>
      <c r="D66" s="12" t="s">
        <v>80</v>
      </c>
      <c r="E66" s="31">
        <v>2</v>
      </c>
      <c r="F66" s="13">
        <v>85</v>
      </c>
      <c r="G66" s="13">
        <v>85</v>
      </c>
      <c r="H66" s="13">
        <v>1</v>
      </c>
      <c r="I66" s="13">
        <f>(F66+G66+H66)*$I$4</f>
        <v>10.26</v>
      </c>
      <c r="J66" s="13">
        <f>(F66+G66+H66+I66)*$J$4</f>
        <v>16.3134</v>
      </c>
      <c r="K66" s="13">
        <f t="shared" si="10"/>
        <v>197.5734</v>
      </c>
      <c r="L66" s="13">
        <f t="shared" si="11"/>
        <v>395.1468</v>
      </c>
    </row>
    <row r="67" s="1" customFormat="1" ht="33.75" spans="1:12">
      <c r="A67" s="29">
        <v>23</v>
      </c>
      <c r="B67" s="19" t="s">
        <v>315</v>
      </c>
      <c r="C67" s="19" t="s">
        <v>316</v>
      </c>
      <c r="D67" s="12" t="s">
        <v>80</v>
      </c>
      <c r="E67" s="31">
        <v>1</v>
      </c>
      <c r="F67" s="13">
        <v>100</v>
      </c>
      <c r="G67" s="13">
        <v>84</v>
      </c>
      <c r="H67" s="13">
        <v>1</v>
      </c>
      <c r="I67" s="13">
        <f>(F67+G67+H67)*$I$4</f>
        <v>11.1</v>
      </c>
      <c r="J67" s="13">
        <f>(F67+G67+H67+I67)*$J$4</f>
        <v>17.649</v>
      </c>
      <c r="K67" s="13">
        <f t="shared" si="10"/>
        <v>213.749</v>
      </c>
      <c r="L67" s="13">
        <f t="shared" si="11"/>
        <v>213.749</v>
      </c>
    </row>
    <row r="68" s="1" customFormat="1" ht="33.75" spans="1:12">
      <c r="A68" s="29">
        <v>24</v>
      </c>
      <c r="B68" s="19" t="s">
        <v>317</v>
      </c>
      <c r="C68" s="19" t="s">
        <v>318</v>
      </c>
      <c r="D68" s="12" t="s">
        <v>80</v>
      </c>
      <c r="E68" s="31">
        <v>1</v>
      </c>
      <c r="F68" s="13">
        <v>85</v>
      </c>
      <c r="G68" s="13">
        <v>90</v>
      </c>
      <c r="H68" s="13">
        <v>1</v>
      </c>
      <c r="I68" s="13">
        <f>(F68+G68+H68)*$I$4</f>
        <v>10.56</v>
      </c>
      <c r="J68" s="13">
        <f>(F68+G68+H68+I68)*$J$4</f>
        <v>16.7904</v>
      </c>
      <c r="K68" s="13">
        <f t="shared" si="10"/>
        <v>203.3504</v>
      </c>
      <c r="L68" s="13">
        <f t="shared" si="11"/>
        <v>203.3504</v>
      </c>
    </row>
    <row r="69" s="1" customFormat="1" ht="33.75" spans="1:12">
      <c r="A69" s="29">
        <v>25</v>
      </c>
      <c r="B69" s="19" t="s">
        <v>319</v>
      </c>
      <c r="C69" s="19" t="s">
        <v>320</v>
      </c>
      <c r="D69" s="12" t="s">
        <v>80</v>
      </c>
      <c r="E69" s="31">
        <v>1</v>
      </c>
      <c r="F69" s="13">
        <v>400</v>
      </c>
      <c r="G69" s="13">
        <v>450</v>
      </c>
      <c r="H69" s="13">
        <v>10</v>
      </c>
      <c r="I69" s="13">
        <f>(F69+G69+H69)*$I$4</f>
        <v>51.6</v>
      </c>
      <c r="J69" s="13">
        <f>(F69+G69+H69+I69)*$J$4</f>
        <v>82.044</v>
      </c>
      <c r="K69" s="13">
        <f t="shared" si="10"/>
        <v>993.644</v>
      </c>
      <c r="L69" s="13">
        <f t="shared" si="11"/>
        <v>993.644</v>
      </c>
    </row>
    <row r="70" s="1" customFormat="1" ht="33" customHeight="1" spans="1:12">
      <c r="A70" s="6" t="s">
        <v>321</v>
      </c>
      <c r="B70" s="9" t="s">
        <v>322</v>
      </c>
      <c r="C70" s="10"/>
      <c r="D70" s="11"/>
      <c r="E70" s="12"/>
      <c r="F70" s="13"/>
      <c r="G70" s="13"/>
      <c r="H70" s="13"/>
      <c r="I70" s="13"/>
      <c r="J70" s="13"/>
      <c r="K70" s="13"/>
      <c r="L70" s="13"/>
    </row>
    <row r="71" s="2" customFormat="1" ht="45" spans="1:12">
      <c r="A71" s="12">
        <v>1</v>
      </c>
      <c r="B71" s="19" t="s">
        <v>323</v>
      </c>
      <c r="C71" s="36" t="s">
        <v>324</v>
      </c>
      <c r="D71" s="12" t="s">
        <v>136</v>
      </c>
      <c r="E71" s="31">
        <v>160</v>
      </c>
      <c r="F71" s="13">
        <v>20</v>
      </c>
      <c r="G71" s="13">
        <v>7.17</v>
      </c>
      <c r="H71" s="13">
        <v>0</v>
      </c>
      <c r="I71" s="13">
        <f>(F71+G71+H71)*$I$4</f>
        <v>1.6302</v>
      </c>
      <c r="J71" s="13">
        <f>(F71+G71+H71+I71)*$J$4</f>
        <v>2.592018</v>
      </c>
      <c r="K71" s="13">
        <f t="shared" ref="K71:K76" si="12">F71+G71+H71+I71+J71</f>
        <v>31.392218</v>
      </c>
      <c r="L71" s="13">
        <f t="shared" ref="L71:L76" si="13">K71*E71</f>
        <v>5022.75488</v>
      </c>
    </row>
    <row r="72" s="1" customFormat="1" ht="33.75" spans="1:12">
      <c r="A72" s="29">
        <v>2</v>
      </c>
      <c r="B72" s="37" t="s">
        <v>325</v>
      </c>
      <c r="C72" s="19" t="s">
        <v>326</v>
      </c>
      <c r="D72" s="12" t="s">
        <v>84</v>
      </c>
      <c r="E72" s="16">
        <v>0.41</v>
      </c>
      <c r="F72" s="13">
        <v>300</v>
      </c>
      <c r="G72" s="13"/>
      <c r="H72" s="13"/>
      <c r="I72" s="13">
        <f>(F72+G72+H72)*$I$4</f>
        <v>18</v>
      </c>
      <c r="J72" s="13">
        <f>(F72+G72+H72+I72)*$J$4</f>
        <v>28.62</v>
      </c>
      <c r="K72" s="13">
        <f t="shared" si="12"/>
        <v>346.62</v>
      </c>
      <c r="L72" s="13">
        <f t="shared" si="13"/>
        <v>142.1142</v>
      </c>
    </row>
    <row r="73" s="1" customFormat="1" ht="33" customHeight="1" spans="1:12">
      <c r="A73" s="6" t="s">
        <v>327</v>
      </c>
      <c r="B73" s="9" t="s">
        <v>328</v>
      </c>
      <c r="C73" s="10"/>
      <c r="D73" s="11"/>
      <c r="E73" s="12"/>
      <c r="F73" s="13"/>
      <c r="G73" s="13"/>
      <c r="H73" s="13"/>
      <c r="I73" s="13"/>
      <c r="J73" s="13"/>
      <c r="K73" s="13"/>
      <c r="L73" s="13"/>
    </row>
    <row r="74" s="1" customFormat="1" ht="45" spans="1:12">
      <c r="A74" s="16">
        <v>1</v>
      </c>
      <c r="B74" s="38" t="s">
        <v>162</v>
      </c>
      <c r="C74" s="19" t="s">
        <v>329</v>
      </c>
      <c r="D74" s="12" t="s">
        <v>136</v>
      </c>
      <c r="E74" s="16">
        <v>82.38</v>
      </c>
      <c r="F74" s="13">
        <v>3</v>
      </c>
      <c r="G74" s="13">
        <v>2.6</v>
      </c>
      <c r="H74" s="13">
        <v>1</v>
      </c>
      <c r="I74" s="13">
        <f>(F74+G74+H74)*$I$4</f>
        <v>0.396</v>
      </c>
      <c r="J74" s="13">
        <f>(F74+G74+H74+I74)*$J$4</f>
        <v>0.62964</v>
      </c>
      <c r="K74" s="13">
        <f t="shared" si="12"/>
        <v>7.62564</v>
      </c>
      <c r="L74" s="13">
        <f t="shared" si="13"/>
        <v>628.2002232</v>
      </c>
    </row>
    <row r="75" s="1" customFormat="1" ht="45" spans="1:12">
      <c r="A75" s="16">
        <v>2</v>
      </c>
      <c r="B75" s="38" t="s">
        <v>158</v>
      </c>
      <c r="C75" s="19" t="s">
        <v>289</v>
      </c>
      <c r="D75" s="12" t="s">
        <v>136</v>
      </c>
      <c r="E75" s="16">
        <v>15.25</v>
      </c>
      <c r="F75" s="13">
        <v>10</v>
      </c>
      <c r="G75" s="13">
        <v>6.73</v>
      </c>
      <c r="H75" s="13">
        <v>2.63</v>
      </c>
      <c r="I75" s="13">
        <f>(F75+G75+H75)*$I$4</f>
        <v>1.1616</v>
      </c>
      <c r="J75" s="13">
        <f>(F75+G75+H75+I75)*$J$4</f>
        <v>1.846944</v>
      </c>
      <c r="K75" s="13">
        <f t="shared" si="12"/>
        <v>22.368544</v>
      </c>
      <c r="L75" s="13">
        <f t="shared" si="13"/>
        <v>341.120296</v>
      </c>
    </row>
    <row r="76" s="1" customFormat="1" ht="67.5" spans="1:12">
      <c r="A76" s="16">
        <v>3</v>
      </c>
      <c r="B76" s="39" t="s">
        <v>330</v>
      </c>
      <c r="C76" s="39" t="s">
        <v>331</v>
      </c>
      <c r="D76" s="40" t="s">
        <v>292</v>
      </c>
      <c r="E76" s="16">
        <v>4</v>
      </c>
      <c r="F76" s="41">
        <v>50</v>
      </c>
      <c r="G76" s="41">
        <v>210</v>
      </c>
      <c r="H76" s="41">
        <v>15</v>
      </c>
      <c r="I76" s="13">
        <f>(F76+G76+H76)*$I$4</f>
        <v>16.5</v>
      </c>
      <c r="J76" s="13">
        <f>(F76+G76+H76+I76)*$J$4</f>
        <v>26.235</v>
      </c>
      <c r="K76" s="13">
        <f t="shared" si="12"/>
        <v>317.735</v>
      </c>
      <c r="L76" s="13">
        <f t="shared" si="13"/>
        <v>1270.94</v>
      </c>
    </row>
    <row r="77" s="1" customFormat="1" ht="33" customHeight="1" spans="1:12">
      <c r="A77" s="6" t="s">
        <v>332</v>
      </c>
      <c r="B77" s="9" t="s">
        <v>333</v>
      </c>
      <c r="C77" s="10"/>
      <c r="D77" s="11"/>
      <c r="E77" s="12"/>
      <c r="F77" s="13"/>
      <c r="G77" s="13"/>
      <c r="H77" s="13"/>
      <c r="I77" s="13"/>
      <c r="J77" s="13"/>
      <c r="K77" s="13"/>
      <c r="L77" s="13"/>
    </row>
    <row r="78" s="1" customFormat="1" spans="1:12">
      <c r="A78" s="16">
        <v>1</v>
      </c>
      <c r="B78" s="42" t="s">
        <v>334</v>
      </c>
      <c r="C78" s="42" t="s">
        <v>335</v>
      </c>
      <c r="D78" s="16" t="s">
        <v>80</v>
      </c>
      <c r="E78" s="16">
        <v>16</v>
      </c>
      <c r="F78" s="13">
        <v>100</v>
      </c>
      <c r="G78" s="13">
        <v>60</v>
      </c>
      <c r="H78" s="13"/>
      <c r="I78" s="13">
        <f>(F78+G78+H78)*$I$4</f>
        <v>9.6</v>
      </c>
      <c r="J78" s="13">
        <f>(F78+G78+H78+I78)*$J$4</f>
        <v>15.264</v>
      </c>
      <c r="K78" s="13">
        <f t="shared" ref="K78:K89" si="14">F78+G78+H78+I78+J78</f>
        <v>184.864</v>
      </c>
      <c r="L78" s="13">
        <f t="shared" ref="L78:L89" si="15">K78*E78</f>
        <v>2957.824</v>
      </c>
    </row>
    <row r="79" s="1" customFormat="1" spans="1:12">
      <c r="A79" s="16">
        <v>2</v>
      </c>
      <c r="B79" s="38" t="s">
        <v>336</v>
      </c>
      <c r="C79" s="43" t="s">
        <v>337</v>
      </c>
      <c r="D79" s="16" t="s">
        <v>80</v>
      </c>
      <c r="E79" s="16">
        <v>16</v>
      </c>
      <c r="F79" s="13">
        <v>110</v>
      </c>
      <c r="G79" s="13">
        <v>230</v>
      </c>
      <c r="H79" s="13"/>
      <c r="I79" s="13">
        <f>(F79+G79+H79)*$I$4</f>
        <v>20.4</v>
      </c>
      <c r="J79" s="13">
        <f>(F79+G79+H79+I79)*$J$4</f>
        <v>32.436</v>
      </c>
      <c r="K79" s="13">
        <f t="shared" si="14"/>
        <v>392.836</v>
      </c>
      <c r="L79" s="13">
        <f t="shared" si="15"/>
        <v>6285.376</v>
      </c>
    </row>
    <row r="80" s="1" customFormat="1" ht="33" customHeight="1" spans="1:12">
      <c r="A80" s="6" t="s">
        <v>338</v>
      </c>
      <c r="B80" s="9" t="s">
        <v>339</v>
      </c>
      <c r="C80" s="10"/>
      <c r="D80" s="11"/>
      <c r="E80" s="12"/>
      <c r="F80" s="13"/>
      <c r="G80" s="13"/>
      <c r="H80" s="13"/>
      <c r="I80" s="13"/>
      <c r="J80" s="13"/>
      <c r="K80" s="13"/>
      <c r="L80" s="13"/>
    </row>
    <row r="81" s="1" customFormat="1" ht="67.5" spans="1:12">
      <c r="A81" s="44">
        <v>1</v>
      </c>
      <c r="B81" s="39" t="s">
        <v>330</v>
      </c>
      <c r="C81" s="39" t="s">
        <v>331</v>
      </c>
      <c r="D81" s="40" t="s">
        <v>292</v>
      </c>
      <c r="E81" s="16">
        <v>4</v>
      </c>
      <c r="F81" s="13">
        <v>100</v>
      </c>
      <c r="G81" s="13">
        <v>210</v>
      </c>
      <c r="H81" s="13">
        <v>30</v>
      </c>
      <c r="I81" s="13">
        <f>(F81+G81+H81)*$I$4</f>
        <v>20.4</v>
      </c>
      <c r="J81" s="13">
        <f>(F81+G81+H81+I81)*$J$4</f>
        <v>32.436</v>
      </c>
      <c r="K81" s="13">
        <f t="shared" si="14"/>
        <v>392.836</v>
      </c>
      <c r="L81" s="13">
        <f t="shared" si="15"/>
        <v>1571.344</v>
      </c>
    </row>
    <row r="82" s="1" customFormat="1" ht="88" customHeight="1" spans="1:12">
      <c r="A82" s="45">
        <v>2</v>
      </c>
      <c r="B82" s="46" t="s">
        <v>340</v>
      </c>
      <c r="C82" s="47" t="s">
        <v>341</v>
      </c>
      <c r="D82" s="48" t="s">
        <v>292</v>
      </c>
      <c r="E82" s="16">
        <v>2</v>
      </c>
      <c r="F82" s="13">
        <v>50</v>
      </c>
      <c r="G82" s="13">
        <v>800</v>
      </c>
      <c r="H82" s="13">
        <v>15</v>
      </c>
      <c r="I82" s="13">
        <f>(F82+G82+H82)*$I$4</f>
        <v>51.9</v>
      </c>
      <c r="J82" s="13">
        <f>(F82+G82+H82+I82)*$J$4</f>
        <v>82.521</v>
      </c>
      <c r="K82" s="13">
        <f t="shared" si="14"/>
        <v>999.421</v>
      </c>
      <c r="L82" s="13">
        <f t="shared" si="15"/>
        <v>1998.842</v>
      </c>
    </row>
    <row r="83" s="1" customFormat="1" ht="88" customHeight="1" spans="1:12">
      <c r="A83" s="16">
        <v>3</v>
      </c>
      <c r="B83" s="46" t="s">
        <v>342</v>
      </c>
      <c r="C83" s="47" t="s">
        <v>343</v>
      </c>
      <c r="D83" s="48" t="s">
        <v>169</v>
      </c>
      <c r="E83" s="16">
        <v>4</v>
      </c>
      <c r="F83" s="13">
        <v>150</v>
      </c>
      <c r="G83" s="13">
        <v>1900</v>
      </c>
      <c r="H83" s="13">
        <v>15</v>
      </c>
      <c r="I83" s="13">
        <f>(F83+G83+H83)*$I$4</f>
        <v>123.9</v>
      </c>
      <c r="J83" s="13">
        <f>(F83+G83+H83+I83)*$J$4</f>
        <v>197.001</v>
      </c>
      <c r="K83" s="13">
        <f t="shared" si="14"/>
        <v>2385.901</v>
      </c>
      <c r="L83" s="13">
        <f t="shared" si="15"/>
        <v>9543.604</v>
      </c>
    </row>
    <row r="84" s="1" customFormat="1" ht="88" customHeight="1" spans="1:12">
      <c r="A84" s="44">
        <v>4</v>
      </c>
      <c r="B84" s="46" t="s">
        <v>344</v>
      </c>
      <c r="C84" s="47" t="s">
        <v>345</v>
      </c>
      <c r="D84" s="48" t="s">
        <v>169</v>
      </c>
      <c r="E84" s="16">
        <v>4</v>
      </c>
      <c r="F84" s="13">
        <v>150</v>
      </c>
      <c r="G84" s="13">
        <v>3000</v>
      </c>
      <c r="H84" s="13">
        <v>15</v>
      </c>
      <c r="I84" s="13">
        <f>(F84+G84+H84)*$I$4</f>
        <v>189.9</v>
      </c>
      <c r="J84" s="13">
        <f>(F84+G84+H84+I84)*$J$4</f>
        <v>301.941</v>
      </c>
      <c r="K84" s="13">
        <f t="shared" si="14"/>
        <v>3656.841</v>
      </c>
      <c r="L84" s="13">
        <f t="shared" si="15"/>
        <v>14627.364</v>
      </c>
    </row>
    <row r="85" s="1" customFormat="1" ht="45" spans="1:12">
      <c r="A85" s="45">
        <v>5</v>
      </c>
      <c r="B85" s="19" t="s">
        <v>162</v>
      </c>
      <c r="C85" s="19" t="s">
        <v>346</v>
      </c>
      <c r="D85" s="12" t="s">
        <v>136</v>
      </c>
      <c r="E85" s="16">
        <v>65</v>
      </c>
      <c r="F85" s="13">
        <v>3</v>
      </c>
      <c r="G85" s="13">
        <v>16</v>
      </c>
      <c r="H85" s="13">
        <v>1</v>
      </c>
      <c r="I85" s="13">
        <f>(F85+G85+H85)*$I$4</f>
        <v>1.2</v>
      </c>
      <c r="J85" s="13">
        <f>(F85+G85+H85+I85)*$J$4</f>
        <v>1.908</v>
      </c>
      <c r="K85" s="13">
        <f t="shared" si="14"/>
        <v>23.108</v>
      </c>
      <c r="L85" s="13">
        <f t="shared" si="15"/>
        <v>1502.02</v>
      </c>
    </row>
    <row r="86" s="1" customFormat="1" ht="45" spans="1:12">
      <c r="A86" s="16">
        <v>6</v>
      </c>
      <c r="B86" s="19" t="s">
        <v>162</v>
      </c>
      <c r="C86" s="19" t="s">
        <v>347</v>
      </c>
      <c r="D86" s="12" t="s">
        <v>136</v>
      </c>
      <c r="E86" s="16">
        <v>65</v>
      </c>
      <c r="F86" s="13">
        <v>3</v>
      </c>
      <c r="G86" s="13">
        <v>9</v>
      </c>
      <c r="H86" s="13">
        <v>1</v>
      </c>
      <c r="I86" s="13">
        <f>(F86+G86+H86)*$I$4</f>
        <v>0.78</v>
      </c>
      <c r="J86" s="13">
        <f>(F86+G86+H86+I86)*$J$4</f>
        <v>1.2402</v>
      </c>
      <c r="K86" s="13">
        <f t="shared" si="14"/>
        <v>15.0202</v>
      </c>
      <c r="L86" s="13">
        <f t="shared" si="15"/>
        <v>976.313</v>
      </c>
    </row>
    <row r="87" s="1" customFormat="1" ht="45" spans="1:12">
      <c r="A87" s="44">
        <v>7</v>
      </c>
      <c r="B87" s="19" t="s">
        <v>162</v>
      </c>
      <c r="C87" s="19" t="s">
        <v>348</v>
      </c>
      <c r="D87" s="12" t="s">
        <v>136</v>
      </c>
      <c r="E87" s="16">
        <v>10</v>
      </c>
      <c r="F87" s="13">
        <v>3</v>
      </c>
      <c r="G87" s="13">
        <v>2.6</v>
      </c>
      <c r="H87" s="13">
        <v>1</v>
      </c>
      <c r="I87" s="13">
        <f>(F87+G87+H87)*$I$4</f>
        <v>0.396</v>
      </c>
      <c r="J87" s="13">
        <f>(F87+G87+H87+I87)*$J$4</f>
        <v>0.62964</v>
      </c>
      <c r="K87" s="13">
        <f t="shared" si="14"/>
        <v>7.62564</v>
      </c>
      <c r="L87" s="13">
        <f t="shared" si="15"/>
        <v>76.2564</v>
      </c>
    </row>
    <row r="88" s="1" customFormat="1" ht="45" spans="1:12">
      <c r="A88" s="45">
        <v>8</v>
      </c>
      <c r="B88" s="19" t="s">
        <v>162</v>
      </c>
      <c r="C88" s="19" t="s">
        <v>329</v>
      </c>
      <c r="D88" s="12" t="s">
        <v>136</v>
      </c>
      <c r="E88" s="16">
        <v>150</v>
      </c>
      <c r="F88" s="13">
        <v>3</v>
      </c>
      <c r="G88" s="13">
        <v>2.6</v>
      </c>
      <c r="H88" s="13">
        <v>1</v>
      </c>
      <c r="I88" s="13">
        <f>(F88+G88+H88)*$I$4</f>
        <v>0.396</v>
      </c>
      <c r="J88" s="13">
        <f>(F88+G88+H88+I88)*$J$4</f>
        <v>0.62964</v>
      </c>
      <c r="K88" s="13">
        <f t="shared" si="14"/>
        <v>7.62564</v>
      </c>
      <c r="L88" s="13">
        <f t="shared" si="15"/>
        <v>1143.846</v>
      </c>
    </row>
    <row r="89" s="1" customFormat="1" ht="45" spans="1:12">
      <c r="A89" s="16">
        <v>9</v>
      </c>
      <c r="B89" s="19" t="s">
        <v>162</v>
      </c>
      <c r="C89" s="19" t="s">
        <v>349</v>
      </c>
      <c r="D89" s="12" t="s">
        <v>136</v>
      </c>
      <c r="E89" s="16">
        <v>70</v>
      </c>
      <c r="F89" s="13">
        <v>3</v>
      </c>
      <c r="G89" s="13">
        <v>3</v>
      </c>
      <c r="H89" s="13">
        <v>1</v>
      </c>
      <c r="I89" s="13">
        <f>(F89+G89+H89)*$I$4</f>
        <v>0.42</v>
      </c>
      <c r="J89" s="13">
        <f>(F89+G89+H89+I89)*$J$4</f>
        <v>0.6678</v>
      </c>
      <c r="K89" s="13">
        <f t="shared" si="14"/>
        <v>8.0878</v>
      </c>
      <c r="L89" s="13">
        <f t="shared" si="15"/>
        <v>566.146</v>
      </c>
    </row>
    <row r="90" s="1" customFormat="1" ht="33" customHeight="1" spans="1:12">
      <c r="A90" s="6" t="s">
        <v>350</v>
      </c>
      <c r="B90" s="9" t="s">
        <v>351</v>
      </c>
      <c r="C90" s="10"/>
      <c r="D90" s="11"/>
      <c r="E90" s="12"/>
      <c r="F90" s="13"/>
      <c r="G90" s="13"/>
      <c r="H90" s="13"/>
      <c r="I90" s="13"/>
      <c r="J90" s="13"/>
      <c r="K90" s="13"/>
      <c r="L90" s="13"/>
    </row>
    <row r="91" s="1" customFormat="1" ht="45" spans="1:12">
      <c r="A91" s="45">
        <v>1</v>
      </c>
      <c r="B91" s="19" t="s">
        <v>352</v>
      </c>
      <c r="C91" s="19" t="s">
        <v>353</v>
      </c>
      <c r="D91" s="12" t="s">
        <v>136</v>
      </c>
      <c r="E91" s="16">
        <v>20</v>
      </c>
      <c r="F91" s="13">
        <f t="shared" ref="F91:F95" si="16">45</f>
        <v>45</v>
      </c>
      <c r="G91" s="13">
        <v>9.73</v>
      </c>
      <c r="H91" s="13">
        <v>1</v>
      </c>
      <c r="I91" s="13">
        <f>(F91+G91+H91)*$I$4</f>
        <v>3.3438</v>
      </c>
      <c r="J91" s="13">
        <f>(F91+G91+H91+I91)*$J$4</f>
        <v>5.316642</v>
      </c>
      <c r="K91" s="13">
        <f t="shared" ref="K91:K95" si="17">F91+G91+H91+I91+J91</f>
        <v>64.390442</v>
      </c>
      <c r="L91" s="13">
        <f t="shared" ref="L91:L95" si="18">K91*E91</f>
        <v>1287.80884</v>
      </c>
    </row>
    <row r="92" s="1" customFormat="1" ht="45" spans="1:12">
      <c r="A92" s="16">
        <v>2</v>
      </c>
      <c r="B92" s="19" t="s">
        <v>352</v>
      </c>
      <c r="C92" s="19" t="s">
        <v>354</v>
      </c>
      <c r="D92" s="12" t="s">
        <v>136</v>
      </c>
      <c r="E92" s="16">
        <v>20</v>
      </c>
      <c r="F92" s="13">
        <f t="shared" si="16"/>
        <v>45</v>
      </c>
      <c r="G92" s="13">
        <v>26.55</v>
      </c>
      <c r="H92" s="13">
        <v>1</v>
      </c>
      <c r="I92" s="13">
        <f>(F92+G92+H92)*$I$4</f>
        <v>4.353</v>
      </c>
      <c r="J92" s="13">
        <f>(F92+G92+H92+I92)*$J$4</f>
        <v>6.92127</v>
      </c>
      <c r="K92" s="13">
        <f t="shared" si="17"/>
        <v>83.82427</v>
      </c>
      <c r="L92" s="13">
        <f t="shared" si="18"/>
        <v>1676.4854</v>
      </c>
    </row>
    <row r="93" s="1" customFormat="1" ht="45" spans="1:12">
      <c r="A93" s="45">
        <v>3</v>
      </c>
      <c r="B93" s="19" t="s">
        <v>352</v>
      </c>
      <c r="C93" s="19" t="s">
        <v>355</v>
      </c>
      <c r="D93" s="12" t="s">
        <v>136</v>
      </c>
      <c r="E93" s="16">
        <v>50</v>
      </c>
      <c r="F93" s="13">
        <f t="shared" si="16"/>
        <v>45</v>
      </c>
      <c r="G93" s="13">
        <v>63.05</v>
      </c>
      <c r="H93" s="13">
        <v>1</v>
      </c>
      <c r="I93" s="13">
        <f>(F93+G93+H93)*$I$4</f>
        <v>6.543</v>
      </c>
      <c r="J93" s="13">
        <f>(F93+G93+H93+I93)*$J$4</f>
        <v>10.40337</v>
      </c>
      <c r="K93" s="13">
        <f t="shared" si="17"/>
        <v>125.99637</v>
      </c>
      <c r="L93" s="13">
        <f t="shared" si="18"/>
        <v>6299.8185</v>
      </c>
    </row>
    <row r="94" s="1" customFormat="1" ht="45" spans="1:12">
      <c r="A94" s="45">
        <v>4</v>
      </c>
      <c r="B94" s="19" t="s">
        <v>352</v>
      </c>
      <c r="C94" s="19" t="s">
        <v>356</v>
      </c>
      <c r="D94" s="12" t="s">
        <v>136</v>
      </c>
      <c r="E94" s="16">
        <v>50</v>
      </c>
      <c r="F94" s="13">
        <f t="shared" si="16"/>
        <v>45</v>
      </c>
      <c r="G94" s="13">
        <v>69</v>
      </c>
      <c r="H94" s="13">
        <v>1</v>
      </c>
      <c r="I94" s="13">
        <f>(F94+G94+H94)*$I$4</f>
        <v>6.9</v>
      </c>
      <c r="J94" s="13">
        <f>(F94+G94+H94+I94)*$J$4</f>
        <v>10.971</v>
      </c>
      <c r="K94" s="13">
        <f t="shared" si="17"/>
        <v>132.871</v>
      </c>
      <c r="L94" s="13">
        <f t="shared" si="18"/>
        <v>6643.55</v>
      </c>
    </row>
    <row r="95" s="1" customFormat="1" ht="45" spans="1:12">
      <c r="A95" s="16">
        <v>5</v>
      </c>
      <c r="B95" s="19" t="s">
        <v>352</v>
      </c>
      <c r="C95" s="19" t="s">
        <v>357</v>
      </c>
      <c r="D95" s="12" t="s">
        <v>136</v>
      </c>
      <c r="E95" s="16">
        <v>70</v>
      </c>
      <c r="F95" s="13">
        <f t="shared" si="16"/>
        <v>45</v>
      </c>
      <c r="G95" s="13">
        <v>85</v>
      </c>
      <c r="H95" s="13">
        <v>1</v>
      </c>
      <c r="I95" s="13">
        <f>(F95+G95+H95)*$I$4</f>
        <v>7.86</v>
      </c>
      <c r="J95" s="13">
        <f>(F95+G95+H95+I95)*$J$4</f>
        <v>12.4974</v>
      </c>
      <c r="K95" s="13">
        <f t="shared" si="17"/>
        <v>151.3574</v>
      </c>
      <c r="L95" s="13">
        <f t="shared" si="18"/>
        <v>10595.018</v>
      </c>
    </row>
    <row r="96" s="1" customFormat="1" ht="33" customHeight="1" spans="1:12">
      <c r="A96" s="6" t="s">
        <v>358</v>
      </c>
      <c r="B96" s="9" t="s">
        <v>359</v>
      </c>
      <c r="C96" s="10"/>
      <c r="D96" s="11"/>
      <c r="E96" s="12"/>
      <c r="F96" s="13"/>
      <c r="G96" s="13"/>
      <c r="H96" s="13"/>
      <c r="I96" s="13"/>
      <c r="J96" s="13"/>
      <c r="K96" s="13"/>
      <c r="L96" s="13"/>
    </row>
    <row r="97" s="1" customFormat="1" ht="101.25" spans="1:12">
      <c r="A97" s="16">
        <v>1</v>
      </c>
      <c r="B97" s="19" t="s">
        <v>236</v>
      </c>
      <c r="C97" s="19" t="s">
        <v>360</v>
      </c>
      <c r="D97" s="15" t="s">
        <v>136</v>
      </c>
      <c r="E97" s="16">
        <v>17.69</v>
      </c>
      <c r="F97" s="13">
        <v>65</v>
      </c>
      <c r="G97" s="13">
        <v>95</v>
      </c>
      <c r="H97" s="13">
        <v>2</v>
      </c>
      <c r="I97" s="13">
        <f>(F97+G97+H97)*$I$4</f>
        <v>9.72</v>
      </c>
      <c r="J97" s="13">
        <f>(F97+G97+H97+I97)*$J$4</f>
        <v>15.4548</v>
      </c>
      <c r="K97" s="13">
        <f t="shared" ref="K97:K99" si="19">F97+G97+H97+I97+J97</f>
        <v>187.1748</v>
      </c>
      <c r="L97" s="13">
        <f t="shared" ref="L97:L99" si="20">K97*E97</f>
        <v>3311.122212</v>
      </c>
    </row>
    <row r="98" s="1" customFormat="1" ht="90" spans="1:12">
      <c r="A98" s="16">
        <v>2</v>
      </c>
      <c r="B98" s="14" t="s">
        <v>239</v>
      </c>
      <c r="C98" s="14" t="s">
        <v>240</v>
      </c>
      <c r="D98" s="15" t="s">
        <v>169</v>
      </c>
      <c r="E98" s="16">
        <v>1</v>
      </c>
      <c r="F98" s="13">
        <v>600</v>
      </c>
      <c r="G98" s="13">
        <v>540</v>
      </c>
      <c r="H98" s="13">
        <v>0</v>
      </c>
      <c r="I98" s="13">
        <f>(F98+G98+H98)*$I$4</f>
        <v>68.4</v>
      </c>
      <c r="J98" s="13">
        <f>(F98+G98+H98+I98)*$J$4</f>
        <v>108.756</v>
      </c>
      <c r="K98" s="13">
        <f t="shared" si="19"/>
        <v>1317.156</v>
      </c>
      <c r="L98" s="13">
        <f t="shared" si="20"/>
        <v>1317.156</v>
      </c>
    </row>
    <row r="99" s="1" customFormat="1" ht="45" spans="1:12">
      <c r="A99" s="16">
        <v>3</v>
      </c>
      <c r="B99" s="14" t="s">
        <v>260</v>
      </c>
      <c r="C99" s="14" t="s">
        <v>361</v>
      </c>
      <c r="D99" s="28" t="s">
        <v>80</v>
      </c>
      <c r="E99" s="16">
        <v>1</v>
      </c>
      <c r="F99" s="13">
        <v>100</v>
      </c>
      <c r="G99" s="13">
        <v>263</v>
      </c>
      <c r="H99" s="13">
        <v>0</v>
      </c>
      <c r="I99" s="13">
        <f>(F99+G99+H99)*$I$4</f>
        <v>21.78</v>
      </c>
      <c r="J99" s="13">
        <f>(F99+G99+H99+I99)*$J$4</f>
        <v>34.6302</v>
      </c>
      <c r="K99" s="13">
        <f t="shared" si="19"/>
        <v>419.4102</v>
      </c>
      <c r="L99" s="13">
        <f t="shared" si="20"/>
        <v>419.4102</v>
      </c>
    </row>
    <row r="100" s="1" customFormat="1" ht="33" customHeight="1" spans="1:12">
      <c r="A100" s="6" t="s">
        <v>362</v>
      </c>
      <c r="B100" s="9" t="s">
        <v>363</v>
      </c>
      <c r="C100" s="10"/>
      <c r="D100" s="11"/>
      <c r="E100" s="12"/>
      <c r="F100" s="13"/>
      <c r="G100" s="13"/>
      <c r="H100" s="13"/>
      <c r="I100" s="13"/>
      <c r="J100" s="13"/>
      <c r="K100" s="13"/>
      <c r="L100" s="13"/>
    </row>
    <row r="101" s="1" customFormat="1" ht="101.25" spans="1:12">
      <c r="A101" s="16">
        <v>1</v>
      </c>
      <c r="B101" s="14" t="s">
        <v>247</v>
      </c>
      <c r="C101" s="14" t="s">
        <v>248</v>
      </c>
      <c r="D101" s="15" t="s">
        <v>136</v>
      </c>
      <c r="E101" s="16">
        <v>10</v>
      </c>
      <c r="F101" s="13">
        <v>65</v>
      </c>
      <c r="G101" s="13">
        <v>95</v>
      </c>
      <c r="H101" s="13">
        <v>2</v>
      </c>
      <c r="I101" s="13">
        <f>(F101+G101+H101)*$I$4</f>
        <v>9.72</v>
      </c>
      <c r="J101" s="13">
        <f>(F101+G101+H101+I101)*$J$4</f>
        <v>15.4548</v>
      </c>
      <c r="K101" s="13">
        <f t="shared" ref="K101:K107" si="21">F101+G101+H101+I101+J101</f>
        <v>187.1748</v>
      </c>
      <c r="L101" s="13">
        <f t="shared" ref="L101:L110" si="22">K101*E101</f>
        <v>1871.748</v>
      </c>
    </row>
    <row r="102" s="1" customFormat="1" ht="101.25" spans="1:12">
      <c r="A102" s="16">
        <v>2</v>
      </c>
      <c r="B102" s="14" t="s">
        <v>247</v>
      </c>
      <c r="C102" s="14" t="s">
        <v>250</v>
      </c>
      <c r="D102" s="15" t="s">
        <v>136</v>
      </c>
      <c r="E102" s="16">
        <v>17.16</v>
      </c>
      <c r="F102" s="13">
        <v>65</v>
      </c>
      <c r="G102" s="13">
        <v>45.96</v>
      </c>
      <c r="H102" s="13">
        <v>2</v>
      </c>
      <c r="I102" s="13">
        <f>(F102+G102+H102)*$I$4</f>
        <v>6.7776</v>
      </c>
      <c r="J102" s="13">
        <f>(F102+G102+H102+I102)*$J$4</f>
        <v>10.776384</v>
      </c>
      <c r="K102" s="13">
        <f t="shared" si="21"/>
        <v>130.513984</v>
      </c>
      <c r="L102" s="13">
        <f t="shared" si="22"/>
        <v>2239.61996544</v>
      </c>
    </row>
    <row r="103" s="1" customFormat="1" ht="101.25" spans="1:12">
      <c r="A103" s="16">
        <v>3</v>
      </c>
      <c r="B103" s="25" t="s">
        <v>247</v>
      </c>
      <c r="C103" s="25" t="s">
        <v>251</v>
      </c>
      <c r="D103" s="26" t="s">
        <v>136</v>
      </c>
      <c r="E103" s="27">
        <v>2.4</v>
      </c>
      <c r="F103" s="13">
        <v>65</v>
      </c>
      <c r="G103" s="13">
        <v>42.2</v>
      </c>
      <c r="H103" s="13">
        <v>2</v>
      </c>
      <c r="I103" s="13">
        <f>(F103+G103+H103)*$I$4</f>
        <v>6.552</v>
      </c>
      <c r="J103" s="13">
        <f>(F103+G103+H103+I103)*$J$4</f>
        <v>10.41768</v>
      </c>
      <c r="K103" s="13">
        <f t="shared" si="21"/>
        <v>126.16968</v>
      </c>
      <c r="L103" s="13">
        <f t="shared" si="22"/>
        <v>302.807232</v>
      </c>
    </row>
    <row r="104" s="1" customFormat="1" ht="101.25" spans="1:12">
      <c r="A104" s="16">
        <v>4</v>
      </c>
      <c r="B104" s="19" t="s">
        <v>247</v>
      </c>
      <c r="C104" s="19" t="s">
        <v>252</v>
      </c>
      <c r="D104" s="12" t="s">
        <v>136</v>
      </c>
      <c r="E104" s="16">
        <v>7.85</v>
      </c>
      <c r="F104" s="13">
        <v>65</v>
      </c>
      <c r="G104" s="13">
        <v>30.74</v>
      </c>
      <c r="H104" s="13">
        <v>2</v>
      </c>
      <c r="I104" s="13">
        <f>(F104+G104+H104)*$I$4</f>
        <v>5.8644</v>
      </c>
      <c r="J104" s="13">
        <f>(F104+G104+H104+I104)*$J$4</f>
        <v>9.324396</v>
      </c>
      <c r="K104" s="13">
        <f t="shared" si="21"/>
        <v>112.928796</v>
      </c>
      <c r="L104" s="13">
        <f t="shared" si="22"/>
        <v>886.4910486</v>
      </c>
    </row>
    <row r="105" s="1" customFormat="1" ht="101.25" spans="1:12">
      <c r="A105" s="16">
        <v>5</v>
      </c>
      <c r="B105" s="19" t="s">
        <v>247</v>
      </c>
      <c r="C105" s="19" t="s">
        <v>253</v>
      </c>
      <c r="D105" s="12" t="s">
        <v>136</v>
      </c>
      <c r="E105" s="16">
        <v>11.8</v>
      </c>
      <c r="F105" s="13">
        <v>65</v>
      </c>
      <c r="G105" s="13">
        <v>23.72</v>
      </c>
      <c r="H105" s="13">
        <v>2</v>
      </c>
      <c r="I105" s="13">
        <f>(F105+G105+H105)*$I$4</f>
        <v>5.4432</v>
      </c>
      <c r="J105" s="13">
        <f>(F105+G105+H105+I105)*$J$4</f>
        <v>8.654688</v>
      </c>
      <c r="K105" s="13">
        <f t="shared" si="21"/>
        <v>104.817888</v>
      </c>
      <c r="L105" s="13">
        <f t="shared" si="22"/>
        <v>1236.8510784</v>
      </c>
    </row>
    <row r="106" s="1" customFormat="1" ht="101.25" spans="1:12">
      <c r="A106" s="16">
        <v>6</v>
      </c>
      <c r="B106" s="19" t="s">
        <v>247</v>
      </c>
      <c r="C106" s="19" t="s">
        <v>254</v>
      </c>
      <c r="D106" s="12" t="s">
        <v>136</v>
      </c>
      <c r="E106" s="16">
        <v>28.25</v>
      </c>
      <c r="F106" s="13">
        <v>65</v>
      </c>
      <c r="G106" s="13">
        <v>20.11</v>
      </c>
      <c r="H106" s="13">
        <v>2</v>
      </c>
      <c r="I106" s="13">
        <f>(F106+G106+H106)*$I$4</f>
        <v>5.2266</v>
      </c>
      <c r="J106" s="13">
        <f>(F106+G106+H106+I106)*$J$4</f>
        <v>8.310294</v>
      </c>
      <c r="K106" s="13">
        <f t="shared" si="21"/>
        <v>100.646894</v>
      </c>
      <c r="L106" s="13">
        <f t="shared" si="22"/>
        <v>2843.2747555</v>
      </c>
    </row>
    <row r="107" s="1" customFormat="1" ht="101.25" spans="1:12">
      <c r="A107" s="16">
        <v>7</v>
      </c>
      <c r="B107" s="19" t="s">
        <v>247</v>
      </c>
      <c r="C107" s="19" t="s">
        <v>255</v>
      </c>
      <c r="D107" s="12" t="s">
        <v>136</v>
      </c>
      <c r="E107" s="16">
        <f>22.8+8.14</f>
        <v>30.94</v>
      </c>
      <c r="F107" s="13">
        <v>65</v>
      </c>
      <c r="G107" s="13">
        <v>15.48</v>
      </c>
      <c r="H107" s="13">
        <v>2</v>
      </c>
      <c r="I107" s="13">
        <f>(F107+G107+H107)*$I$4</f>
        <v>4.9488</v>
      </c>
      <c r="J107" s="13">
        <f>(F107+G107+H107+I107)*$J$4</f>
        <v>7.868592</v>
      </c>
      <c r="K107" s="13">
        <f t="shared" si="21"/>
        <v>95.297392</v>
      </c>
      <c r="L107" s="13">
        <f t="shared" si="22"/>
        <v>2948.50130848</v>
      </c>
    </row>
    <row r="108" s="1" customFormat="1" ht="33.75" spans="1:12">
      <c r="A108" s="16">
        <v>8</v>
      </c>
      <c r="B108" s="17" t="s">
        <v>226</v>
      </c>
      <c r="C108" s="17" t="s">
        <v>227</v>
      </c>
      <c r="D108" s="18" t="s">
        <v>151</v>
      </c>
      <c r="E108" s="16">
        <v>80</v>
      </c>
      <c r="F108" s="13"/>
      <c r="G108" s="13"/>
      <c r="H108" s="13"/>
      <c r="I108" s="13"/>
      <c r="J108" s="13"/>
      <c r="K108" s="13">
        <v>19.32</v>
      </c>
      <c r="L108" s="13">
        <f t="shared" si="22"/>
        <v>1545.6</v>
      </c>
    </row>
    <row r="109" s="1" customFormat="1" ht="22.5" spans="1:12">
      <c r="A109" s="16">
        <v>9</v>
      </c>
      <c r="B109" s="19" t="s">
        <v>228</v>
      </c>
      <c r="C109" s="19" t="s">
        <v>229</v>
      </c>
      <c r="D109" s="20" t="s">
        <v>151</v>
      </c>
      <c r="E109" s="16">
        <v>80</v>
      </c>
      <c r="F109" s="13"/>
      <c r="G109" s="13"/>
      <c r="H109" s="13"/>
      <c r="I109" s="13"/>
      <c r="J109" s="13"/>
      <c r="K109" s="13">
        <v>2.8</v>
      </c>
      <c r="L109" s="13">
        <f t="shared" si="22"/>
        <v>224</v>
      </c>
    </row>
    <row r="110" s="1" customFormat="1" ht="45" spans="1:12">
      <c r="A110" s="16">
        <v>10</v>
      </c>
      <c r="B110" s="14" t="s">
        <v>258</v>
      </c>
      <c r="C110" s="14" t="s">
        <v>259</v>
      </c>
      <c r="D110" s="28" t="s">
        <v>80</v>
      </c>
      <c r="E110" s="16">
        <v>30</v>
      </c>
      <c r="F110" s="13">
        <v>110</v>
      </c>
      <c r="G110" s="13">
        <v>9</v>
      </c>
      <c r="H110" s="13">
        <v>0</v>
      </c>
      <c r="I110" s="13">
        <f>(F110+G110+H110)*$I$4</f>
        <v>7.14</v>
      </c>
      <c r="J110" s="13">
        <f>(F110+G110+H110+I110)*$J$4</f>
        <v>11.3526</v>
      </c>
      <c r="K110" s="13">
        <f t="shared" ref="K110:K115" si="23">F110+G110+H110+I110+J110</f>
        <v>137.4926</v>
      </c>
      <c r="L110" s="13">
        <f t="shared" si="22"/>
        <v>4124.778</v>
      </c>
    </row>
    <row r="111" s="1" customFormat="1" ht="33" customHeight="1" spans="1:12">
      <c r="A111" s="6" t="s">
        <v>364</v>
      </c>
      <c r="B111" s="9" t="s">
        <v>365</v>
      </c>
      <c r="C111" s="10"/>
      <c r="D111" s="11"/>
      <c r="E111" s="12"/>
      <c r="F111" s="13"/>
      <c r="G111" s="13"/>
      <c r="H111" s="13"/>
      <c r="I111" s="13"/>
      <c r="J111" s="13"/>
      <c r="K111" s="13"/>
      <c r="L111" s="13"/>
    </row>
    <row r="112" s="1" customFormat="1" ht="112.5" spans="1:12">
      <c r="A112" s="16">
        <v>1</v>
      </c>
      <c r="B112" s="14" t="s">
        <v>268</v>
      </c>
      <c r="C112" s="14" t="s">
        <v>366</v>
      </c>
      <c r="D112" s="15" t="s">
        <v>65</v>
      </c>
      <c r="E112" s="30">
        <v>9.57</v>
      </c>
      <c r="F112" s="13">
        <v>110</v>
      </c>
      <c r="G112" s="13">
        <v>40</v>
      </c>
      <c r="H112" s="13">
        <v>0</v>
      </c>
      <c r="I112" s="13">
        <f>(F112+G112+H112)*$I$4</f>
        <v>9</v>
      </c>
      <c r="J112" s="13">
        <f>(F112+G112+H112+I112)*$J$4</f>
        <v>14.31</v>
      </c>
      <c r="K112" s="13">
        <f t="shared" si="23"/>
        <v>173.31</v>
      </c>
      <c r="L112" s="13">
        <f t="shared" ref="L112:L115" si="24">K112*E112</f>
        <v>1658.5767</v>
      </c>
    </row>
    <row r="113" s="1" customFormat="1" ht="45" spans="1:12">
      <c r="A113" s="16">
        <v>2</v>
      </c>
      <c r="B113" s="19" t="s">
        <v>274</v>
      </c>
      <c r="C113" s="19" t="s">
        <v>367</v>
      </c>
      <c r="D113" s="12" t="s">
        <v>80</v>
      </c>
      <c r="E113" s="31">
        <v>1</v>
      </c>
      <c r="F113" s="13">
        <v>120</v>
      </c>
      <c r="G113" s="13">
        <v>620</v>
      </c>
      <c r="H113" s="13">
        <v>0</v>
      </c>
      <c r="I113" s="13">
        <f>(F113+G113+H113)*$I$4</f>
        <v>44.4</v>
      </c>
      <c r="J113" s="13">
        <f>(F113+G113+H113+I113)*$J$4</f>
        <v>70.596</v>
      </c>
      <c r="K113" s="13">
        <f t="shared" si="23"/>
        <v>854.996</v>
      </c>
      <c r="L113" s="13">
        <f t="shared" si="24"/>
        <v>854.996</v>
      </c>
    </row>
    <row r="114" s="1" customFormat="1" ht="45" spans="1:12">
      <c r="A114" s="16">
        <v>3</v>
      </c>
      <c r="B114" s="14" t="s">
        <v>272</v>
      </c>
      <c r="C114" s="14" t="s">
        <v>368</v>
      </c>
      <c r="D114" s="15" t="s">
        <v>80</v>
      </c>
      <c r="E114" s="31">
        <v>1</v>
      </c>
      <c r="F114" s="13">
        <v>120</v>
      </c>
      <c r="G114" s="13">
        <v>170</v>
      </c>
      <c r="H114" s="13">
        <v>0</v>
      </c>
      <c r="I114" s="13">
        <f>(F114+G114+H114)*$I$4</f>
        <v>17.4</v>
      </c>
      <c r="J114" s="13">
        <f>(F114+G114+H114+I114)*$J$4</f>
        <v>27.666</v>
      </c>
      <c r="K114" s="13">
        <f t="shared" si="23"/>
        <v>335.066</v>
      </c>
      <c r="L114" s="13">
        <f t="shared" si="24"/>
        <v>335.066</v>
      </c>
    </row>
    <row r="115" s="1" customFormat="1" ht="45" spans="1:12">
      <c r="A115" s="16">
        <v>4</v>
      </c>
      <c r="B115" s="32" t="s">
        <v>276</v>
      </c>
      <c r="C115" s="32" t="s">
        <v>369</v>
      </c>
      <c r="D115" s="33" t="s">
        <v>80</v>
      </c>
      <c r="E115" s="34">
        <v>1</v>
      </c>
      <c r="F115" s="13">
        <v>120</v>
      </c>
      <c r="G115" s="13">
        <v>680</v>
      </c>
      <c r="H115" s="13">
        <v>0</v>
      </c>
      <c r="I115" s="13">
        <f>(F115+G115+H115)*$I$4</f>
        <v>48</v>
      </c>
      <c r="J115" s="13">
        <f>(F115+G115+H115+I115)*$J$4</f>
        <v>76.32</v>
      </c>
      <c r="K115" s="13">
        <f t="shared" si="23"/>
        <v>924.32</v>
      </c>
      <c r="L115" s="13">
        <f t="shared" si="24"/>
        <v>924.32</v>
      </c>
    </row>
    <row r="116" s="1" customFormat="1" ht="33" customHeight="1" spans="1:12">
      <c r="A116" s="6" t="s">
        <v>370</v>
      </c>
      <c r="B116" s="9" t="s">
        <v>371</v>
      </c>
      <c r="C116" s="10"/>
      <c r="D116" s="11"/>
      <c r="E116" s="12"/>
      <c r="F116" s="13"/>
      <c r="G116" s="13"/>
      <c r="H116" s="13"/>
      <c r="I116" s="13"/>
      <c r="J116" s="13"/>
      <c r="K116" s="13"/>
      <c r="L116" s="13"/>
    </row>
    <row r="117" s="1" customFormat="1" ht="33.75" spans="1:12">
      <c r="A117" s="16">
        <v>1</v>
      </c>
      <c r="B117" s="19" t="s">
        <v>293</v>
      </c>
      <c r="C117" s="19" t="s">
        <v>294</v>
      </c>
      <c r="D117" s="12" t="s">
        <v>80</v>
      </c>
      <c r="E117" s="31">
        <v>2</v>
      </c>
      <c r="F117" s="13">
        <v>80</v>
      </c>
      <c r="G117" s="13">
        <v>38</v>
      </c>
      <c r="H117" s="13">
        <v>0</v>
      </c>
      <c r="I117" s="13">
        <f>(F117+G117+H117)*$I$4</f>
        <v>7.08</v>
      </c>
      <c r="J117" s="13">
        <f>(F117+G117+H117+I117)*$J$4</f>
        <v>11.2572</v>
      </c>
      <c r="K117" s="13">
        <f t="shared" ref="K117:K126" si="25">F117+G117+H117+I117+J117</f>
        <v>136.3372</v>
      </c>
      <c r="L117" s="13">
        <f t="shared" ref="L117:L126" si="26">K117*E117</f>
        <v>272.6744</v>
      </c>
    </row>
    <row r="118" s="1" customFormat="1" ht="33.75" spans="1:12">
      <c r="A118" s="16">
        <v>2</v>
      </c>
      <c r="B118" s="19" t="s">
        <v>293</v>
      </c>
      <c r="C118" s="19" t="s">
        <v>294</v>
      </c>
      <c r="D118" s="12" t="s">
        <v>80</v>
      </c>
      <c r="E118" s="31">
        <v>4</v>
      </c>
      <c r="F118" s="13">
        <v>120</v>
      </c>
      <c r="G118" s="13">
        <v>38</v>
      </c>
      <c r="H118" s="13">
        <v>0</v>
      </c>
      <c r="I118" s="13">
        <f>(F118+G118+H118)*$I$4</f>
        <v>9.48</v>
      </c>
      <c r="J118" s="13">
        <f>(F118+G118+H118+I118)*$J$4</f>
        <v>15.0732</v>
      </c>
      <c r="K118" s="13">
        <f t="shared" si="25"/>
        <v>182.5532</v>
      </c>
      <c r="L118" s="13">
        <f t="shared" si="26"/>
        <v>730.2128</v>
      </c>
    </row>
    <row r="119" s="1" customFormat="1" ht="33.75" spans="1:12">
      <c r="A119" s="16">
        <v>3</v>
      </c>
      <c r="B119" s="19" t="s">
        <v>305</v>
      </c>
      <c r="C119" s="19" t="s">
        <v>306</v>
      </c>
      <c r="D119" s="12" t="s">
        <v>80</v>
      </c>
      <c r="E119" s="31">
        <v>2</v>
      </c>
      <c r="F119" s="13">
        <v>120</v>
      </c>
      <c r="G119" s="13">
        <v>40</v>
      </c>
      <c r="H119" s="13">
        <v>0</v>
      </c>
      <c r="I119" s="13">
        <f>(F119+G119+H119)*$I$4</f>
        <v>9.6</v>
      </c>
      <c r="J119" s="13">
        <f>(F119+G119+H119+I119)*$J$4</f>
        <v>15.264</v>
      </c>
      <c r="K119" s="13">
        <f t="shared" si="25"/>
        <v>184.864</v>
      </c>
      <c r="L119" s="13">
        <f t="shared" si="26"/>
        <v>369.728</v>
      </c>
    </row>
    <row r="120" s="1" customFormat="1" ht="33.75" spans="1:12">
      <c r="A120" s="16">
        <v>4</v>
      </c>
      <c r="B120" s="19" t="s">
        <v>297</v>
      </c>
      <c r="C120" s="19" t="s">
        <v>298</v>
      </c>
      <c r="D120" s="12" t="s">
        <v>80</v>
      </c>
      <c r="E120" s="31">
        <v>1</v>
      </c>
      <c r="F120" s="13">
        <v>120</v>
      </c>
      <c r="G120" s="13">
        <v>45</v>
      </c>
      <c r="H120" s="13">
        <v>0</v>
      </c>
      <c r="I120" s="13">
        <f>(F120+G120+H120)*$I$4</f>
        <v>9.9</v>
      </c>
      <c r="J120" s="13">
        <f>(F120+G120+H120+I120)*$J$4</f>
        <v>15.741</v>
      </c>
      <c r="K120" s="13">
        <f t="shared" si="25"/>
        <v>190.641</v>
      </c>
      <c r="L120" s="13">
        <f t="shared" si="26"/>
        <v>190.641</v>
      </c>
    </row>
    <row r="121" s="1" customFormat="1" ht="56.25" spans="1:12">
      <c r="A121" s="16">
        <v>5</v>
      </c>
      <c r="B121" s="19" t="s">
        <v>162</v>
      </c>
      <c r="C121" s="19" t="s">
        <v>280</v>
      </c>
      <c r="D121" s="12" t="s">
        <v>136</v>
      </c>
      <c r="E121" s="16">
        <v>81.72</v>
      </c>
      <c r="F121" s="13">
        <v>10</v>
      </c>
      <c r="G121" s="13">
        <v>4.52</v>
      </c>
      <c r="H121" s="13">
        <v>0</v>
      </c>
      <c r="I121" s="13">
        <f>(F121+G121+H121)*$I$4</f>
        <v>0.8712</v>
      </c>
      <c r="J121" s="13">
        <f>(F121+G121+H121+I121)*$J$4</f>
        <v>1.385208</v>
      </c>
      <c r="K121" s="13">
        <f t="shared" si="25"/>
        <v>16.776408</v>
      </c>
      <c r="L121" s="13">
        <f t="shared" si="26"/>
        <v>1370.96806176</v>
      </c>
    </row>
    <row r="122" s="1" customFormat="1" ht="56.25" spans="1:12">
      <c r="A122" s="16">
        <v>6</v>
      </c>
      <c r="B122" s="19" t="s">
        <v>162</v>
      </c>
      <c r="C122" s="19" t="s">
        <v>281</v>
      </c>
      <c r="D122" s="12" t="s">
        <v>136</v>
      </c>
      <c r="E122" s="16">
        <v>33.48</v>
      </c>
      <c r="F122" s="13">
        <v>10</v>
      </c>
      <c r="G122" s="13">
        <v>2.3</v>
      </c>
      <c r="H122" s="13">
        <v>0</v>
      </c>
      <c r="I122" s="13">
        <f>(F122+G122+H122)*$I$4</f>
        <v>0.738</v>
      </c>
      <c r="J122" s="13">
        <f>(F122+G122+H122+I122)*$J$4</f>
        <v>1.17342</v>
      </c>
      <c r="K122" s="13">
        <f t="shared" si="25"/>
        <v>14.21142</v>
      </c>
      <c r="L122" s="13">
        <f t="shared" si="26"/>
        <v>475.7983416</v>
      </c>
    </row>
    <row r="123" s="1" customFormat="1" ht="56.25" spans="1:12">
      <c r="A123" s="16">
        <v>7</v>
      </c>
      <c r="B123" s="19" t="s">
        <v>162</v>
      </c>
      <c r="C123" s="19" t="s">
        <v>283</v>
      </c>
      <c r="D123" s="12" t="s">
        <v>136</v>
      </c>
      <c r="E123" s="16">
        <v>76.48</v>
      </c>
      <c r="F123" s="13">
        <v>10</v>
      </c>
      <c r="G123" s="13">
        <v>4.52</v>
      </c>
      <c r="H123" s="13">
        <v>0</v>
      </c>
      <c r="I123" s="13">
        <f>(F123+G123+H123)*$I$4</f>
        <v>0.8712</v>
      </c>
      <c r="J123" s="13">
        <f>(F123+G123+H123+I123)*$J$4</f>
        <v>1.385208</v>
      </c>
      <c r="K123" s="13">
        <f t="shared" si="25"/>
        <v>16.776408</v>
      </c>
      <c r="L123" s="13">
        <f t="shared" si="26"/>
        <v>1283.05968384</v>
      </c>
    </row>
    <row r="124" s="1" customFormat="1" ht="45" spans="1:12">
      <c r="A124" s="16">
        <v>8</v>
      </c>
      <c r="B124" s="19" t="s">
        <v>158</v>
      </c>
      <c r="C124" s="19" t="s">
        <v>288</v>
      </c>
      <c r="D124" s="12" t="s">
        <v>136</v>
      </c>
      <c r="E124" s="16">
        <v>29</v>
      </c>
      <c r="F124" s="13">
        <v>25</v>
      </c>
      <c r="G124" s="13">
        <v>4.5</v>
      </c>
      <c r="H124" s="13">
        <v>2.63</v>
      </c>
      <c r="I124" s="13">
        <f>(F124+G124+H124)*$I$4</f>
        <v>1.9278</v>
      </c>
      <c r="J124" s="13">
        <f>(F124+G124+H124+I124)*$J$4</f>
        <v>3.065202</v>
      </c>
      <c r="K124" s="13">
        <f t="shared" si="25"/>
        <v>37.123002</v>
      </c>
      <c r="L124" s="13">
        <f t="shared" si="26"/>
        <v>1076.567058</v>
      </c>
    </row>
    <row r="125" s="1" customFormat="1" ht="45" spans="1:12">
      <c r="A125" s="16">
        <v>9</v>
      </c>
      <c r="B125" s="19" t="s">
        <v>158</v>
      </c>
      <c r="C125" s="19" t="s">
        <v>289</v>
      </c>
      <c r="D125" s="12" t="s">
        <v>136</v>
      </c>
      <c r="E125" s="16">
        <v>108</v>
      </c>
      <c r="F125" s="13">
        <v>25</v>
      </c>
      <c r="G125" s="13">
        <v>6.73</v>
      </c>
      <c r="H125" s="13">
        <v>2.63</v>
      </c>
      <c r="I125" s="13">
        <f>(F125+G125+H125)*$I$4</f>
        <v>2.0616</v>
      </c>
      <c r="J125" s="13">
        <f>(F125+G125+H125+I125)*$J$4</f>
        <v>3.277944</v>
      </c>
      <c r="K125" s="13">
        <f t="shared" si="25"/>
        <v>39.699544</v>
      </c>
      <c r="L125" s="13">
        <f t="shared" si="26"/>
        <v>4287.550752</v>
      </c>
    </row>
    <row r="126" s="1" customFormat="1" ht="56.25" spans="1:12">
      <c r="A126" s="16">
        <v>10</v>
      </c>
      <c r="B126" s="14" t="s">
        <v>222</v>
      </c>
      <c r="C126" s="14" t="s">
        <v>223</v>
      </c>
      <c r="D126" s="15" t="s">
        <v>136</v>
      </c>
      <c r="E126" s="12">
        <v>26</v>
      </c>
      <c r="F126" s="13">
        <v>75</v>
      </c>
      <c r="G126" s="13">
        <v>30</v>
      </c>
      <c r="H126" s="13">
        <v>3</v>
      </c>
      <c r="I126" s="13">
        <f>(F126+G126+H126)*$I$4</f>
        <v>6.48</v>
      </c>
      <c r="J126" s="13">
        <f>(F126+G126+H126+I126)*$J$4</f>
        <v>10.3032</v>
      </c>
      <c r="K126" s="13">
        <f t="shared" si="25"/>
        <v>124.7832</v>
      </c>
      <c r="L126" s="13">
        <f t="shared" si="26"/>
        <v>3244.3632</v>
      </c>
    </row>
    <row r="127" s="1" customFormat="1" ht="20" customHeight="1" spans="1:12">
      <c r="A127" s="6" t="s">
        <v>372</v>
      </c>
      <c r="B127" s="9" t="s">
        <v>123</v>
      </c>
      <c r="C127" s="10"/>
      <c r="D127" s="49"/>
      <c r="E127" s="41"/>
      <c r="F127" s="13"/>
      <c r="G127" s="13"/>
      <c r="H127" s="13"/>
      <c r="I127" s="13"/>
      <c r="J127" s="13"/>
      <c r="K127" s="13"/>
      <c r="L127" s="52">
        <f>SUM(L6:L126)</f>
        <v>240706.93661362</v>
      </c>
    </row>
    <row r="128" s="1" customFormat="1" ht="74" customHeight="1" spans="1:12">
      <c r="A128" s="50" t="s">
        <v>373</v>
      </c>
      <c r="B128" s="51"/>
      <c r="C128" s="51"/>
      <c r="D128" s="51"/>
      <c r="E128" s="51"/>
      <c r="F128" s="51"/>
      <c r="G128" s="51"/>
      <c r="H128" s="51"/>
      <c r="I128" s="51"/>
      <c r="J128" s="51"/>
      <c r="K128" s="51"/>
      <c r="L128" s="51"/>
    </row>
    <row r="130" s="1" customFormat="1" spans="1:13">
      <c r="A130" s="3"/>
      <c r="E130" s="4"/>
      <c r="F130" s="4"/>
      <c r="G130" s="4"/>
      <c r="H130" s="4"/>
      <c r="I130" s="4"/>
      <c r="J130" s="4"/>
      <c r="K130" s="4"/>
      <c r="L130" s="4"/>
      <c r="M130" s="53"/>
    </row>
  </sheetData>
  <mergeCells count="29">
    <mergeCell ref="A1:L1"/>
    <mergeCell ref="F2:J2"/>
    <mergeCell ref="B5:C5"/>
    <mergeCell ref="B11:C11"/>
    <mergeCell ref="B14:C14"/>
    <mergeCell ref="B22:C22"/>
    <mergeCell ref="B38:C38"/>
    <mergeCell ref="B44:C44"/>
    <mergeCell ref="B70:C70"/>
    <mergeCell ref="B73:C73"/>
    <mergeCell ref="B77:C77"/>
    <mergeCell ref="B80:C80"/>
    <mergeCell ref="B90:C90"/>
    <mergeCell ref="B96:C96"/>
    <mergeCell ref="B100:C100"/>
    <mergeCell ref="B111:C111"/>
    <mergeCell ref="B116:C116"/>
    <mergeCell ref="B127:C127"/>
    <mergeCell ref="A128:L128"/>
    <mergeCell ref="A2:A4"/>
    <mergeCell ref="B2:B4"/>
    <mergeCell ref="C2:C4"/>
    <mergeCell ref="D2:D4"/>
    <mergeCell ref="E2:E4"/>
    <mergeCell ref="F3:F4"/>
    <mergeCell ref="G3:G4"/>
    <mergeCell ref="H3:H4"/>
    <mergeCell ref="K2:K4"/>
    <mergeCell ref="L2:L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1428571428571" defaultRowHeight="12.75"/>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2 0 " 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2.xml>��< ? x m l   v e r s i o n = " 1 . 0 "   s t a n d a l o n e = " y e s " ? > < a u t o f i l t e r s   x m l n s = " h t t p s : / / w e b . w p s . c n / e t / 2 0 1 8 / m a i n " > < s h e e t I t e m   s h e e t S t i d = " 1 2 " > < f i l t e r D a t a   f i l t e r I D = " 6 8 1 3 9 7 5 0 3 " / > < f i l t e r D a t a   f i l t e r I D = " 6 6 3 5 4 9 0 6 5 " > < h i d d e n R a n g e   r o w F r o m = " 5 "   r o w T o = " 1 2 6 " / > < h i d d e n R a n g e   r o w F r o m = " 1 4 6 "   r o w T o = " 1 4 8 " / > < h i d d e n R a n g e   r o w F r o m = " 1 5 8 "   r o w T o = " 1 6 7 " / > < h i d d e n R a n g e   r o w F r o m = " 2 6 3 "   r o w T o = " 2 6 4 " / > < / f i l t e r D a t a > < a u t o f i l t e r I n f o   f i l t e r I D = " 6 6 3 5 4 9 0 6 5 " > < a u t o F i l t e r   x m l n s = " h t t p : / / s c h e m a s . o p e n x m l f o r m a t s . o r g / s p r e a d s h e e t m l / 2 0 0 6 / m a i n "   r e f = " A 5 : V 2 6 5 " > < f i l t e r C o l u m n   c o l I d = " 2 " > < c u s t o m F i l t e r s > < c u s t o m F i l t e r   o p e r a t o r = " e q u a l "   v a l = " 1 . C T 0 2 �tx�Xb�& # x A ; 2 .  }4l�lFm NM�& # x A ; 3 . 5 m m �S1 : 1 4l�lxFm�R4l͑2 0 % �^Q{���~TB\( Emr��wPg(u}v4l�l) ( �wPg̀b�0�Ob� �ZP2��b�S̀��Yt) b�tx���|4��tx& # x A ; 4 . 1 2 m m �S8 0 0 * 8 0 0 �tx�Xb���tx�RYt& # x A ; 5 . +Tb�x�& # x A ; 6 . vQ�[�f��n��ĉ��T�����V�~��Bl" / > < / c u s t o m F i l t e r s > < / f i l t e r C o l u m n > < / a u t o F i l t e r > < / a u t o f i l t e r I n f o > < / s h e e t I t e m > < s h e e t I t e m   s h e e t S t i d = " 2 4 " > < f i l t e r D a t a   f i l t e r I D = " 6 6 3 5 4 9 0 6 5 " > < h i d d e n R a n g e   r o w F r o m = " 2 "   r o w T o = " 3 1 " / > < h i d d e n R a n g e   r o w F r o m = " 3 3 "   r o w T o = " 5 4 " / > < / f i l t e r D a t a > < f i l t e r D a t a   f i l t e r I D = " 6 8 1 3 9 7 5 0 3 " / > < a u t o f i l t e r I n f o   f i l t e r I D = " 6 6 3 5 4 9 0 6 5 " > < a u t o F i l t e r   x m l n s = " h t t p : / / s c h e m a s . o p e n x m l f o r m a t s . o r g / s p r e a d s h e e t m l / 2 0 0 6 / m a i n "   r e f = " A 2 : E 5 5 " > < f i l t e r C o l u m n   c o l I d = " 1 " > < c u s t o m F i l t e r s > < c u s t o m F i l t e r   o p e r a t o r = " e q u a l "   v a l = " 1 . C T 0 2 �tx�Xb�& # x A ; 2 .  }4l�lFm NM�& # x A ; 3 . 5 m m �S1 : 1 4l�lxFm�R4l͑2 0 % �^Q{���~TB\( Emr��wPg(u}v4l�l) ( �wPg̀b�0�Ob� �ZP2��b�S̀��Yt) b�tx���|4��tx& # x A ; 4 . 1 2 m m �S8 0 0 * 8 0 0 �tx�Xb���tx�RYt& # x A ; 5 . +Tb�x�& # x A ; 6 . vQ�[�f��n��ĉ��T�����V�~��Bl" / > < / c u s t o m F i l t e r s > < / f i l t e r C o l u m n > < / a u t o F i l t e r > < / a u t o f i l t e r I n f o > < / s h e e t I t e m > < / a u t o f i l t e r s > 
</file>

<file path=customXml/item3.xml>��< ? x m l   v e r s i o n = " 1 . 0 "   s t a n d a l o n e = " y e s " ? > < p i x e l a t o r s   x m l n s = " h t t p s : / / w e b . w p s . c n / e t / 2 0 1 8 / m a i n "   x m l n s : s = " h t t p : / / s c h e m a s . o p e n x m l f o r m a t s . o r g / s p r e a d s h e e t m l / 2 0 0 6 / m a i n " > < p i x e l a t o r L i s t   s h e e t S t i d = " 2 0 " / > < p i x e l a t o r L i s t   s h e e t S t i d = " 7 " / > < p i x e l a t o r L i s t   s h e e t S t i d = " 9 " / > < p i x e l a t o r L i s t   s h e e t S t i d = " 1 9 " / > < p i x e l a t o r L i s t   s h e e t S t i d = " 1 2 " / > < p i x e l a t o r L i s t   s h e e t S t i d = " 1 3 " / > < p i x e l a t o r L i s t   s h e e t S t i d = " 2 2 " / > < p i x e l a t o r L i s t   s h e e t S t i d = " 2 4 " / > < p i x e l a t o r L i s t   s h e e t S t i d = " 2 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9</vt:i4>
      </vt:variant>
    </vt:vector>
  </HeadingPairs>
  <TitlesOfParts>
    <vt:vector size="9" baseType="lpstr">
      <vt:lpstr>Sheet2</vt:lpstr>
      <vt:lpstr>清单报价说明</vt:lpstr>
      <vt:lpstr>01、汇总表</vt:lpstr>
      <vt:lpstr>Sheet1</vt:lpstr>
      <vt:lpstr>02、装饰工程</vt:lpstr>
      <vt:lpstr>门头钢结构工程量计算</vt:lpstr>
      <vt:lpstr>03、安装工程</vt:lpstr>
      <vt:lpstr>开元壹号50公寓楼28层样板层增加清单与计价表</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AA</cp:lastModifiedBy>
  <dcterms:created xsi:type="dcterms:W3CDTF">2020-11-20T09:45:00Z</dcterms:created>
  <cp:lastPrinted>2024-10-25T03:19:00Z</cp:lastPrinted>
  <dcterms:modified xsi:type="dcterms:W3CDTF">2024-11-28T03:23:15Z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09490B41775940668878135F35127E9F_13</vt:lpwstr>
  </property>
  <property fmtid="{D5CDD505-2E9C-101B-9397-08002B2CF9AE}" pid="4" name="KSOReadingLayout">
    <vt:bool>false</vt:bool>
  </property>
</Properties>
</file>