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35" tabRatio="434" firstSheet="1" activeTab="2"/>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sheetId="25" r:id="rId7"/>
    <sheet name="WpsReserved_CellImgList" sheetId="23" state="veryHidden" r:id="rId8"/>
  </sheets>
  <externalReferences>
    <externalReference r:id="rId12"/>
  </externalReferences>
  <definedNames>
    <definedName name="_xlnm._FilterDatabase" localSheetId="4" hidden="1">'02、装饰工程'!$A$5:$AW$61</definedName>
    <definedName name="_xlnm._FilterDatabase" localSheetId="5" hidden="1">门头钢结构工程量计算!$A$2:$G$22</definedName>
    <definedName name="_xlnm._FilterDatabase" localSheetId="6" hidden="1">'03、安装工程'!$A$4:$U$82</definedName>
    <definedName name="_xlnm.Print_Area" localSheetId="4">'02、装饰工程'!$A$1:$AX$61</definedName>
    <definedName name="_xlnm.Print_Area" localSheetId="3">Sheet1!$A$1:$I$53</definedName>
    <definedName name="_xlnm.Print_Area" localSheetId="0">Sheet2!$A$1:$I$55</definedName>
    <definedName name="_xlnm.Print_Area" localSheetId="1">清单报价说明!$A$1:$B$22</definedName>
    <definedName name="_xlnm.Print_Titles" localSheetId="4">'02、装饰工程'!$1:$5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<sst xmlns="http://schemas.openxmlformats.org/spreadsheetml/2006/main" count="867" uniqueCount="234">
  <si>
    <t>工程量清单报价说明</t>
  </si>
  <si>
    <t>一、工程概况:</t>
  </si>
  <si>
    <t>工程概况:开元壹号62#地块50#公寓公区装饰工程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</si>
  <si>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</si>
  <si>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</si>
  <si>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</si>
  <si>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</si>
  <si>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</si>
  <si>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</si>
  <si>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</si>
  <si>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</si>
  <si>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</si>
  <si>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</si>
  <si>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</si>
  <si>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</si>
  <si>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</si>
  <si>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</si>
  <si>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工程量计算规则除另有说明外,执行《房屋建筑与装饰工程工程量计算规范》GB 50854-2013。</t>
  </si>
  <si>
    <t>四、其他计价说明</t>
  </si>
  <si>
    <t>精装修施工范围：
1、A栋楼负二层至二十八层、B栋楼负二层至五十一层墙面地面天棚装修，不含成品装饰摆件；
2、A栋楼标准层平立面图按4-6层平立面图计入。</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</si>
  <si>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3、一层公共卫生间洗手盆、蹲便器、小便器、坐便器拖把池计入此次精装范围。</t>
  </si>
  <si>
    <t>以下内容为空白。</t>
  </si>
  <si>
    <t>开元壹号62#地块50#公寓公区装饰工程-样板层</t>
  </si>
  <si>
    <t>序 号</t>
  </si>
  <si>
    <t>项目名称</t>
  </si>
  <si>
    <t>单位</t>
  </si>
  <si>
    <t>河南泰康建筑工程有限公司</t>
  </si>
  <si>
    <t>泰源工程集团股份有限公司</t>
  </si>
  <si>
    <t>河南首创建设集团有限公司</t>
  </si>
  <si>
    <t xml:space="preserve">中豫阳光建设河南有限公司 </t>
  </si>
  <si>
    <t>四川玉林海月建设工程有限公司</t>
  </si>
  <si>
    <t>不含税金额（元）</t>
  </si>
  <si>
    <t>税率</t>
  </si>
  <si>
    <t>税金（元）</t>
  </si>
  <si>
    <t>含税金额 (元)</t>
  </si>
  <si>
    <t>第一次报价</t>
  </si>
  <si>
    <t>B栋楼</t>
  </si>
  <si>
    <t>装饰工程</t>
  </si>
  <si>
    <t>样板层
（29层）</t>
  </si>
  <si>
    <t>项</t>
  </si>
  <si>
    <t>首层</t>
  </si>
  <si>
    <t>安装工程</t>
  </si>
  <si>
    <t>合计(元)</t>
  </si>
  <si>
    <t>第二次报价</t>
  </si>
  <si>
    <t>2层以上（标准层）</t>
  </si>
  <si>
    <t>1~2层（商业）</t>
  </si>
  <si>
    <t>第三次报价</t>
  </si>
  <si>
    <t>最终报价由低到高排序</t>
  </si>
  <si>
    <t>河南泰康建筑工程有限公司（税率9%）＜泰源工程集团股份有限公司（税率9%）＜河南首创建设集团有限公司（税率9%）＜中豫阳光建设河南有限公司（税率9%）＜四川玉林海月建设工程有限公司（税率9%）</t>
  </si>
  <si>
    <t>清标汇总说明：
1.本次招标已明确招标范围招标范围：开元壹号62#地块50#公寓公区样板层装饰工程；
2.河南泰康建筑工程有限公司报价71.6万元，泰源工程集团股份有限公司报价71.82万元；
3.最终报价由低到高排序：河南泰康建筑工程有限公司（税率9%）＜泰源工程集团股份有限公司（税率9%）＜河南首创建设集团有限公司（税率9%）＜中豫阳光建设河南有限公司（税率9%）＜四川玉林海月建设工程有限公司（税率9%）
4.报价合理性分析：本次最低价单位河南泰康建筑工程有限公司（税率9%）最终报价为71.61万元，最低价单位最终报价合理，
5.结合本项目施工情况，付款等因素综合考虑，确定河南泰康建筑工程有限公司为中标单位。对比伊河湾样板区价格，该价格合理，中标暂定含税9%总金额为¥716064.21元（大写人民币柒拾壹万陆仟零陆拾肆元贰角壹分）。</t>
  </si>
  <si>
    <t>价格清单（开元壹号62#地块50#公寓公区装饰工程）（装饰部分）</t>
  </si>
  <si>
    <t>工程名称：开元壹号62#地块50#公寓公区装饰工程</t>
  </si>
  <si>
    <t>中豫阳光建设河南有限公司</t>
  </si>
  <si>
    <t>序号</t>
  </si>
  <si>
    <t>工程项目名称</t>
  </si>
  <si>
    <t>工程内容</t>
  </si>
  <si>
    <t>工程量
g</t>
  </si>
  <si>
    <t>其中：各子项构成（元）</t>
  </si>
  <si>
    <t>含税综合单价(元)
f=(a+b+c+d+e)</t>
  </si>
  <si>
    <t>合价(元)=g*f</t>
  </si>
  <si>
    <t>人工费
a</t>
  </si>
  <si>
    <t>含损耗主材费小计</t>
  </si>
  <si>
    <t>主材费</t>
  </si>
  <si>
    <t>主材损耗率</t>
  </si>
  <si>
    <t>机械、辅材及其他c</t>
  </si>
  <si>
    <t>管理费及利润
d=(a+b+c)*费率</t>
  </si>
  <si>
    <t>税金
e=(a+b+c+d)*费率</t>
  </si>
  <si>
    <t>b=x*（1+y）</t>
  </si>
  <si>
    <t>x</t>
  </si>
  <si>
    <t xml:space="preserve"> y</t>
  </si>
  <si>
    <t>首层地面</t>
  </si>
  <si>
    <t>瓷砖楼地面</t>
  </si>
  <si>
    <t>1.CT01瓷砖地面
2.含地砖美缝
3.12mm厚800*1600瓷砖面层
4.5-10mm水泥胶结合层或瓷砖胶
5.30mm厚1:3干硬性水泥砂浆
6.素水泥砂浆结合层一遍
7.其它说明：满足规范和设计图纸要求</t>
  </si>
  <si>
    <t>m2</t>
  </si>
  <si>
    <t>1.CT02瓷砖地面
2.含地砖美缝
3.12mm厚800*800瓷砖面层（含地砖美缝）
4.5-10mm水泥胶结合层或瓷砖胶
5.30mm厚1:3干硬性水泥砂浆
6.素水泥砂浆结合层一遍
7.其它说明：满足规范和设计图纸要求</t>
  </si>
  <si>
    <t>过门石</t>
  </si>
  <si>
    <t>1.ST02石材地面
2.20mm厚大理石石材面层（六面防护）
3.含美缝
4.5-10mm水泥胶结合层或瓷砖胶
5.30mm厚1:3干硬性水泥砂浆
6.素水泥砂浆结合层一遍
7.其它说明：满足规范和设计图纸要求</t>
  </si>
  <si>
    <t>首层天花</t>
  </si>
  <si>
    <t>吊顶天棚</t>
  </si>
  <si>
    <t>1.MT01不锈钢吊顶
2.钢筋混凝土楼板
3.轻钢主龙骨(金属吊件连接)
4.轻钢次龙骨、收边轻钢龙骨(专用连接挂件)
5.15mm厚阻燃板基层
6.1.2mm厚仿铜色不锈钢饰面
7.作法详见天花节点
8.其它说明：满足规范和设计图纸要求</t>
  </si>
  <si>
    <t>1.MT03不锈钢吊顶
2.钢筋混凝土楼板
3.轻钢主龙骨(金属吊件连接)
4.轻钢次龙骨、收边轻钢龙骨(专用连接挂件)
6.6mm厚深灰色蜂窝不锈钢饰面
7.作法详见天花节点
8.其它说明：满足规范和设计图纸要求</t>
  </si>
  <si>
    <t>吊顶天棚（跌级）</t>
  </si>
  <si>
    <t>1.PT02石膏板吊顶天棚
2.钢筋混凝土楼板
3.φ8钢筋吊杆，双向吊点，间距800-1200
4.轻钢主龙骨
5.轻钢次龙骨、收边轻钢龙骨(专用连接挂件)
6.双层9.5mm厚纸面石膏板基层
7.白色乳胶漆面层（清单单列）
8.含灯孔等
9.作法详见天花节点
10.其它说明：满足规范和设计图纸要求</t>
  </si>
  <si>
    <t>吊顶天棚（平面）</t>
  </si>
  <si>
    <t>吊顶乳胶漆面层</t>
  </si>
  <si>
    <t>1.PT02石膏板吊顶天棚面层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</si>
  <si>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</si>
  <si>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</si>
  <si>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个</t>
  </si>
  <si>
    <t>首层墙面</t>
  </si>
  <si>
    <t>新砌砖墙</t>
  </si>
  <si>
    <t>1.150mm厚轻质砖墙体砌筑
2.其它说明：满足规范和设计图纸要求</t>
  </si>
  <si>
    <t>m3</t>
  </si>
  <si>
    <t>门过梁板</t>
  </si>
  <si>
    <t>1.门过梁板
2.其它说明：满足规范和设计图纸要求</t>
  </si>
  <si>
    <t>石材墙面</t>
  </si>
  <si>
    <t>1.ST01石材墙面
2.膨胀螺栓固定预埋铁件于钢筋混凝土结构
3.L50*5镀锌角钢及镀锌槽钢@1200钢架刷防锈漆(4m以下用[8#槽钢,4-5m用[10#槽钢),5-6m用[12#槽钢)
4.20mm大理石石材墙面，面层做防护剂两遍
5.其它说明：满足规范和设计图纸要求</t>
  </si>
  <si>
    <t>1.ST03石材墙面
2.素水泥浆一遍
3.10mm厚1:3水泥砂浆结合层
4.20mm厚大理石石材墙面，面层做防护剂两遍
5.其它说明：满足规范和设计图纸要求</t>
  </si>
  <si>
    <t>1.ST04石材墙面
2.素水泥浆一遍
3.10mm厚1:3水泥砂浆结合层
4.20mm厚水磨石石材墙面，面层做防护剂两遍
5.其它说明：满足规范和设计图纸要求</t>
  </si>
  <si>
    <t>墙面装饰板</t>
  </si>
  <si>
    <t>1.MT01不锈钢墙面
2.原有建筑墙体
3.15mm厚阻燃板基层
4.1.2mm厚仿铜色不锈钢饰面
5.其它说明：满足规范和设计图纸要求</t>
  </si>
  <si>
    <t>块料墙面</t>
  </si>
  <si>
    <t>1.CT02瓷砖墙面
2.素水泥浆一遍
3.5mm厚1:1水泥砂浆加水重20%建筑胶结合层(浅色石材用白水泥)(石材背面、侧面需做防护及背胶处理)或瓷砖胶粘贴瓷砖
4.12mm厚800*800瓷砖墙面，瓷砖勾缝处理
5.其它说明：满足规范和设计图纸要求</t>
  </si>
  <si>
    <t>1.木骨架
2.15mm厚阻燃板基层
3.5mm密度板基层
4.WD01木饰面成品板
5.其它说明：满足规范和设计图纸要求</t>
  </si>
  <si>
    <t>金属字</t>
  </si>
  <si>
    <t>1.定制成品发光字
2.规格：300*300
3.其它说明：满足规范和设计图纸要求</t>
  </si>
  <si>
    <t>1.定制成品发光字
2.规格：800*800
3.其它说明：满足规范和设计图纸要求</t>
  </si>
  <si>
    <t>金属踢脚线</t>
  </si>
  <si>
    <t>1.15mm厚阻燃板基层
2.1.2mm厚仿铜色不锈钢踢脚线
3.其它说明：满足规范和设计图纸要求</t>
  </si>
  <si>
    <t>矮柜</t>
  </si>
  <si>
    <t>1.大理石矮柜
2.其它说明：满足规范和设计图纸要求</t>
  </si>
  <si>
    <t>木柜</t>
  </si>
  <si>
    <r>
      <rPr>
        <sz val="9"/>
        <color rgb="FF000000"/>
        <rFont val="宋体"/>
        <charset val="134"/>
      </rPr>
      <t>1.PVC01木纹贴膜</t>
    </r>
    <r>
      <rPr>
        <sz val="9"/>
        <color rgb="FF000000"/>
        <rFont val="宋体"/>
        <charset val="134"/>
      </rPr>
      <t xml:space="preserve">
</t>
    </r>
    <r>
      <rPr>
        <sz val="9"/>
        <color rgb="FF000000"/>
        <rFont val="宋体"/>
        <charset val="134"/>
      </rPr>
      <t>2.15厚阻燃板基层</t>
    </r>
    <r>
      <rPr>
        <sz val="9"/>
        <color rgb="FF000000"/>
        <rFont val="宋体"/>
        <charset val="134"/>
      </rPr>
      <t xml:space="preserve">
</t>
    </r>
    <r>
      <rPr>
        <sz val="9"/>
        <color rgb="FF000000"/>
        <rFont val="宋体"/>
        <charset val="134"/>
      </rPr>
      <t>3.立板：20mmPVC01木纹贴膜</t>
    </r>
    <r>
      <rPr>
        <sz val="9"/>
        <color rgb="FF000000"/>
        <rFont val="宋体"/>
        <charset val="134"/>
      </rPr>
      <t xml:space="preserve">
</t>
    </r>
    <r>
      <rPr>
        <sz val="9"/>
        <color rgb="FF000000"/>
        <rFont val="宋体"/>
        <charset val="134"/>
      </rPr>
      <t>4.置物板：50mmPVC01木纹贴膜</t>
    </r>
    <r>
      <rPr>
        <sz val="9"/>
        <color rgb="FF000000"/>
        <rFont val="宋体"/>
        <charset val="134"/>
      </rPr>
      <t xml:space="preserve">
</t>
    </r>
    <r>
      <rPr>
        <sz val="9"/>
        <color rgb="FF000000"/>
        <rFont val="宋体"/>
        <charset val="134"/>
      </rPr>
      <t>5.其它说明：满足规范和设计图纸要求</t>
    </r>
  </si>
  <si>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</si>
  <si>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</si>
  <si>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</si>
  <si>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</si>
  <si>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</si>
  <si>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绿植墙（软装）</t>
  </si>
  <si>
    <t>1.软装绿植墙
2.卡式龙骨配50副龙骨(装饰层80mm左右)、中距400
3.15mm阻燃板墙面基层
4.15mm密度板(防火防潮防蛀处理)
5.软包用泡沫海绵做内衬
6.织物面料</t>
  </si>
  <si>
    <t>样板层（东半层）</t>
  </si>
  <si>
    <t>.</t>
  </si>
  <si>
    <t>样板层</t>
  </si>
  <si>
    <t>1.CT03瓷砖地面（B栋标准层走廊局部）
2.含地砖美缝
3.12mm厚800*1600瓷砖面层（含地砖美缝）
4.5-10mm水泥胶结合层或瓷砖胶
5.30mm厚1:3干硬性水泥砂浆
6.素水泥砂浆结合层一遍
7.其它说明：满足规范和设计图纸要求</t>
  </si>
  <si>
    <t>1.WD05仿金属成品板吊顶
2.钢筋混凝土楼板
3.轻钢主龙骨(金属吊件连接)
4.轻钢次龙骨、收边轻钢龙骨(专用连接挂件)
5.15mm厚阻燃板基层
6.仿金属成品木板饰面
7.作法详见天花节点
8.其它说明：满足规范和设计图纸要求</t>
  </si>
  <si>
    <t>1.木骨架
2.15mm厚阻燃板基层
3.5mm密度板基层
4.WD05仿金属成品板
5.其它说明：满足规范和设计图纸要求</t>
  </si>
  <si>
    <t>1.木骨架
2.15mm厚阻燃板基层
3.5mm密度板基层
4.WD04仿布纹成品板
5.其它说明：满足规范和设计图纸要求</t>
  </si>
  <si>
    <t>1.木骨架
2.15mm厚阻燃板基层
3.5mm密度板基层
4.WD03仿石材成品板
5.其它说明：满足规范和设计图纸要求</t>
  </si>
  <si>
    <r>
      <rPr>
        <sz val="9"/>
        <color rgb="FF000000"/>
        <rFont val="宋体"/>
        <charset val="134"/>
      </rPr>
      <t>1.木骨架</t>
    </r>
    <r>
      <rPr>
        <sz val="9"/>
        <color rgb="FF000000"/>
        <rFont val="宋体"/>
        <charset val="134"/>
      </rPr>
      <t xml:space="preserve">
</t>
    </r>
    <r>
      <rPr>
        <sz val="9"/>
        <color rgb="FF000000"/>
        <rFont val="宋体"/>
        <charset val="134"/>
      </rPr>
      <t>2.15mm厚阻燃板基层</t>
    </r>
    <r>
      <rPr>
        <sz val="9"/>
        <color rgb="FF000000"/>
        <rFont val="宋体"/>
        <charset val="134"/>
      </rPr>
      <t xml:space="preserve">
</t>
    </r>
    <r>
      <rPr>
        <sz val="9"/>
        <color rgb="FF000000"/>
        <rFont val="宋体"/>
        <charset val="134"/>
      </rPr>
      <t>3.5mm密度板基层</t>
    </r>
    <r>
      <rPr>
        <sz val="9"/>
        <color rgb="FF000000"/>
        <rFont val="宋体"/>
        <charset val="134"/>
      </rPr>
      <t xml:space="preserve">
</t>
    </r>
    <r>
      <rPr>
        <sz val="9"/>
        <color rgb="FF000000"/>
        <rFont val="宋体"/>
        <charset val="134"/>
      </rPr>
      <t>4.WD02仿木纹成品板</t>
    </r>
    <r>
      <rPr>
        <sz val="9"/>
        <color rgb="FF000000"/>
        <rFont val="宋体"/>
        <charset val="134"/>
      </rPr>
      <t xml:space="preserve">
</t>
    </r>
    <r>
      <rPr>
        <sz val="9"/>
        <color rgb="FF000000"/>
        <rFont val="宋体"/>
        <charset val="134"/>
      </rPr>
      <t>5.其它说明：满足规范和设计图纸要求</t>
    </r>
  </si>
  <si>
    <t>艺术字板</t>
  </si>
  <si>
    <t>1.定制成品艺术字门牌
2.其它说明：满足规范和设计图纸要求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</si>
  <si>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</si>
  <si>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</si>
  <si>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</si>
  <si>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</si>
  <si>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</si>
  <si>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</si>
  <si>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</si>
  <si>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</si>
  <si>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</si>
  <si>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备注</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</si>
  <si>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</si>
  <si>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</si>
  <si>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</si>
  <si>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</si>
  <si>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t>m</t>
  </si>
  <si>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</si>
  <si>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</si>
  <si>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</si>
  <si>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</si>
  <si>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</si>
  <si>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</si>
  <si>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</si>
  <si>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</si>
  <si>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</si>
  <si>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</si>
  <si>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</si>
  <si>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</si>
  <si>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</si>
  <si>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</si>
  <si>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</si>
  <si>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价格清单（开元壹号62#地块50#公寓公区装饰工程）(安装部分)</t>
  </si>
  <si>
    <t>备 注
（品牌/厂家）</t>
  </si>
  <si>
    <t>y</t>
  </si>
  <si>
    <t>B栋</t>
  </si>
  <si>
    <t>一层大堂</t>
  </si>
  <si>
    <t>精装修(一层大堂)</t>
  </si>
  <si>
    <t>配管</t>
  </si>
  <si>
    <t>1.名称:电气配管
2.规格:JDG20
3.配置形式:吊顶内明敷
4.其它说明：满足规范和设计图纸要求</t>
  </si>
  <si>
    <t>郑州宏运盛恺</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</si>
  <si>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</si>
  <si>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</si>
  <si>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</si>
  <si>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2.规格、型号:WDZB-BYJ-2.5
3.敷设方式:穿管敷设
4.其它说明：满足规范和设计图纸要求</t>
  </si>
  <si>
    <t>金水</t>
  </si>
  <si>
    <t>河南通达</t>
  </si>
  <si>
    <t>郑州三厂</t>
  </si>
  <si>
    <t>1.名称:铜芯导线
2.规格、型号:WDZB-BYJ-2.5
3.敷设方式:桥架内敷设
4.其它说明：满足规范和设计图纸要求</t>
  </si>
  <si>
    <t>1.名称:铜芯导线
2.规格、型号:WDZB-BYJ-4
3.敷设方式:穿管敷设
4.其它说明：满足规范和设计图纸要求</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</si>
  <si>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</si>
  <si>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</si>
  <si>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</si>
  <si>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</si>
  <si>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雷士</t>
  </si>
  <si>
    <t>三雄极光</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</si>
  <si>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</si>
  <si>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</si>
  <si>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</si>
  <si>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1.名称:嵌入式格栅灯(入射角可调)-G1
2.规格:详见图纸
3.安装方式:嵌入式
4.其它说明：满足规范和设计图纸要求</t>
  </si>
  <si>
    <t>1.名称:嵌装式应急筒灯-E
2.规格:详见图纸
3.安装方式:嵌入式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</si>
  <si>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</si>
  <si>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</si>
  <si>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1.名称:筒灯-T1
2.规格:详见图纸
3.其它说明：满足规范和设计图纸要求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</si>
  <si>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</si>
  <si>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</si>
  <si>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照明开关</t>
  </si>
  <si>
    <t>1.名称:单极开关
2.规格:250V/10A
3.安装方式:暗装</t>
  </si>
  <si>
    <t>鸿雁</t>
  </si>
  <si>
    <t>西蒙</t>
  </si>
  <si>
    <t>1.名称:双极开关
2.规格:250V/10A
3.安装方式:暗装</t>
  </si>
  <si>
    <t>1.名称:三极开关
2.规格:250V/10A
3.安装方式:暗装</t>
  </si>
  <si>
    <t>1.名称:红外感应开关
2.规格:250V/10A
3.安装方式:暗装</t>
  </si>
  <si>
    <t>插座</t>
  </si>
  <si>
    <t>1.名称：单相五孔插座
2.规格：250V 10A
3.安装方式：暗装</t>
  </si>
  <si>
    <t>1.名称：电梯厅广告插座
2.规格：250V 10A
3.安装方式：地面暗装</t>
  </si>
  <si>
    <t>1.名称：防水五孔插座
2.规格：250V 10A
3.安装方式：暗装</t>
  </si>
  <si>
    <t>1.名称：2个并排五孔插座
2.规格：250V 10A
3.安装方式：暗装</t>
  </si>
  <si>
    <t>凿槽</t>
  </si>
  <si>
    <t>1.名称：剔槽</t>
  </si>
  <si>
    <t>接线盒</t>
  </si>
  <si>
    <t>1.名称:接线盒
2.材质:详见图纸
3.安装形式:明装</t>
  </si>
  <si>
    <t>应急照明（(一层大堂)）</t>
  </si>
  <si>
    <t>应急照明控制器</t>
  </si>
  <si>
    <t>1.名称：应急照明控制器
2.型号：TY-C</t>
  </si>
  <si>
    <t>应急照明电源</t>
  </si>
  <si>
    <t>1.名称:A型应急照明集中电源
2.规格:TY-D-nKVA
3.距地1.2米明装</t>
  </si>
  <si>
    <t>1.名称:安全出口标志灯
2.规格:TY-BLJC系列 1W
3.门框上面0.2米壁挂</t>
  </si>
  <si>
    <t>1.名称:方向标志灯(单向不可调)
2.规格:TY-BLJC系列 1W
3.距地0.5米壁挂</t>
  </si>
  <si>
    <t>1.名称:方向标志灯(双向可调)
2.规格:TY-BLJC系列 1W
3.距地0.5米壁挂</t>
  </si>
  <si>
    <t>1.名称:楼层标志灯
2.规格:TY-BLJC系列 1W
3.距地2.2米壁挂</t>
  </si>
  <si>
    <t>1.名称:消防应急照明灯具
2.规格:TY-BLJC系列 1W
3.距地2.5米壁挂</t>
  </si>
  <si>
    <t>1.名称:单面多信息复合指示灯
2.规格:TY-BLJC系列 1W
3.距地2.5米壁挂</t>
  </si>
  <si>
    <t>1.名称:双面多信息复合指示灯
2.规格:TY-BLJC系列 1W
3.距地2.5米壁挂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</si>
  <si>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</si>
  <si>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</si>
  <si>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</si>
  <si>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29层东侧</t>
  </si>
  <si>
    <t>精装修（29层东侧）</t>
  </si>
  <si>
    <t>1.名称:LED灯带（粗灯带）
2.规格:详见图纸
3.安装方式:天棚内
4.其它说明：满足规范和设计图纸要求</t>
  </si>
  <si>
    <t>应急照明（29层东侧）</t>
  </si>
  <si>
    <t>1.名称:避难间出口标志灯
2.规格:TY-BLJC系列 1W
3.门框上面0.2米壁挂</t>
  </si>
  <si>
    <t>1.名称:避难间入口标志灯
2.规格:TY-BLJC系列 1W
3.门框上面0.2米壁挂</t>
  </si>
  <si>
    <t>1.名称:双面吊装标志灯
2.规格:TY-BLJC系列 1W
3.距地2.5米壁挂</t>
  </si>
  <si>
    <t>1.名称:配线
2.规格、型号:NH-RVS-2*2.5
3.敷设方式:穿管敷设
4.其它说明：满足规范和设计图纸要求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</si>
</sst>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0_ "/>
  </numFmts>
  <fonts count="54">
    <font>
      <sz val="10"/>
      <name val="Arial"/>
      <charset val="1"/>
    </font>
    <font>
      <sz val="9"/>
      <name val="宋体"/>
      <charset val="134"/>
      <scheme val="minor"/>
    </font>
    <font>
      <sz val="9"/>
      <color theme="1"/>
      <name val="宋体"/>
      <charset val="134"/>
      <scheme val="minor"/>
    </font>
    <font>
      <b/>
      <sz val="20"/>
      <name val="宋体"/>
      <charset val="134"/>
    </font>
    <font>
      <sz val="10"/>
      <name val="宋体"/>
      <charset val="134"/>
    </font>
    <font>
      <sz val="9"/>
      <name val="宋体"/>
      <charset val="134"/>
    </font>
    <font>
      <sz val="11"/>
      <name val="宋体"/>
      <charset val="134"/>
    </font>
    <font>
      <b/>
      <sz val="11"/>
      <name val="宋体"/>
      <charset val="134"/>
    </font>
    <font>
      <sz val="11"/>
      <color rgb="FF000000"/>
      <name val="宋体"/>
      <charset val="134"/>
    </font>
    <font>
      <sz val="11"/>
      <name val="宋体"/>
      <charset val="134"/>
      <scheme val="minor"/>
    </font>
    <font>
      <b/>
      <sz val="11"/>
      <name val="宋体"/>
      <charset val="134"/>
      <scheme val="minor"/>
    </font>
    <font>
      <sz val="20"/>
      <name val="Arial"/>
      <charset val="1"/>
    </font>
    <font>
      <sz val="20"/>
      <name val="Arial"/>
      <charset val="134"/>
    </font>
    <font>
      <b/>
      <sz val="20"/>
      <color rgb="FF000000"/>
      <name val="宋体"/>
      <charset val="134"/>
    </font>
    <font>
      <sz val="9"/>
      <color rgb="FF000000"/>
      <name val="宋体"/>
      <charset val="134"/>
    </font>
    <font>
      <b/>
      <sz val="9"/>
      <color rgb="FF000000"/>
      <name val="宋体"/>
      <charset val="134"/>
    </font>
    <font>
      <b/>
      <sz val="9"/>
      <name val="宋体"/>
      <charset val="134"/>
    </font>
    <font>
      <sz val="12"/>
      <name val="宋体"/>
      <charset val="134"/>
    </font>
    <font>
      <b/>
      <sz val="12"/>
      <name val="宋体"/>
      <charset val="134"/>
    </font>
    <font>
      <b/>
      <sz val="16"/>
      <color rgb="FF000000"/>
      <name val="宋体"/>
      <charset val="134"/>
    </font>
    <font>
      <sz val="10"/>
      <color theme="1"/>
      <name val="宋体"/>
      <charset val="134"/>
    </font>
    <font>
      <b/>
      <sz val="10"/>
      <color theme="1"/>
      <name val="宋体"/>
      <charset val="134"/>
    </font>
    <font>
      <b/>
      <sz val="10"/>
      <color rgb="FF000000"/>
      <name val="宋体"/>
      <charset val="134"/>
    </font>
    <font>
      <sz val="10"/>
      <color rgb="FF000000"/>
      <name val="宋体"/>
      <charset val="134"/>
    </font>
    <font>
      <b/>
      <sz val="10"/>
      <name val="宋体"/>
      <charset val="134"/>
    </font>
    <font>
      <b/>
      <sz val="10"/>
      <color rgb="FFFF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
      <name val="Arial"/>
      <charset val="134"/>
    </font>
    <font>
      <sz val="20"/>
      <name val="宋体"/>
      <charset val="134"/>
    </font>
  </fonts>
  <fills count="40">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rgb="FFFF000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9" borderId="1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2"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8" fillId="0" borderId="0" applyNumberFormat="0" applyFill="0" applyBorder="0" applyAlignment="0" applyProtection="0">
      <alignment vertical="center"/>
    </xf>
    <xf numFmtId="0" fontId="39" fillId="10" borderId="14" applyNumberFormat="0" applyAlignment="0" applyProtection="0">
      <alignment vertical="center"/>
    </xf>
    <xf numFmtId="0" fontId="40" fillId="11" borderId="15" applyNumberFormat="0" applyAlignment="0" applyProtection="0">
      <alignment vertical="center"/>
    </xf>
    <xf numFmtId="0" fontId="41" fillId="11" borderId="14" applyNumberFormat="0" applyAlignment="0" applyProtection="0">
      <alignment vertical="center"/>
    </xf>
    <xf numFmtId="0" fontId="42" fillId="12" borderId="16" applyNumberFormat="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9" fillId="37" borderId="0" applyNumberFormat="0" applyBorder="0" applyAlignment="0" applyProtection="0">
      <alignment vertical="center"/>
    </xf>
    <xf numFmtId="0" fontId="49" fillId="38" borderId="0" applyNumberFormat="0" applyBorder="0" applyAlignment="0" applyProtection="0">
      <alignment vertical="center"/>
    </xf>
    <xf numFmtId="0" fontId="48" fillId="39" borderId="0" applyNumberFormat="0" applyBorder="0" applyAlignment="0" applyProtection="0">
      <alignment vertical="center"/>
    </xf>
    <xf numFmtId="0" fontId="50"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xf numFmtId="176" fontId="50" fillId="0" borderId="1">
      <alignment horizontal="right" vertical="center" wrapText="1"/>
    </xf>
    <xf numFmtId="176" fontId="50" fillId="0" borderId="1">
      <alignment horizontal="right" vertical="center" wrapText="1"/>
    </xf>
    <xf numFmtId="0" fontId="51" fillId="0" borderId="0">
      <alignment vertical="center"/>
    </xf>
    <xf numFmtId="0" fontId="17" fillId="0" borderId="0"/>
    <xf numFmtId="0" fontId="30" fillId="0" borderId="0">
      <alignment vertical="center"/>
    </xf>
    <xf numFmtId="0" fontId="5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2"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225">
    <xf numFmtId="0" fontId="0" fillId="0" borderId="0" xfId="0"/>
    <xf numFmtId="177" fontId="1" fillId="0" borderId="0" xfId="54" applyNumberFormat="1" applyFont="1" applyFill="1" applyAlignment="1">
      <alignment horizontal="left"/>
    </xf>
    <xf numFmtId="177" fontId="2" fillId="2" borderId="0" xfId="54" applyNumberFormat="1" applyFont="1" applyFill="1" applyAlignment="1">
      <alignment horizontal="center"/>
    </xf>
    <xf numFmtId="10" fontId="2" fillId="2" borderId="0" xfId="3" applyNumberFormat="1" applyFont="1" applyFill="1" applyBorder="1" applyAlignment="1" applyProtection="1">
      <alignment horizontal="center"/>
    </xf>
    <xf numFmtId="177" fontId="2" fillId="2" borderId="0" xfId="54" applyNumberFormat="1" applyFont="1" applyFill="1" applyAlignment="1">
      <alignment horizontal="left"/>
    </xf>
    <xf numFmtId="177" fontId="1" fillId="3" borderId="0" xfId="54" applyNumberFormat="1" applyFont="1" applyFill="1" applyAlignment="1">
      <alignment horizontal="center" vertical="center"/>
    </xf>
    <xf numFmtId="10" fontId="1" fillId="3" borderId="0" xfId="3" applyNumberFormat="1" applyFont="1" applyFill="1" applyBorder="1" applyAlignment="1" applyProtection="1">
      <alignment horizontal="center" vertical="center"/>
    </xf>
    <xf numFmtId="177" fontId="2" fillId="4" borderId="0" xfId="54" applyNumberFormat="1" applyFont="1" applyFill="1" applyAlignment="1">
      <alignment horizontal="left"/>
    </xf>
    <xf numFmtId="10" fontId="2" fillId="4" borderId="0" xfId="3" applyNumberFormat="1" applyFont="1" applyFill="1" applyBorder="1" applyAlignment="1" applyProtection="1">
      <alignment horizontal="left"/>
    </xf>
    <xf numFmtId="177" fontId="1" fillId="5" borderId="0" xfId="54" applyNumberFormat="1" applyFont="1" applyFill="1" applyAlignment="1">
      <alignment horizontal="left"/>
    </xf>
    <xf numFmtId="177" fontId="1" fillId="6" borderId="0" xfId="54" applyNumberFormat="1" applyFont="1" applyFill="1" applyAlignment="1">
      <alignment horizontal="left"/>
    </xf>
    <xf numFmtId="178" fontId="3" fillId="0" borderId="0" xfId="54" applyNumberFormat="1" applyFont="1" applyFill="1" applyAlignment="1">
      <alignment horizontal="center" vertical="center" wrapText="1"/>
    </xf>
    <xf numFmtId="177" fontId="3" fillId="0" borderId="0" xfId="54" applyNumberFormat="1" applyFont="1" applyFill="1" applyAlignment="1">
      <alignment horizontal="center" vertical="center" wrapText="1"/>
    </xf>
    <xf numFmtId="177" fontId="3" fillId="2" borderId="0" xfId="54" applyNumberFormat="1" applyFont="1" applyFill="1" applyAlignment="1">
      <alignment horizontal="center" vertical="center" wrapText="1"/>
    </xf>
    <xf numFmtId="178" fontId="4" fillId="0" borderId="0" xfId="54" applyNumberFormat="1" applyFont="1" applyFill="1" applyAlignment="1">
      <alignment horizontal="center" vertical="center" wrapText="1"/>
    </xf>
    <xf numFmtId="177" fontId="4" fillId="0" borderId="0" xfId="54" applyNumberFormat="1" applyFont="1" applyFill="1" applyAlignment="1">
      <alignment horizontal="left" vertical="center" wrapText="1"/>
    </xf>
    <xf numFmtId="177" fontId="4" fillId="0" borderId="0" xfId="54" applyNumberFormat="1" applyFont="1" applyFill="1" applyAlignment="1">
      <alignment horizontal="center" vertical="center" wrapText="1"/>
    </xf>
    <xf numFmtId="177" fontId="5" fillId="2" borderId="0" xfId="54" applyNumberFormat="1" applyFont="1" applyFill="1" applyAlignment="1">
      <alignment horizontal="left" vertical="center" wrapText="1"/>
    </xf>
    <xf numFmtId="177" fontId="5" fillId="2" borderId="0" xfId="54" applyNumberFormat="1" applyFont="1" applyFill="1" applyAlignment="1">
      <alignment horizontal="center" vertical="center" wrapText="1"/>
    </xf>
    <xf numFmtId="178" fontId="6" fillId="0" borderId="1" xfId="54" applyNumberFormat="1" applyFont="1" applyFill="1" applyBorder="1" applyAlignment="1">
      <alignment horizontal="center" vertical="center" wrapText="1"/>
    </xf>
    <xf numFmtId="177" fontId="6" fillId="0" borderId="1" xfId="54" applyNumberFormat="1" applyFont="1" applyFill="1" applyBorder="1" applyAlignment="1">
      <alignment horizontal="center" vertical="center" wrapText="1"/>
    </xf>
    <xf numFmtId="177" fontId="6" fillId="0" borderId="2" xfId="54" applyNumberFormat="1" applyFont="1" applyFill="1" applyBorder="1" applyAlignment="1">
      <alignment horizontal="center" vertical="center" wrapText="1"/>
    </xf>
    <xf numFmtId="177" fontId="6" fillId="2" borderId="1" xfId="54" applyNumberFormat="1" applyFont="1" applyFill="1" applyBorder="1" applyAlignment="1">
      <alignment horizontal="center" vertical="center" wrapText="1"/>
    </xf>
    <xf numFmtId="178" fontId="7" fillId="0" borderId="1" xfId="54" applyNumberFormat="1" applyFont="1" applyFill="1" applyBorder="1" applyAlignment="1">
      <alignment horizontal="center" vertical="center" wrapText="1"/>
    </xf>
    <xf numFmtId="177" fontId="7" fillId="0" borderId="1" xfId="54" applyNumberFormat="1" applyFont="1" applyFill="1" applyBorder="1" applyAlignment="1">
      <alignment horizontal="left" vertical="center" wrapText="1"/>
    </xf>
    <xf numFmtId="177" fontId="7" fillId="0" borderId="1" xfId="54" applyNumberFormat="1" applyFont="1" applyFill="1" applyBorder="1" applyAlignment="1">
      <alignment horizontal="center" vertical="center" wrapText="1"/>
    </xf>
    <xf numFmtId="177" fontId="7" fillId="0" borderId="2" xfId="54" applyNumberFormat="1" applyFont="1" applyFill="1" applyBorder="1" applyAlignment="1">
      <alignment horizontal="center" vertical="center" wrapText="1"/>
    </xf>
    <xf numFmtId="177" fontId="7" fillId="2" borderId="1" xfId="54" applyNumberFormat="1" applyFont="1" applyFill="1" applyBorder="1" applyAlignment="1">
      <alignment horizontal="center" vertical="center" wrapText="1"/>
    </xf>
    <xf numFmtId="177" fontId="6" fillId="0" borderId="1" xfId="54" applyNumberFormat="1" applyFont="1" applyFill="1" applyBorder="1" applyAlignment="1">
      <alignment horizontal="left" vertical="center" wrapText="1"/>
    </xf>
    <xf numFmtId="177" fontId="8" fillId="0" borderId="1" xfId="0" applyNumberFormat="1" applyFont="1" applyFill="1" applyBorder="1" applyAlignment="1">
      <alignment horizontal="left" vertical="center" wrapText="1"/>
    </xf>
    <xf numFmtId="177" fontId="3" fillId="3" borderId="0" xfId="54" applyNumberFormat="1" applyFont="1" applyFill="1" applyAlignment="1">
      <alignment horizontal="center" vertical="center" wrapText="1"/>
    </xf>
    <xf numFmtId="10" fontId="5" fillId="2" borderId="0" xfId="3" applyNumberFormat="1" applyFont="1" applyFill="1" applyBorder="1" applyAlignment="1" applyProtection="1">
      <alignment horizontal="center" vertical="center" wrapText="1"/>
    </xf>
    <xf numFmtId="177" fontId="4" fillId="3" borderId="0" xfId="54" applyNumberFormat="1" applyFont="1" applyFill="1" applyAlignment="1">
      <alignment horizontal="center" vertical="center" wrapText="1"/>
    </xf>
    <xf numFmtId="10" fontId="6" fillId="2" borderId="1" xfId="3" applyNumberFormat="1" applyFont="1" applyFill="1" applyBorder="1" applyAlignment="1" applyProtection="1">
      <alignment horizontal="center" vertical="center" wrapText="1"/>
    </xf>
    <xf numFmtId="177" fontId="6" fillId="3" borderId="3" xfId="54" applyNumberFormat="1" applyFont="1" applyFill="1" applyBorder="1" applyAlignment="1">
      <alignment horizontal="center" vertical="center" wrapText="1"/>
    </xf>
    <xf numFmtId="9" fontId="6" fillId="2" borderId="1" xfId="3" applyFont="1" applyFill="1" applyBorder="1" applyAlignment="1" applyProtection="1">
      <alignment horizontal="center" vertical="center" wrapText="1"/>
    </xf>
    <xf numFmtId="10" fontId="7" fillId="2" borderId="1" xfId="3" applyNumberFormat="1" applyFont="1" applyFill="1" applyBorder="1" applyAlignment="1" applyProtection="1">
      <alignment horizontal="center" vertical="center" wrapText="1"/>
    </xf>
    <xf numFmtId="177" fontId="7" fillId="3" borderId="3" xfId="54" applyNumberFormat="1" applyFont="1" applyFill="1" applyBorder="1" applyAlignment="1">
      <alignment horizontal="center" vertical="center" wrapText="1"/>
    </xf>
    <xf numFmtId="177" fontId="6" fillId="7" borderId="1" xfId="54" applyNumberFormat="1" applyFont="1" applyFill="1" applyBorder="1" applyAlignment="1">
      <alignment horizontal="center" vertical="center" wrapText="1"/>
    </xf>
    <xf numFmtId="0" fontId="6" fillId="2" borderId="0" xfId="0" applyFont="1" applyFill="1" applyAlignment="1">
      <alignment horizontal="justify" vertical="center"/>
    </xf>
    <xf numFmtId="0" fontId="6" fillId="2" borderId="0" xfId="0" applyFont="1" applyFill="1" applyAlignment="1">
      <alignment horizontal="center" vertical="center"/>
    </xf>
    <xf numFmtId="177" fontId="5" fillId="3" borderId="0" xfId="54" applyNumberFormat="1" applyFont="1" applyFill="1" applyAlignment="1">
      <alignment horizontal="center" vertical="center" wrapText="1"/>
    </xf>
    <xf numFmtId="10" fontId="5" fillId="3" borderId="0" xfId="3" applyNumberFormat="1" applyFont="1" applyFill="1" applyBorder="1" applyAlignment="1" applyProtection="1">
      <alignment horizontal="center" vertical="center" wrapText="1"/>
    </xf>
    <xf numFmtId="177" fontId="6" fillId="3" borderId="1" xfId="54" applyNumberFormat="1" applyFont="1" applyFill="1" applyBorder="1" applyAlignment="1">
      <alignment horizontal="center" vertical="center" wrapText="1"/>
    </xf>
    <xf numFmtId="10" fontId="6" fillId="3" borderId="1" xfId="3" applyNumberFormat="1" applyFont="1" applyFill="1" applyBorder="1" applyAlignment="1" applyProtection="1">
      <alignment horizontal="center" vertical="center" wrapText="1"/>
    </xf>
    <xf numFmtId="9" fontId="6" fillId="3" borderId="1" xfId="3" applyFont="1" applyFill="1" applyBorder="1" applyAlignment="1" applyProtection="1">
      <alignment horizontal="center" vertical="center" wrapText="1"/>
    </xf>
    <xf numFmtId="177" fontId="7" fillId="3" borderId="1" xfId="54" applyNumberFormat="1" applyFont="1" applyFill="1" applyBorder="1" applyAlignment="1">
      <alignment horizontal="center" vertical="center" wrapText="1"/>
    </xf>
    <xf numFmtId="10" fontId="7" fillId="3" borderId="1" xfId="3" applyNumberFormat="1" applyFont="1" applyFill="1" applyBorder="1" applyAlignment="1" applyProtection="1">
      <alignment horizontal="center" vertical="center" wrapText="1"/>
    </xf>
    <xf numFmtId="177" fontId="6" fillId="8" borderId="1" xfId="54" applyNumberFormat="1" applyFont="1" applyFill="1" applyBorder="1" applyAlignment="1">
      <alignment horizontal="center" vertical="center" wrapText="1"/>
    </xf>
    <xf numFmtId="177" fontId="3" fillId="4" borderId="0" xfId="54" applyNumberFormat="1" applyFont="1" applyFill="1" applyAlignment="1">
      <alignment horizontal="center" vertical="center" wrapText="1"/>
    </xf>
    <xf numFmtId="177" fontId="5" fillId="4" borderId="0" xfId="54" applyNumberFormat="1" applyFont="1" applyFill="1" applyAlignment="1">
      <alignment horizontal="left" vertical="center" wrapText="1"/>
    </xf>
    <xf numFmtId="10" fontId="5" fillId="4" borderId="0" xfId="3" applyNumberFormat="1" applyFont="1" applyFill="1" applyBorder="1" applyAlignment="1" applyProtection="1">
      <alignment horizontal="left" vertical="center" wrapText="1"/>
    </xf>
    <xf numFmtId="177" fontId="6" fillId="4" borderId="1" xfId="54" applyNumberFormat="1" applyFont="1" applyFill="1" applyBorder="1" applyAlignment="1">
      <alignment horizontal="center" vertical="center" wrapText="1"/>
    </xf>
    <xf numFmtId="10" fontId="6" fillId="4" borderId="1" xfId="3" applyNumberFormat="1" applyFont="1" applyFill="1" applyBorder="1" applyAlignment="1" applyProtection="1">
      <alignment horizontal="center" vertical="center" wrapText="1"/>
    </xf>
    <xf numFmtId="9" fontId="6" fillId="4" borderId="1" xfId="3" applyNumberFormat="1" applyFont="1" applyFill="1" applyBorder="1" applyAlignment="1" applyProtection="1">
      <alignment horizontal="center" vertical="center" wrapText="1"/>
    </xf>
    <xf numFmtId="177" fontId="7" fillId="4" borderId="1" xfId="54" applyNumberFormat="1" applyFont="1" applyFill="1" applyBorder="1" applyAlignment="1">
      <alignment horizontal="center" vertical="center" wrapText="1"/>
    </xf>
    <xf numFmtId="10" fontId="7" fillId="4" borderId="1" xfId="3" applyNumberFormat="1" applyFont="1" applyFill="1" applyBorder="1" applyAlignment="1" applyProtection="1">
      <alignment horizontal="center" vertical="center" wrapText="1"/>
    </xf>
    <xf numFmtId="9" fontId="6" fillId="4" borderId="1" xfId="3" applyFont="1" applyFill="1" applyBorder="1" applyAlignment="1" applyProtection="1">
      <alignment horizontal="center" vertical="center" wrapText="1"/>
    </xf>
    <xf numFmtId="43" fontId="6" fillId="4" borderId="1" xfId="3" applyNumberFormat="1" applyFont="1" applyFill="1" applyBorder="1" applyAlignment="1" applyProtection="1">
      <alignment horizontal="center" vertical="center" wrapText="1"/>
    </xf>
    <xf numFmtId="177" fontId="3" fillId="5" borderId="0" xfId="54" applyNumberFormat="1" applyFont="1" applyFill="1" applyAlignment="1">
      <alignment horizontal="center" vertical="center" wrapText="1"/>
    </xf>
    <xf numFmtId="177" fontId="4" fillId="5" borderId="0" xfId="54" applyNumberFormat="1" applyFont="1" applyFill="1" applyAlignment="1">
      <alignment horizontal="center" vertical="center" wrapText="1"/>
    </xf>
    <xf numFmtId="177" fontId="5" fillId="5" borderId="0" xfId="54" applyNumberFormat="1" applyFont="1" applyFill="1" applyAlignment="1">
      <alignment horizontal="center" vertical="center" wrapText="1"/>
    </xf>
    <xf numFmtId="10" fontId="5" fillId="5" borderId="0" xfId="3" applyNumberFormat="1" applyFont="1" applyFill="1" applyBorder="1" applyAlignment="1" applyProtection="1">
      <alignment horizontal="center" vertical="center" wrapText="1"/>
    </xf>
    <xf numFmtId="177" fontId="6" fillId="5" borderId="1" xfId="54" applyNumberFormat="1" applyFont="1" applyFill="1" applyBorder="1" applyAlignment="1">
      <alignment horizontal="center" vertical="center" wrapText="1"/>
    </xf>
    <xf numFmtId="10" fontId="6" fillId="5" borderId="1" xfId="3" applyNumberFormat="1" applyFont="1" applyFill="1" applyBorder="1" applyAlignment="1" applyProtection="1">
      <alignment horizontal="center" vertical="center" wrapText="1"/>
    </xf>
    <xf numFmtId="177" fontId="7" fillId="5" borderId="1" xfId="54" applyNumberFormat="1" applyFont="1" applyFill="1" applyBorder="1" applyAlignment="1">
      <alignment horizontal="center" vertical="center" wrapText="1"/>
    </xf>
    <xf numFmtId="10" fontId="7" fillId="5" borderId="1" xfId="3" applyNumberFormat="1" applyFont="1" applyFill="1" applyBorder="1" applyAlignment="1" applyProtection="1">
      <alignment horizontal="center" vertical="center" wrapText="1"/>
    </xf>
    <xf numFmtId="177" fontId="3" fillId="6" borderId="0" xfId="54" applyNumberFormat="1" applyFont="1" applyFill="1" applyAlignment="1">
      <alignment horizontal="center" vertical="center" wrapText="1"/>
    </xf>
    <xf numFmtId="177" fontId="4" fillId="6" borderId="0" xfId="54" applyNumberFormat="1" applyFont="1" applyFill="1" applyAlignment="1">
      <alignment horizontal="center" vertical="center" wrapText="1"/>
    </xf>
    <xf numFmtId="177" fontId="5" fillId="6" borderId="0" xfId="54" applyNumberFormat="1" applyFont="1" applyFill="1" applyAlignment="1">
      <alignment horizontal="center" vertical="center" wrapText="1"/>
    </xf>
    <xf numFmtId="177" fontId="6" fillId="6" borderId="1" xfId="54" applyNumberFormat="1" applyFont="1" applyFill="1" applyBorder="1" applyAlignment="1">
      <alignment horizontal="center" vertical="center" wrapText="1"/>
    </xf>
    <xf numFmtId="177" fontId="7" fillId="6" borderId="1" xfId="54" applyNumberFormat="1" applyFont="1" applyFill="1" applyBorder="1" applyAlignment="1">
      <alignment horizontal="center" vertical="center" wrapText="1"/>
    </xf>
    <xf numFmtId="10" fontId="5" fillId="6" borderId="0" xfId="3" applyNumberFormat="1" applyFont="1" applyFill="1" applyBorder="1" applyAlignment="1" applyProtection="1">
      <alignment horizontal="center" vertical="center" wrapText="1"/>
    </xf>
    <xf numFmtId="10" fontId="6" fillId="6" borderId="1" xfId="3" applyNumberFormat="1" applyFont="1" applyFill="1" applyBorder="1" applyAlignment="1" applyProtection="1">
      <alignment horizontal="center" vertical="center" wrapText="1"/>
    </xf>
    <xf numFmtId="9" fontId="6" fillId="6" borderId="1" xfId="3" applyFont="1" applyFill="1" applyBorder="1" applyAlignment="1" applyProtection="1">
      <alignment horizontal="center" vertical="center" wrapText="1"/>
    </xf>
    <xf numFmtId="10" fontId="7" fillId="6" borderId="1" xfId="3" applyNumberFormat="1" applyFont="1" applyFill="1" applyBorder="1" applyAlignment="1" applyProtection="1">
      <alignment horizontal="center" vertical="center" wrapText="1"/>
    </xf>
    <xf numFmtId="178" fontId="9" fillId="0" borderId="1" xfId="54" applyNumberFormat="1" applyFont="1" applyFill="1" applyBorder="1" applyAlignment="1">
      <alignment horizontal="center"/>
    </xf>
    <xf numFmtId="177" fontId="10" fillId="0" borderId="2" xfId="54" applyNumberFormat="1" applyFont="1" applyFill="1" applyBorder="1" applyAlignment="1">
      <alignment horizontal="center" vertical="center"/>
    </xf>
    <xf numFmtId="177" fontId="10" fillId="0" borderId="3" xfId="54" applyNumberFormat="1" applyFont="1" applyFill="1" applyBorder="1" applyAlignment="1">
      <alignment horizontal="center" vertical="center"/>
    </xf>
    <xf numFmtId="177" fontId="9" fillId="0" borderId="1" xfId="54" applyNumberFormat="1" applyFont="1" applyFill="1" applyBorder="1" applyAlignment="1">
      <alignment horizontal="center"/>
    </xf>
    <xf numFmtId="177" fontId="9" fillId="0" borderId="2" xfId="54" applyNumberFormat="1" applyFont="1" applyFill="1" applyBorder="1" applyAlignment="1">
      <alignment horizontal="center" vertical="center"/>
    </xf>
    <xf numFmtId="177" fontId="2" fillId="2" borderId="1" xfId="54" applyNumberFormat="1" applyFont="1" applyFill="1" applyBorder="1" applyAlignment="1">
      <alignment horizontal="center"/>
    </xf>
    <xf numFmtId="178" fontId="4"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left" vertical="center" wrapText="1"/>
    </xf>
    <xf numFmtId="10" fontId="2" fillId="2" borderId="1" xfId="3" applyNumberFormat="1" applyFont="1" applyFill="1" applyBorder="1" applyAlignment="1" applyProtection="1">
      <alignment horizontal="center"/>
    </xf>
    <xf numFmtId="177" fontId="2" fillId="2" borderId="1" xfId="54" applyNumberFormat="1" applyFont="1" applyFill="1" applyBorder="1" applyAlignment="1">
      <alignment horizontal="left"/>
    </xf>
    <xf numFmtId="177" fontId="9" fillId="3" borderId="3" xfId="54" applyNumberFormat="1" applyFont="1" applyFill="1" applyBorder="1" applyAlignment="1">
      <alignment horizontal="center" vertical="center"/>
    </xf>
    <xf numFmtId="177" fontId="4" fillId="3" borderId="3" xfId="0" applyNumberFormat="1" applyFont="1" applyFill="1" applyBorder="1" applyAlignment="1">
      <alignment horizontal="left" vertical="center" wrapText="1"/>
    </xf>
    <xf numFmtId="177" fontId="9" fillId="3" borderId="1" xfId="54" applyNumberFormat="1" applyFont="1" applyFill="1" applyBorder="1" applyAlignment="1">
      <alignment horizontal="center" vertical="center"/>
    </xf>
    <xf numFmtId="10" fontId="9" fillId="3" borderId="1" xfId="3" applyNumberFormat="1" applyFont="1" applyFill="1" applyBorder="1" applyAlignment="1" applyProtection="1">
      <alignment horizontal="center" vertical="center"/>
    </xf>
    <xf numFmtId="177" fontId="10" fillId="3" borderId="1" xfId="54" applyNumberFormat="1" applyFont="1" applyFill="1" applyBorder="1" applyAlignment="1">
      <alignment horizontal="center" vertical="center"/>
    </xf>
    <xf numFmtId="177" fontId="4" fillId="3" borderId="1" xfId="0" applyNumberFormat="1" applyFont="1" applyFill="1" applyBorder="1" applyAlignment="1">
      <alignment horizontal="left" vertical="center" wrapText="1"/>
    </xf>
    <xf numFmtId="10" fontId="4" fillId="3" borderId="1" xfId="3" applyNumberFormat="1" applyFont="1" applyFill="1" applyBorder="1" applyAlignment="1" applyProtection="1">
      <alignment horizontal="left" vertical="center" wrapText="1"/>
    </xf>
    <xf numFmtId="177" fontId="9" fillId="5" borderId="1" xfId="54" applyNumberFormat="1" applyFont="1" applyFill="1" applyBorder="1" applyAlignment="1">
      <alignment horizontal="center" vertical="center"/>
    </xf>
    <xf numFmtId="10" fontId="9" fillId="5" borderId="1" xfId="3" applyNumberFormat="1" applyFont="1" applyFill="1" applyBorder="1" applyAlignment="1" applyProtection="1">
      <alignment horizontal="center" vertical="center"/>
    </xf>
    <xf numFmtId="177" fontId="4" fillId="5" borderId="1" xfId="0" applyNumberFormat="1" applyFont="1" applyFill="1" applyBorder="1" applyAlignment="1" applyProtection="1">
      <alignment horizontal="left" vertical="center" wrapText="1"/>
    </xf>
    <xf numFmtId="10" fontId="4" fillId="5" borderId="1" xfId="3" applyNumberFormat="1" applyFont="1" applyFill="1" applyBorder="1" applyAlignment="1" applyProtection="1">
      <alignment horizontal="left" vertical="center" wrapText="1"/>
    </xf>
    <xf numFmtId="177" fontId="10" fillId="5" borderId="1" xfId="54" applyNumberFormat="1" applyFont="1" applyFill="1" applyBorder="1" applyAlignment="1">
      <alignment horizontal="center" vertical="center"/>
    </xf>
    <xf numFmtId="177" fontId="9" fillId="6" borderId="1" xfId="54" applyNumberFormat="1" applyFont="1" applyFill="1" applyBorder="1" applyAlignment="1">
      <alignment horizontal="center" vertical="center"/>
    </xf>
    <xf numFmtId="177" fontId="4" fillId="6" borderId="1" xfId="0" applyNumberFormat="1" applyFont="1" applyFill="1" applyBorder="1" applyAlignment="1" applyProtection="1">
      <alignment horizontal="left" vertical="center" wrapText="1"/>
    </xf>
    <xf numFmtId="10" fontId="9" fillId="6" borderId="1" xfId="3" applyNumberFormat="1" applyFont="1" applyFill="1" applyBorder="1" applyAlignment="1" applyProtection="1">
      <alignment horizontal="center" vertical="center"/>
    </xf>
    <xf numFmtId="177" fontId="10" fillId="6" borderId="1" xfId="54" applyNumberFormat="1" applyFont="1" applyFill="1" applyBorder="1" applyAlignment="1">
      <alignment horizontal="center" vertical="center"/>
    </xf>
    <xf numFmtId="10" fontId="4" fillId="6" borderId="1" xfId="3" applyNumberFormat="1"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1" fillId="0" borderId="0" xfId="0" applyFont="1" applyAlignment="1">
      <alignment horizontal="center" vertical="center"/>
    </xf>
    <xf numFmtId="0" fontId="11"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4" fillId="0" borderId="1" xfId="0" applyFont="1" applyBorder="1"/>
    <xf numFmtId="0" fontId="0" fillId="0" borderId="1" xfId="0" applyBorder="1"/>
    <xf numFmtId="0" fontId="0" fillId="0" borderId="1" xfId="0" applyFont="1" applyFill="1" applyBorder="1"/>
    <xf numFmtId="0" fontId="4" fillId="0" borderId="1" xfId="0" applyFont="1" applyFill="1" applyBorder="1" applyAlignment="1">
      <alignment wrapText="1"/>
    </xf>
    <xf numFmtId="0" fontId="4" fillId="0" borderId="1" xfId="0" applyFont="1" applyFill="1" applyBorder="1"/>
    <xf numFmtId="0" fontId="12" fillId="0" borderId="0" xfId="0" applyFont="1" applyAlignment="1">
      <alignment horizontal="center" vertical="center"/>
    </xf>
    <xf numFmtId="177" fontId="2" fillId="0" borderId="0" xfId="54" applyNumberFormat="1" applyFill="1" applyAlignment="1">
      <alignment horizontal="left"/>
    </xf>
    <xf numFmtId="178" fontId="2" fillId="0" borderId="0" xfId="54" applyNumberFormat="1" applyFont="1" applyFill="1" applyAlignment="1">
      <alignment horizontal="left"/>
    </xf>
    <xf numFmtId="177" fontId="2" fillId="0" borderId="0" xfId="54" applyNumberFormat="1" applyFont="1" applyFill="1" applyAlignment="1">
      <alignment horizontal="left"/>
    </xf>
    <xf numFmtId="177" fontId="2" fillId="0" borderId="0" xfId="54" applyNumberFormat="1" applyFont="1" applyFill="1" applyAlignment="1">
      <alignment horizontal="center"/>
    </xf>
    <xf numFmtId="10" fontId="2" fillId="0" borderId="0" xfId="3" applyNumberFormat="1" applyFont="1" applyFill="1" applyBorder="1" applyAlignment="1" applyProtection="1">
      <alignment horizontal="center"/>
    </xf>
    <xf numFmtId="178" fontId="13" fillId="0" borderId="0" xfId="54" applyNumberFormat="1" applyFont="1" applyFill="1" applyAlignment="1">
      <alignment horizontal="center" vertical="center" wrapText="1"/>
    </xf>
    <xf numFmtId="178" fontId="14" fillId="0" borderId="0" xfId="54" applyNumberFormat="1" applyFont="1" applyFill="1" applyAlignment="1">
      <alignment horizontal="left" vertical="center" wrapText="1"/>
    </xf>
    <xf numFmtId="178" fontId="15" fillId="0" borderId="1" xfId="54" applyNumberFormat="1" applyFont="1" applyFill="1" applyBorder="1" applyAlignment="1">
      <alignment horizontal="center" vertical="center" wrapText="1"/>
    </xf>
    <xf numFmtId="178" fontId="5" fillId="0" borderId="1" xfId="54" applyNumberFormat="1" applyFont="1" applyFill="1" applyBorder="1" applyAlignment="1">
      <alignment horizontal="center" vertical="center" wrapText="1"/>
    </xf>
    <xf numFmtId="177" fontId="5" fillId="0" borderId="1" xfId="54" applyNumberFormat="1" applyFont="1" applyFill="1" applyBorder="1" applyAlignment="1">
      <alignment horizontal="center" vertical="center" wrapText="1"/>
    </xf>
    <xf numFmtId="178" fontId="5" fillId="0" borderId="1" xfId="54" applyNumberFormat="1" applyFont="1" applyFill="1" applyBorder="1" applyAlignment="1">
      <alignment horizontal="left" vertical="center" wrapText="1"/>
    </xf>
    <xf numFmtId="177" fontId="5" fillId="0" borderId="1" xfId="54" applyNumberFormat="1" applyFont="1" applyFill="1" applyBorder="1" applyAlignment="1">
      <alignment horizontal="left" vertical="center" wrapText="1"/>
    </xf>
    <xf numFmtId="177" fontId="14" fillId="0" borderId="4" xfId="0" applyNumberFormat="1" applyFont="1" applyFill="1" applyBorder="1" applyAlignment="1">
      <alignment horizontal="center" vertical="center" wrapText="1"/>
    </xf>
    <xf numFmtId="177" fontId="14" fillId="0" borderId="1" xfId="54" applyNumberFormat="1" applyFont="1" applyFill="1" applyBorder="1" applyAlignment="1">
      <alignment horizontal="left" vertical="center" wrapText="1"/>
    </xf>
    <xf numFmtId="177" fontId="14" fillId="0" borderId="4" xfId="0" applyNumberFormat="1" applyFont="1" applyFill="1" applyBorder="1" applyAlignment="1">
      <alignment horizontal="left" vertical="center" wrapText="1"/>
    </xf>
    <xf numFmtId="177" fontId="16" fillId="0" borderId="1" xfId="54" applyNumberFormat="1" applyFont="1" applyFill="1" applyBorder="1" applyAlignment="1">
      <alignment horizontal="left" vertical="center" wrapText="1"/>
    </xf>
    <xf numFmtId="10" fontId="3" fillId="0" borderId="0" xfId="3" applyNumberFormat="1" applyFont="1" applyFill="1" applyBorder="1" applyAlignment="1" applyProtection="1">
      <alignment horizontal="center" vertical="center" wrapText="1"/>
    </xf>
    <xf numFmtId="177" fontId="16" fillId="0" borderId="1" xfId="54" applyNumberFormat="1" applyFont="1" applyFill="1" applyBorder="1" applyAlignment="1">
      <alignment horizontal="center" vertical="center" wrapText="1"/>
    </xf>
    <xf numFmtId="10" fontId="5" fillId="0" borderId="1" xfId="3" applyNumberFormat="1" applyFont="1" applyFill="1" applyBorder="1" applyAlignment="1" applyProtection="1">
      <alignment horizontal="center" vertical="center" wrapText="1"/>
    </xf>
    <xf numFmtId="9" fontId="5" fillId="0" borderId="1" xfId="3" applyFont="1" applyFill="1" applyBorder="1" applyAlignment="1" applyProtection="1">
      <alignment horizontal="center" vertical="center" wrapText="1"/>
    </xf>
    <xf numFmtId="177" fontId="5" fillId="2" borderId="1" xfId="54" applyNumberFormat="1" applyFont="1" applyFill="1" applyBorder="1" applyAlignment="1">
      <alignment horizontal="center" vertical="center" wrapText="1"/>
    </xf>
    <xf numFmtId="10" fontId="14" fillId="0" borderId="4" xfId="3" applyNumberFormat="1" applyFont="1" applyFill="1" applyBorder="1" applyAlignment="1">
      <alignment horizontal="center" vertical="center" wrapText="1"/>
    </xf>
    <xf numFmtId="177" fontId="5" fillId="7" borderId="1" xfId="54" applyNumberFormat="1" applyFont="1" applyFill="1" applyBorder="1" applyAlignment="1">
      <alignment horizontal="center" vertical="center" wrapText="1"/>
    </xf>
    <xf numFmtId="10" fontId="4" fillId="0" borderId="1" xfId="3" applyNumberFormat="1" applyFont="1" applyFill="1" applyBorder="1" applyAlignment="1" applyProtection="1">
      <alignment horizontal="left" vertical="center" wrapText="1"/>
    </xf>
    <xf numFmtId="177" fontId="5" fillId="0" borderId="1" xfId="54" applyNumberFormat="1" applyFont="1" applyFill="1" applyBorder="1" applyAlignment="1">
      <alignment horizontal="right" vertical="center" wrapText="1"/>
    </xf>
    <xf numFmtId="177" fontId="5" fillId="0" borderId="5" xfId="54" applyNumberFormat="1" applyFont="1" applyFill="1" applyBorder="1" applyAlignment="1">
      <alignment horizontal="right" vertical="center" wrapText="1"/>
    </xf>
    <xf numFmtId="177" fontId="5" fillId="0" borderId="4" xfId="54" applyNumberFormat="1" applyFont="1" applyFill="1" applyBorder="1" applyAlignment="1">
      <alignment horizontal="right" vertical="center" wrapText="1"/>
    </xf>
    <xf numFmtId="9" fontId="5" fillId="0" borderId="1" xfId="3" applyNumberFormat="1" applyFont="1" applyFill="1" applyBorder="1" applyAlignment="1" applyProtection="1">
      <alignment horizontal="center" vertical="center" wrapText="1"/>
    </xf>
    <xf numFmtId="177" fontId="14" fillId="0" borderId="4" xfId="0" applyNumberFormat="1" applyFont="1" applyFill="1" applyBorder="1" applyAlignment="1">
      <alignment horizontal="right" vertical="center" wrapText="1"/>
    </xf>
    <xf numFmtId="177" fontId="16" fillId="0" borderId="1" xfId="54" applyNumberFormat="1" applyFont="1" applyFill="1" applyBorder="1" applyAlignment="1">
      <alignment horizontal="right" vertical="center" wrapText="1"/>
    </xf>
    <xf numFmtId="177" fontId="5" fillId="7" borderId="1" xfId="54" applyNumberFormat="1" applyFont="1" applyFill="1" applyBorder="1" applyAlignment="1">
      <alignment horizontal="right" vertical="center" wrapText="1"/>
    </xf>
    <xf numFmtId="9" fontId="5" fillId="0" borderId="1" xfId="3" applyFont="1" applyFill="1" applyBorder="1" applyAlignment="1" applyProtection="1">
      <alignment horizontal="right" vertical="center" wrapText="1"/>
    </xf>
    <xf numFmtId="10" fontId="5" fillId="0" borderId="1" xfId="3" applyNumberFormat="1" applyFont="1" applyFill="1" applyBorder="1" applyAlignment="1" applyProtection="1">
      <alignment horizontal="left" vertical="center" wrapText="1"/>
    </xf>
    <xf numFmtId="177" fontId="5" fillId="0" borderId="4" xfId="0" applyNumberFormat="1" applyFont="1" applyFill="1" applyBorder="1" applyAlignment="1">
      <alignment horizontal="right" vertical="center" wrapText="1"/>
    </xf>
    <xf numFmtId="10" fontId="5" fillId="0" borderId="4" xfId="3" applyNumberFormat="1" applyFont="1" applyFill="1" applyBorder="1" applyAlignment="1">
      <alignment horizontal="center" vertical="center" wrapText="1"/>
    </xf>
    <xf numFmtId="177" fontId="2" fillId="0" borderId="0" xfId="54" applyNumberFormat="1" applyFont="1" applyFill="1" applyAlignment="1">
      <alignment horizontal="left" wrapText="1"/>
    </xf>
    <xf numFmtId="177" fontId="17" fillId="0" borderId="0" xfId="0" applyNumberFormat="1" applyFont="1" applyFill="1" applyBorder="1" applyAlignment="1">
      <alignment vertical="center"/>
    </xf>
    <xf numFmtId="177" fontId="18" fillId="0" borderId="0" xfId="0" applyNumberFormat="1" applyFont="1" applyFill="1" applyBorder="1" applyAlignment="1">
      <alignment vertical="center"/>
    </xf>
    <xf numFmtId="179"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177" fontId="4" fillId="0" borderId="0" xfId="0" applyNumberFormat="1" applyFont="1" applyFill="1" applyAlignment="1">
      <alignment horizontal="center"/>
    </xf>
    <xf numFmtId="177" fontId="4" fillId="0" borderId="0" xfId="0" applyNumberFormat="1" applyFont="1" applyFill="1"/>
    <xf numFmtId="179" fontId="19" fillId="0" borderId="0" xfId="0" applyNumberFormat="1" applyFont="1" applyFill="1" applyAlignment="1">
      <alignment horizontal="center" vertical="center"/>
    </xf>
    <xf numFmtId="17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9" fontId="21" fillId="0" borderId="5"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xf>
    <xf numFmtId="9" fontId="21" fillId="0" borderId="1" xfId="3" applyNumberFormat="1" applyFont="1" applyFill="1" applyBorder="1" applyAlignment="1">
      <alignment horizontal="center" vertical="center"/>
    </xf>
    <xf numFmtId="179" fontId="21" fillId="0" borderId="6" xfId="0" applyNumberFormat="1" applyFont="1" applyFill="1" applyBorder="1" applyAlignment="1">
      <alignment horizontal="center" vertical="center" wrapText="1"/>
    </xf>
    <xf numFmtId="177" fontId="22" fillId="2" borderId="1" xfId="0" applyNumberFormat="1" applyFont="1" applyFill="1" applyBorder="1" applyAlignment="1">
      <alignment horizontal="center" vertical="center"/>
    </xf>
    <xf numFmtId="177" fontId="21" fillId="2" borderId="1" xfId="0" applyNumberFormat="1" applyFont="1" applyFill="1" applyBorder="1" applyAlignment="1">
      <alignment horizontal="center" vertical="center"/>
    </xf>
    <xf numFmtId="9" fontId="21" fillId="2" borderId="1" xfId="3"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9" fontId="20" fillId="0" borderId="1" xfId="3" applyFont="1" applyFill="1" applyBorder="1" applyAlignment="1">
      <alignment horizontal="center" vertical="center"/>
    </xf>
    <xf numFmtId="177" fontId="23" fillId="0" borderId="1" xfId="0" applyNumberFormat="1" applyFont="1" applyFill="1" applyBorder="1" applyAlignment="1">
      <alignment horizontal="center" vertical="center"/>
    </xf>
    <xf numFmtId="177" fontId="21" fillId="2" borderId="1" xfId="0" applyNumberFormat="1"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179" fontId="21" fillId="0" borderId="7" xfId="0" applyNumberFormat="1"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9" fontId="22" fillId="0" borderId="5"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xf>
    <xf numFmtId="179" fontId="22" fillId="0" borderId="6" xfId="0" applyNumberFormat="1" applyFont="1" applyFill="1" applyBorder="1" applyAlignment="1">
      <alignment horizontal="center" vertical="center" wrapText="1"/>
    </xf>
    <xf numFmtId="9" fontId="21" fillId="0" borderId="1" xfId="3" applyFont="1" applyFill="1" applyBorder="1" applyAlignment="1">
      <alignment horizontal="center" vertical="center"/>
    </xf>
    <xf numFmtId="177" fontId="26"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wrapText="1"/>
    </xf>
    <xf numFmtId="179" fontId="22" fillId="0" borderId="7" xfId="0" applyNumberFormat="1" applyFont="1" applyFill="1" applyBorder="1" applyAlignment="1">
      <alignment horizontal="center" vertical="center" wrapText="1"/>
    </xf>
    <xf numFmtId="9" fontId="24" fillId="0" borderId="1" xfId="3" applyFont="1" applyFill="1" applyBorder="1" applyAlignment="1">
      <alignment horizontal="center" vertical="center" wrapText="1"/>
    </xf>
    <xf numFmtId="177" fontId="24" fillId="0" borderId="1" xfId="0" applyNumberFormat="1" applyFont="1" applyFill="1" applyBorder="1" applyAlignment="1">
      <alignment horizontal="center" vertical="center"/>
    </xf>
    <xf numFmtId="179" fontId="24" fillId="0" borderId="5" xfId="0" applyNumberFormat="1" applyFont="1" applyFill="1" applyBorder="1" applyAlignment="1">
      <alignment horizontal="center" vertical="center" wrapText="1"/>
    </xf>
    <xf numFmtId="177" fontId="4" fillId="0" borderId="1" xfId="0" applyNumberFormat="1" applyFont="1" applyFill="1" applyBorder="1" applyAlignment="1">
      <alignment horizontal="center"/>
    </xf>
    <xf numFmtId="177" fontId="24" fillId="0" borderId="1" xfId="0" applyNumberFormat="1" applyFont="1" applyFill="1" applyBorder="1" applyAlignment="1">
      <alignment horizontal="center"/>
    </xf>
    <xf numFmtId="179" fontId="24" fillId="0" borderId="6" xfId="0" applyNumberFormat="1" applyFont="1" applyFill="1" applyBorder="1" applyAlignment="1">
      <alignment horizontal="center" vertical="center" wrapText="1"/>
    </xf>
    <xf numFmtId="179" fontId="24" fillId="0" borderId="7" xfId="0" applyNumberFormat="1" applyFont="1" applyFill="1" applyBorder="1" applyAlignment="1">
      <alignment horizontal="center" vertical="center" wrapText="1"/>
    </xf>
    <xf numFmtId="177" fontId="21" fillId="0" borderId="8" xfId="0" applyNumberFormat="1" applyFont="1" applyFill="1" applyBorder="1" applyAlignment="1">
      <alignment horizontal="center" vertical="center" wrapText="1"/>
    </xf>
    <xf numFmtId="177" fontId="21" fillId="0" borderId="9" xfId="0" applyNumberFormat="1" applyFont="1" applyFill="1" applyBorder="1" applyAlignment="1">
      <alignment horizontal="center" vertical="center" wrapText="1"/>
    </xf>
    <xf numFmtId="177" fontId="24" fillId="0" borderId="10" xfId="0" applyNumberFormat="1" applyFont="1" applyBorder="1" applyAlignment="1">
      <alignment horizontal="center" vertical="center" wrapText="1"/>
    </xf>
    <xf numFmtId="177" fontId="24" fillId="0" borderId="0" xfId="0" applyNumberFormat="1" applyFont="1" applyAlignment="1">
      <alignment horizontal="center" vertical="center" wrapText="1"/>
    </xf>
    <xf numFmtId="0" fontId="24" fillId="0" borderId="10" xfId="0" applyFont="1" applyFill="1" applyBorder="1" applyAlignment="1">
      <alignment horizontal="left" vertical="top" wrapText="1"/>
    </xf>
    <xf numFmtId="0" fontId="24" fillId="0" borderId="0" xfId="0" applyFont="1" applyFill="1" applyAlignment="1">
      <alignment horizontal="left" vertical="top" wrapText="1"/>
    </xf>
    <xf numFmtId="177" fontId="18" fillId="0" borderId="1" xfId="0" applyNumberFormat="1" applyFont="1" applyFill="1" applyBorder="1" applyAlignment="1">
      <alignment vertical="center"/>
    </xf>
    <xf numFmtId="177" fontId="17" fillId="0" borderId="1" xfId="0" applyNumberFormat="1" applyFont="1" applyFill="1" applyBorder="1" applyAlignment="1">
      <alignment vertical="center"/>
    </xf>
    <xf numFmtId="177" fontId="4" fillId="0" borderId="1" xfId="0" applyNumberFormat="1" applyFont="1" applyFill="1" applyBorder="1"/>
    <xf numFmtId="0" fontId="17" fillId="0" borderId="0" xfId="0" applyNumberFormat="1" applyFont="1" applyFill="1" applyBorder="1" applyAlignment="1">
      <alignment vertical="center" wrapText="1"/>
    </xf>
    <xf numFmtId="0" fontId="17" fillId="0" borderId="0" xfId="0" applyFont="1" applyFill="1" applyBorder="1" applyAlignment="1">
      <alignment vertical="center"/>
    </xf>
    <xf numFmtId="0" fontId="27" fillId="0" borderId="0" xfId="0" applyFont="1" applyFill="1" applyAlignment="1">
      <alignment horizontal="center" vertical="center"/>
    </xf>
    <xf numFmtId="49" fontId="7" fillId="0" borderId="1" xfId="56" applyNumberFormat="1" applyFont="1" applyFill="1" applyBorder="1" applyAlignment="1" applyProtection="1">
      <alignment horizontal="left" vertical="center"/>
    </xf>
    <xf numFmtId="49" fontId="7" fillId="0" borderId="1" xfId="56" applyNumberFormat="1" applyFont="1" applyFill="1" applyBorder="1" applyAlignment="1" applyProtection="1">
      <alignment horizontal="left" vertical="center" wrapText="1"/>
    </xf>
    <xf numFmtId="0" fontId="27" fillId="0" borderId="0" xfId="0" applyFont="1" applyFill="1" applyBorder="1" applyAlignment="1">
      <alignment horizontal="center" vertical="center"/>
    </xf>
    <xf numFmtId="0" fontId="4" fillId="0" borderId="1" xfId="59" applyFont="1" applyFill="1" applyBorder="1" applyAlignment="1" applyProtection="1">
      <alignment horizontal="center" vertical="center"/>
    </xf>
    <xf numFmtId="0" fontId="23" fillId="0" borderId="1" xfId="56" applyNumberFormat="1" applyFont="1" applyFill="1" applyBorder="1" applyAlignment="1" applyProtection="1">
      <alignment horizontal="left" vertical="center" wrapText="1"/>
    </xf>
    <xf numFmtId="0" fontId="28" fillId="0" borderId="0" xfId="0" applyNumberFormat="1" applyFont="1" applyFill="1" applyBorder="1" applyAlignment="1">
      <alignment horizontal="justify" vertical="center" wrapText="1"/>
    </xf>
    <xf numFmtId="0" fontId="29" fillId="0" borderId="1" xfId="58" applyNumberFormat="1" applyFont="1" applyFill="1" applyBorder="1" applyAlignment="1" applyProtection="1">
      <alignment horizontal="justify" vertical="center" wrapText="1"/>
    </xf>
    <xf numFmtId="0" fontId="4" fillId="0" borderId="1" xfId="49" applyNumberFormat="1" applyFont="1" applyFill="1" applyBorder="1" applyAlignment="1" applyProtection="1">
      <alignment horizontal="center" vertical="center"/>
    </xf>
    <xf numFmtId="0" fontId="4" fillId="0" borderId="1" xfId="57" applyNumberFormat="1" applyFont="1" applyFill="1" applyBorder="1" applyAlignment="1" applyProtection="1">
      <alignment vertical="center" wrapText="1"/>
    </xf>
    <xf numFmtId="0" fontId="28" fillId="0" borderId="0" xfId="0" applyNumberFormat="1" applyFont="1" applyFill="1" applyBorder="1" applyAlignment="1">
      <alignment horizontal="left" vertical="center" wrapText="1"/>
    </xf>
    <xf numFmtId="0" fontId="4" fillId="0" borderId="1" xfId="55" applyNumberFormat="1" applyFont="1" applyFill="1" applyBorder="1" applyAlignment="1" applyProtection="1">
      <alignment horizontal="left" vertical="center" wrapText="1"/>
    </xf>
    <xf numFmtId="0" fontId="4" fillId="0" borderId="1" xfId="57" applyNumberFormat="1" applyFont="1" applyFill="1" applyBorder="1" applyAlignment="1" applyProtection="1">
      <alignment horizontal="left" vertical="center" wrapText="1"/>
    </xf>
    <xf numFmtId="0" fontId="4" fillId="0" borderId="1" xfId="56" applyNumberFormat="1" applyFont="1" applyFill="1" applyBorder="1" applyAlignment="1" applyProtection="1">
      <alignment horizontal="left" vertical="center" wrapText="1"/>
    </xf>
    <xf numFmtId="0" fontId="7" fillId="0" borderId="0" xfId="0" applyFont="1" applyFill="1" applyAlignment="1">
      <alignment horizontal="left"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3" xfId="61"/>
    <cellStyle name="常规 3 2" xfId="62"/>
    <cellStyle name="常规 3 2 2" xfId="63"/>
    <cellStyle name="常规 3 2 2 2" xfId="64"/>
    <cellStyle name="常规 3 2 3" xfId="65"/>
    <cellStyle name="常规 3 3" xfId="66"/>
    <cellStyle name="常规 3 3 2" xfId="67"/>
    <cellStyle name="常规 3 4" xfId="68"/>
    <cellStyle name="常规 4" xfId="69"/>
    <cellStyle name="常规 5" xfId="70"/>
    <cellStyle name="常规 5 2" xfId="71"/>
    <cellStyle name="常规 5 2 2" xfId="72"/>
    <cellStyle name="常规 5 3" xfId="73"/>
    <cellStyle name="常规 53" xfId="74"/>
    <cellStyle name="常规 53 2" xfId="75"/>
    <cellStyle name="常规 53 2 2" xfId="76"/>
    <cellStyle name="常规 53 3" xfId="77"/>
    <cellStyle name="常规 7" xfId="78"/>
    <cellStyle name="常规 7 2" xfId="79"/>
    <cellStyle name="常规 7 2 2" xfId="80"/>
    <cellStyle name="常规 7 3"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cstate="print"/>
        <a:srcRect l="3018" t="5142" r="3431" b="263"/>
        <a:stretch>
          <a:fillRect/>
        </a:stretch>
      </xdr:blipFill>
      <xdr:spPr>
        <a:xfrm>
          <a:off x="9525" y="9525"/>
          <a:ext cx="5634355" cy="8046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0B\&#27827;&#21335;&#39318;&#21019;&#24314;&#35774;&#38598;&#22242;&#26377;&#38480;&#20844;&#21496;%2050&#20844;&#23507;&#26679;&#26495;&#23618;&#35013;&#20462;10&#26376;26&#26085;\&#27827;&#21335;&#39318;&#21019;&#24314;&#35774;&#38598;&#22242;&#26377;&#38480;&#20844;&#21496;%2050&#20844;&#23507;&#26679;&#26495;&#23618;&#35013;&#20462;10&#26376;26&#26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清单报价说明"/>
      <sheetName val="01、汇总表"/>
      <sheetName val="Sheet1"/>
      <sheetName val="02、装饰工程"/>
      <sheetName val="门头钢结构工程量计算"/>
      <sheetName val="03、安装工程"/>
      <sheetName val="WpsReserved_CellImgList"/>
    </sheetNames>
    <sheetDataSet>
      <sheetData sheetId="0"/>
      <sheetData sheetId="1"/>
      <sheetData sheetId="2"/>
      <sheetData sheetId="3"/>
      <sheetData sheetId="4">
        <row r="6">
          <cell r="N6">
            <v>634001.680219425</v>
          </cell>
        </row>
        <row r="36">
          <cell r="N36">
            <v>154414.289561512</v>
          </cell>
        </row>
      </sheetData>
      <sheetData sheetId="5"/>
      <sheetData sheetId="6">
        <row r="7">
          <cell r="N7">
            <v>77232.370769648</v>
          </cell>
        </row>
        <row r="50">
          <cell r="N50">
            <v>23402.1334132444</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view="pageBreakPreview" zoomScale="115" zoomScaleNormal="100" workbookViewId="0">
      <selection activeCell="B3" sqref="B3"/>
    </sheetView>
  </sheetViews>
  <sheetFormatPr defaultColWidth="10" defaultRowHeight="15.6" outlineLevelCol="3"/>
  <cols>
    <col min="1" max="1" width="6.42592592592593" style="209" customWidth="1"/>
    <col min="2" max="2" width="93.8611111111111" style="209" customWidth="1"/>
    <col min="3" max="3" width="10.287037037037" style="209"/>
    <col min="4" max="4" width="10.287037037037" style="209" customWidth="1"/>
    <col min="5" max="31" width="10.287037037037" style="209"/>
    <col min="32" max="16384" width="10" style="209"/>
  </cols>
  <sheetData>
    <row r="1" ht="25.15" customHeight="1" spans="1:2">
      <c r="A1" s="210" t="s">
        <v>0</v>
      </c>
      <c r="B1" s="210"/>
    </row>
    <row r="2" s="208" customFormat="1" ht="16.9" customHeight="1" spans="1:4">
      <c r="A2" s="211" t="s">
        <v>1</v>
      </c>
      <c r="B2" s="212"/>
      <c r="D2" s="213"/>
    </row>
    <row r="3" s="208" customFormat="1" ht="22.9" customHeight="1" spans="1:4">
      <c r="A3" s="214">
        <v>1</v>
      </c>
      <c r="B3" s="215" t="s">
        <v>2</v>
      </c>
      <c r="D3" s="216"/>
    </row>
    <row r="4" s="208" customFormat="1" ht="73.15" customHeight="1" spans="1:4">
      <c r="A4" s="214">
        <v>2</v>
      </c>
      <c r="B4" s="217" t="s">
        <v>3</v>
      </c>
      <c r="D4" s="216"/>
    </row>
    <row r="5" s="208" customFormat="1" ht="16.9" customHeight="1" spans="1:4">
      <c r="A5" s="211" t="s">
        <v>4</v>
      </c>
      <c r="B5" s="212"/>
      <c r="D5" s="216"/>
    </row>
    <row r="6" s="208" customFormat="1" ht="75" customHeight="1" spans="1:4">
      <c r="A6" s="218">
        <v>1</v>
      </c>
      <c r="B6" s="219" t="s">
        <v>5</v>
      </c>
      <c r="D6" s="216"/>
    </row>
    <row r="7" s="208" customFormat="1" ht="57" customHeight="1" spans="1:4">
      <c r="A7" s="218">
        <v>2</v>
      </c>
      <c r="B7" s="219" t="s">
        <v>6</v>
      </c>
      <c r="D7" s="216"/>
    </row>
    <row r="8" s="208" customFormat="1" ht="45" customHeight="1" spans="1:4">
      <c r="A8" s="218">
        <v>3</v>
      </c>
      <c r="B8" s="219" t="s">
        <v>7</v>
      </c>
      <c r="D8" s="216"/>
    </row>
    <row r="9" s="208" customFormat="1" ht="66" customHeight="1" spans="1:4">
      <c r="A9" s="218">
        <v>4</v>
      </c>
      <c r="B9" s="219" t="s">
        <v>8</v>
      </c>
      <c r="D9" s="220"/>
    </row>
    <row r="10" ht="39" customHeight="1" spans="1:4">
      <c r="A10" s="218">
        <v>5</v>
      </c>
      <c r="B10" s="221" t="s">
        <v>9</v>
      </c>
      <c r="D10" s="220"/>
    </row>
    <row r="11" ht="54" customHeight="1" spans="1:4">
      <c r="A11" s="218">
        <v>6</v>
      </c>
      <c r="B11" s="222" t="s">
        <v>10</v>
      </c>
      <c r="D11" s="220"/>
    </row>
    <row r="12" ht="54" customHeight="1" spans="1:2">
      <c r="A12" s="218">
        <v>7</v>
      </c>
      <c r="B12" s="222" t="s">
        <v>11</v>
      </c>
    </row>
    <row r="13" ht="43.9" customHeight="1" spans="1:2">
      <c r="A13" s="218">
        <v>8</v>
      </c>
      <c r="B13" s="222" t="s">
        <v>12</v>
      </c>
    </row>
    <row r="14" ht="24" customHeight="1" spans="1:2">
      <c r="A14" s="218">
        <v>9</v>
      </c>
      <c r="B14" s="222" t="s">
        <v>13</v>
      </c>
    </row>
    <row r="15" ht="16.15" customHeight="1" spans="1:2">
      <c r="A15" s="211" t="s">
        <v>14</v>
      </c>
      <c r="B15" s="212"/>
    </row>
    <row r="16" ht="31.15" customHeight="1" spans="1:2">
      <c r="A16" s="218">
        <v>1</v>
      </c>
      <c r="B16" s="223" t="s">
        <v>15</v>
      </c>
    </row>
    <row r="17" ht="22.15" customHeight="1" spans="1:2">
      <c r="A17" s="218">
        <v>2</v>
      </c>
      <c r="B17" s="223" t="s">
        <v>16</v>
      </c>
    </row>
    <row r="18" ht="13.2" spans="1:2">
      <c r="A18" s="218">
        <v>3</v>
      </c>
      <c r="B18" s="223" t="s">
        <v>17</v>
      </c>
    </row>
    <row r="19" ht="18" customHeight="1" spans="1:2">
      <c r="A19" s="211" t="s">
        <v>18</v>
      </c>
      <c r="B19" s="212"/>
    </row>
    <row r="20" ht="49.15" customHeight="1" spans="1:2">
      <c r="A20" s="218">
        <v>1</v>
      </c>
      <c r="B20" s="223" t="s">
        <v>19</v>
      </c>
    </row>
    <row r="21" ht="97.15" customHeight="1" spans="1:2">
      <c r="A21" s="218">
        <v>2</v>
      </c>
      <c r="B21" s="215" t="s">
        <v>20</v>
      </c>
    </row>
    <row r="22" ht="14.4" spans="1:2">
      <c r="A22" s="224" t="s">
        <v>21</v>
      </c>
      <c r="B22" s="224"/>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view="pageBreakPreview" zoomScale="130" zoomScaleNormal="100" topLeftCell="A22" workbookViewId="0">
      <selection activeCell="M16" sqref="M16"/>
    </sheetView>
  </sheetViews>
  <sheetFormatPr defaultColWidth="8.86111111111111" defaultRowHeight="12"/>
  <cols>
    <col min="1" max="1" width="8.86111111111111" style="161"/>
    <col min="2" max="2" width="16.8055555555556" style="162" customWidth="1"/>
    <col min="3" max="3" width="6.27777777777778" style="163" customWidth="1"/>
    <col min="4" max="4" width="16.287037037037" style="163" hidden="1" customWidth="1"/>
    <col min="5" max="5" width="8.13888888888889" style="163" customWidth="1"/>
    <col min="6" max="6" width="16.4259259259259" style="163" hidden="1" customWidth="1"/>
    <col min="7" max="7" width="16.8055555555556" style="163" customWidth="1"/>
    <col min="8" max="8" width="14.2962962962963" style="163" customWidth="1"/>
    <col min="9" max="9" width="13.0462962962963" style="164" customWidth="1"/>
    <col min="10" max="10" width="16.287037037037" style="164"/>
    <col min="11" max="11" width="15.7777777777778" style="164"/>
    <col min="12" max="12" width="14.4444444444444" style="164"/>
    <col min="13" max="13" width="11.8888888888889" style="164"/>
    <col min="14" max="16384" width="8.86111111111111" style="164"/>
  </cols>
  <sheetData>
    <row r="1" s="159" customFormat="1" ht="48" customHeight="1" spans="1:11">
      <c r="A1" s="165" t="s">
        <v>22</v>
      </c>
      <c r="B1" s="165"/>
      <c r="C1" s="165"/>
      <c r="D1" s="165"/>
      <c r="E1" s="165"/>
      <c r="F1" s="165"/>
      <c r="G1" s="165"/>
      <c r="H1" s="165"/>
      <c r="I1" s="165"/>
      <c r="J1" s="165"/>
      <c r="K1" s="165"/>
    </row>
    <row r="2" s="159" customFormat="1" ht="29" customHeight="1" spans="1:11">
      <c r="A2" s="166" t="s">
        <v>23</v>
      </c>
      <c r="B2" s="167" t="s">
        <v>24</v>
      </c>
      <c r="C2" s="167" t="s">
        <v>25</v>
      </c>
      <c r="D2" s="168" t="s">
        <v>26</v>
      </c>
      <c r="E2" s="168"/>
      <c r="F2" s="168"/>
      <c r="G2" s="168"/>
      <c r="H2" s="168" t="s">
        <v>27</v>
      </c>
      <c r="I2" s="168" t="s">
        <v>28</v>
      </c>
      <c r="J2" s="168" t="s">
        <v>29</v>
      </c>
      <c r="K2" s="168" t="s">
        <v>30</v>
      </c>
    </row>
    <row r="3" s="159" customFormat="1" ht="30" customHeight="1" spans="1:11">
      <c r="A3" s="166"/>
      <c r="B3" s="167"/>
      <c r="C3" s="167"/>
      <c r="D3" s="167" t="s">
        <v>31</v>
      </c>
      <c r="E3" s="167" t="s">
        <v>32</v>
      </c>
      <c r="F3" s="167" t="s">
        <v>33</v>
      </c>
      <c r="G3" s="168" t="s">
        <v>34</v>
      </c>
      <c r="H3" s="168" t="s">
        <v>34</v>
      </c>
      <c r="I3" s="168" t="s">
        <v>34</v>
      </c>
      <c r="J3" s="168" t="s">
        <v>34</v>
      </c>
      <c r="K3" s="168" t="s">
        <v>34</v>
      </c>
    </row>
    <row r="4" s="159" customFormat="1" ht="30" customHeight="1" spans="1:11">
      <c r="A4" s="169" t="s">
        <v>35</v>
      </c>
      <c r="B4" s="170" t="s">
        <v>36</v>
      </c>
      <c r="C4" s="171"/>
      <c r="D4" s="172"/>
      <c r="E4" s="172"/>
      <c r="F4" s="167"/>
      <c r="G4" s="168"/>
      <c r="H4" s="168"/>
      <c r="I4" s="168">
        <v>907106.36148708</v>
      </c>
      <c r="J4" s="168">
        <v>1017248.07403602</v>
      </c>
      <c r="K4" s="168">
        <v>1273030.5924663</v>
      </c>
    </row>
    <row r="5" s="159" customFormat="1" ht="30" customHeight="1" spans="1:11">
      <c r="A5" s="173"/>
      <c r="B5" s="174" t="s">
        <v>37</v>
      </c>
      <c r="C5" s="175"/>
      <c r="D5" s="168">
        <f t="shared" ref="D5:D10" si="0">G5/1.09</f>
        <v>682030.739704</v>
      </c>
      <c r="E5" s="176">
        <v>0.09</v>
      </c>
      <c r="F5" s="167">
        <f t="shared" ref="F5:F10" si="1">D5*E5</f>
        <v>61382.76657336</v>
      </c>
      <c r="G5" s="168">
        <v>743413.50627736</v>
      </c>
      <c r="H5" s="168"/>
      <c r="I5" s="168">
        <v>806471.857304187</v>
      </c>
      <c r="J5" s="168">
        <v>916015.240583207</v>
      </c>
      <c r="K5" s="168">
        <v>1092295.04558213</v>
      </c>
    </row>
    <row r="6" s="159" customFormat="1" ht="30" customHeight="1" spans="1:11">
      <c r="A6" s="173"/>
      <c r="B6" s="177" t="s">
        <v>38</v>
      </c>
      <c r="C6" s="168" t="s">
        <v>39</v>
      </c>
      <c r="D6" s="168">
        <f t="shared" si="0"/>
        <v>159860.877024</v>
      </c>
      <c r="E6" s="178">
        <v>0.09</v>
      </c>
      <c r="F6" s="167">
        <f t="shared" si="1"/>
        <v>14387.47893216</v>
      </c>
      <c r="G6" s="168">
        <v>174248.35595616</v>
      </c>
      <c r="H6" s="168"/>
      <c r="I6" s="168">
        <v>157240.240456512</v>
      </c>
      <c r="J6" s="168">
        <v>194974.023977026</v>
      </c>
      <c r="K6" s="168">
        <v>197531.877778603</v>
      </c>
    </row>
    <row r="7" s="159" customFormat="1" ht="30" customHeight="1" spans="1:11">
      <c r="A7" s="173"/>
      <c r="B7" s="179" t="s">
        <v>40</v>
      </c>
      <c r="C7" s="168" t="s">
        <v>39</v>
      </c>
      <c r="D7" s="168">
        <f t="shared" si="0"/>
        <v>522169.86268</v>
      </c>
      <c r="E7" s="178">
        <v>0.09</v>
      </c>
      <c r="F7" s="167">
        <f t="shared" si="1"/>
        <v>46995.2876412</v>
      </c>
      <c r="G7" s="168">
        <v>569165.1503212</v>
      </c>
      <c r="H7" s="168"/>
      <c r="I7" s="168">
        <v>649231.616847675</v>
      </c>
      <c r="J7" s="168">
        <v>721041.216606181</v>
      </c>
      <c r="K7" s="168">
        <v>894763.167803529</v>
      </c>
    </row>
    <row r="8" s="159" customFormat="1" ht="30" customHeight="1" spans="1:11">
      <c r="A8" s="173"/>
      <c r="B8" s="180" t="s">
        <v>41</v>
      </c>
      <c r="C8" s="181"/>
      <c r="D8" s="168">
        <f t="shared" si="0"/>
        <v>148448.347311525</v>
      </c>
      <c r="E8" s="178">
        <v>0.09</v>
      </c>
      <c r="F8" s="167">
        <f t="shared" si="1"/>
        <v>13360.3512580372</v>
      </c>
      <c r="G8" s="168">
        <v>161808.698569562</v>
      </c>
      <c r="H8" s="168"/>
      <c r="I8" s="168">
        <v>100634.504182892</v>
      </c>
      <c r="J8" s="168">
        <v>101232.833452813</v>
      </c>
      <c r="K8" s="168">
        <v>180735.54688417</v>
      </c>
    </row>
    <row r="9" s="159" customFormat="1" ht="30" customHeight="1" spans="1:11">
      <c r="A9" s="173"/>
      <c r="B9" s="177" t="s">
        <v>38</v>
      </c>
      <c r="C9" s="168" t="s">
        <v>39</v>
      </c>
      <c r="D9" s="168">
        <f t="shared" si="0"/>
        <v>113197.42541668</v>
      </c>
      <c r="E9" s="178">
        <v>0.09</v>
      </c>
      <c r="F9" s="167">
        <f t="shared" si="1"/>
        <v>10187.7682875012</v>
      </c>
      <c r="G9" s="168">
        <v>123385.193704181</v>
      </c>
      <c r="H9" s="168"/>
      <c r="I9" s="168">
        <v>23402.1334132444</v>
      </c>
      <c r="J9" s="168">
        <v>22308.2240218752</v>
      </c>
      <c r="K9" s="168">
        <v>35275.1143642828</v>
      </c>
    </row>
    <row r="10" s="159" customFormat="1" ht="30" customHeight="1" spans="1:11">
      <c r="A10" s="182"/>
      <c r="B10" s="179" t="s">
        <v>40</v>
      </c>
      <c r="C10" s="168" t="s">
        <v>39</v>
      </c>
      <c r="D10" s="168">
        <f t="shared" si="0"/>
        <v>35250.9218948449</v>
      </c>
      <c r="E10" s="178">
        <v>0.09</v>
      </c>
      <c r="F10" s="167">
        <f t="shared" si="1"/>
        <v>3172.58297053605</v>
      </c>
      <c r="G10" s="168">
        <v>38423.504865381</v>
      </c>
      <c r="H10" s="168"/>
      <c r="I10" s="168">
        <v>77232.370769648</v>
      </c>
      <c r="J10" s="168">
        <v>78924.6094309375</v>
      </c>
      <c r="K10" s="168">
        <v>145460.432519888</v>
      </c>
    </row>
    <row r="11" s="159" customFormat="1" ht="30" customHeight="1" spans="1:11">
      <c r="A11" s="183" t="s">
        <v>42</v>
      </c>
      <c r="B11" s="184"/>
      <c r="C11" s="168"/>
      <c r="D11" s="178"/>
      <c r="E11" s="178"/>
      <c r="F11" s="167"/>
      <c r="G11" s="168">
        <v>905222.204846922</v>
      </c>
      <c r="H11" s="168"/>
      <c r="I11" s="168">
        <v>907106.36148708</v>
      </c>
      <c r="J11" s="168">
        <v>1017248.07403602</v>
      </c>
      <c r="K11" s="168">
        <v>1273030.5924663</v>
      </c>
    </row>
    <row r="12" s="160" customFormat="1" ht="30" customHeight="1" spans="1:11">
      <c r="A12" s="185" t="s">
        <v>43</v>
      </c>
      <c r="B12" s="170" t="s">
        <v>36</v>
      </c>
      <c r="C12" s="171"/>
      <c r="D12" s="171">
        <f t="shared" ref="D12:D18" si="2">G12/1.09</f>
        <v>696594.036825445</v>
      </c>
      <c r="E12" s="172">
        <v>0.09</v>
      </c>
      <c r="F12" s="171">
        <f>D12*E12</f>
        <v>62693.46331429</v>
      </c>
      <c r="G12" s="184">
        <v>759287.500139735</v>
      </c>
      <c r="H12" s="186">
        <v>769388.868753647</v>
      </c>
      <c r="I12" s="184">
        <f>I13+I16</f>
        <v>889050.47396383</v>
      </c>
      <c r="J12" s="205">
        <v>963784.215721307</v>
      </c>
      <c r="K12" s="205">
        <v>994252.681575344</v>
      </c>
    </row>
    <row r="13" s="160" customFormat="1" ht="27" customHeight="1" spans="1:11">
      <c r="A13" s="187"/>
      <c r="B13" s="170" t="s">
        <v>37</v>
      </c>
      <c r="C13" s="171"/>
      <c r="D13" s="171">
        <f t="shared" si="2"/>
        <v>584057.25432</v>
      </c>
      <c r="E13" s="188">
        <v>0.09</v>
      </c>
      <c r="F13" s="171">
        <f t="shared" ref="F12:F19" si="3">D13*E13</f>
        <v>52565.1528888</v>
      </c>
      <c r="G13" s="184">
        <v>636622.4072088</v>
      </c>
      <c r="H13" s="186">
        <v>673695.085735978</v>
      </c>
      <c r="I13" s="184">
        <f>I14+I15</f>
        <v>788415.969780938</v>
      </c>
      <c r="J13" s="205">
        <v>863931.829997396</v>
      </c>
      <c r="K13" s="205">
        <v>843639.573673131</v>
      </c>
    </row>
    <row r="14" s="159" customFormat="1" ht="25.15" customHeight="1" spans="1:11">
      <c r="A14" s="187"/>
      <c r="B14" s="177" t="s">
        <v>38</v>
      </c>
      <c r="C14" s="168" t="s">
        <v>39</v>
      </c>
      <c r="D14" s="167">
        <f t="shared" si="2"/>
        <v>132066.751644</v>
      </c>
      <c r="E14" s="178">
        <v>0.09</v>
      </c>
      <c r="F14" s="167">
        <f t="shared" si="3"/>
        <v>11886.00764796</v>
      </c>
      <c r="G14" s="168">
        <v>143952.75929196</v>
      </c>
      <c r="H14" s="189">
        <v>156475.904809251</v>
      </c>
      <c r="I14" s="168">
        <f>'[1]02、装饰工程'!N36</f>
        <v>154414.289561512</v>
      </c>
      <c r="J14" s="206">
        <v>186616.661669493</v>
      </c>
      <c r="K14" s="206">
        <v>142050.579267343</v>
      </c>
    </row>
    <row r="15" s="159" customFormat="1" ht="25.15" customHeight="1" spans="1:11">
      <c r="A15" s="187"/>
      <c r="B15" s="179" t="s">
        <v>40</v>
      </c>
      <c r="C15" s="168" t="s">
        <v>39</v>
      </c>
      <c r="D15" s="167">
        <f t="shared" si="2"/>
        <v>451990.502676</v>
      </c>
      <c r="E15" s="178">
        <v>0.09</v>
      </c>
      <c r="F15" s="167">
        <f t="shared" si="3"/>
        <v>40679.14524084</v>
      </c>
      <c r="G15" s="168">
        <v>492669.64791684</v>
      </c>
      <c r="H15" s="189">
        <v>517219.180926727</v>
      </c>
      <c r="I15" s="168">
        <f>'[1]02、装饰工程'!N6</f>
        <v>634001.680219425</v>
      </c>
      <c r="J15" s="206">
        <v>677315.168327903</v>
      </c>
      <c r="K15" s="206">
        <v>701588.994405788</v>
      </c>
    </row>
    <row r="16" s="159" customFormat="1" ht="25.15" customHeight="1" spans="1:11">
      <c r="A16" s="187"/>
      <c r="B16" s="190" t="s">
        <v>41</v>
      </c>
      <c r="C16" s="184"/>
      <c r="D16" s="171">
        <f t="shared" si="2"/>
        <v>112536.782505445</v>
      </c>
      <c r="E16" s="188">
        <v>0.09</v>
      </c>
      <c r="F16" s="171">
        <f t="shared" si="3"/>
        <v>10128.31042549</v>
      </c>
      <c r="G16" s="184">
        <v>122665.092930935</v>
      </c>
      <c r="H16" s="186">
        <v>95693.7830176689</v>
      </c>
      <c r="I16" s="184">
        <f>I18+I17</f>
        <v>100634.504182892</v>
      </c>
      <c r="J16" s="206">
        <v>99852.3857239107</v>
      </c>
      <c r="K16" s="206">
        <v>150613.107902213</v>
      </c>
    </row>
    <row r="17" s="159" customFormat="1" ht="25.15" customHeight="1" spans="1:11">
      <c r="A17" s="187"/>
      <c r="B17" s="177" t="s">
        <v>44</v>
      </c>
      <c r="C17" s="168" t="s">
        <v>39</v>
      </c>
      <c r="D17" s="167">
        <f t="shared" si="2"/>
        <v>87045.37295538</v>
      </c>
      <c r="E17" s="178">
        <v>0.09</v>
      </c>
      <c r="F17" s="167">
        <f t="shared" si="3"/>
        <v>7834.0835659842</v>
      </c>
      <c r="G17" s="168">
        <v>94879.4565213642</v>
      </c>
      <c r="H17" s="189">
        <v>20908.1858656227</v>
      </c>
      <c r="I17" s="168">
        <f>'[1]03、安装工程'!N50</f>
        <v>23402.1334132444</v>
      </c>
      <c r="J17" s="206">
        <v>22004.0209670314</v>
      </c>
      <c r="K17" s="206">
        <v>28035.0811429363</v>
      </c>
    </row>
    <row r="18" s="159" customFormat="1" ht="25.15" customHeight="1" spans="1:11">
      <c r="A18" s="191"/>
      <c r="B18" s="177" t="s">
        <v>45</v>
      </c>
      <c r="C18" s="168" t="s">
        <v>39</v>
      </c>
      <c r="D18" s="167">
        <f t="shared" si="2"/>
        <v>25491.4095500646</v>
      </c>
      <c r="E18" s="178">
        <v>0.09</v>
      </c>
      <c r="F18" s="167">
        <f t="shared" si="3"/>
        <v>2294.22685950581</v>
      </c>
      <c r="G18" s="168">
        <v>27785.6364095704</v>
      </c>
      <c r="H18" s="189">
        <v>74785.5971520462</v>
      </c>
      <c r="I18" s="168">
        <f>'[1]03、安装工程'!N7</f>
        <v>77232.370769648</v>
      </c>
      <c r="J18" s="206">
        <v>77848.3647568793</v>
      </c>
      <c r="K18" s="206">
        <v>122578.026759277</v>
      </c>
    </row>
    <row r="19" s="160" customFormat="1" ht="27" customHeight="1" spans="1:11">
      <c r="A19" s="183" t="s">
        <v>42</v>
      </c>
      <c r="B19" s="184"/>
      <c r="C19" s="184"/>
      <c r="D19" s="184">
        <f>D12</f>
        <v>696594.036825445</v>
      </c>
      <c r="E19" s="192">
        <v>0.09</v>
      </c>
      <c r="F19" s="171">
        <f t="shared" si="3"/>
        <v>62693.46331429</v>
      </c>
      <c r="G19" s="184">
        <v>759287.500139735</v>
      </c>
      <c r="H19" s="193">
        <v>769388.868753647</v>
      </c>
      <c r="I19" s="184">
        <f>I12</f>
        <v>889050.47396383</v>
      </c>
      <c r="J19" s="205">
        <v>963784.215721307</v>
      </c>
      <c r="K19" s="205">
        <v>994252.681575344</v>
      </c>
    </row>
    <row r="20" ht="18" customHeight="1" spans="1:11">
      <c r="A20" s="194" t="s">
        <v>46</v>
      </c>
      <c r="B20" s="170" t="s">
        <v>36</v>
      </c>
      <c r="C20" s="171"/>
      <c r="D20" s="171">
        <f t="shared" ref="D20:D26" si="4">G20/1.09</f>
        <v>656939.645582358</v>
      </c>
      <c r="E20" s="172">
        <v>0.09</v>
      </c>
      <c r="F20" s="195"/>
      <c r="G20" s="196">
        <v>716064.21368477</v>
      </c>
      <c r="H20" s="196">
        <v>718183.717434408</v>
      </c>
      <c r="I20" s="207"/>
      <c r="J20" s="207"/>
      <c r="K20" s="207"/>
    </row>
    <row r="21" ht="18" customHeight="1" spans="1:11">
      <c r="A21" s="197"/>
      <c r="B21" s="170" t="s">
        <v>37</v>
      </c>
      <c r="C21" s="171"/>
      <c r="D21" s="171">
        <f t="shared" si="4"/>
        <v>547747.680138</v>
      </c>
      <c r="E21" s="188">
        <v>0.09</v>
      </c>
      <c r="F21" s="195"/>
      <c r="G21" s="196">
        <v>597044.97135042</v>
      </c>
      <c r="H21" s="196">
        <v>626162.67324705</v>
      </c>
      <c r="I21" s="207"/>
      <c r="J21" s="207"/>
      <c r="K21" s="207"/>
    </row>
    <row r="22" ht="24" spans="1:11">
      <c r="A22" s="197"/>
      <c r="B22" s="177" t="s">
        <v>38</v>
      </c>
      <c r="C22" s="168" t="s">
        <v>39</v>
      </c>
      <c r="D22" s="167">
        <f t="shared" si="4"/>
        <v>125199.102204</v>
      </c>
      <c r="E22" s="178">
        <v>0.09</v>
      </c>
      <c r="F22" s="195"/>
      <c r="G22" s="195">
        <v>136467.02140236</v>
      </c>
      <c r="H22" s="195">
        <v>145181.1613509</v>
      </c>
      <c r="I22" s="207"/>
      <c r="J22" s="207"/>
      <c r="K22" s="207"/>
    </row>
    <row r="23" ht="19" customHeight="1" spans="1:11">
      <c r="A23" s="197"/>
      <c r="B23" s="179" t="s">
        <v>40</v>
      </c>
      <c r="C23" s="168" t="s">
        <v>39</v>
      </c>
      <c r="D23" s="167">
        <f t="shared" si="4"/>
        <v>422548.577934</v>
      </c>
      <c r="E23" s="178">
        <v>0.09</v>
      </c>
      <c r="F23" s="195"/>
      <c r="G23" s="195">
        <v>460577.94994806</v>
      </c>
      <c r="H23" s="195">
        <v>480981.51189615</v>
      </c>
      <c r="I23" s="207"/>
      <c r="J23" s="207"/>
      <c r="K23" s="207"/>
    </row>
    <row r="24" ht="21" customHeight="1" spans="1:11">
      <c r="A24" s="197"/>
      <c r="B24" s="190" t="s">
        <v>41</v>
      </c>
      <c r="C24" s="184"/>
      <c r="D24" s="171">
        <f t="shared" si="4"/>
        <v>109191.965444358</v>
      </c>
      <c r="E24" s="188">
        <v>0.09</v>
      </c>
      <c r="F24" s="195"/>
      <c r="G24" s="196">
        <v>119019.24233435</v>
      </c>
      <c r="H24" s="196">
        <v>92021.0441873578</v>
      </c>
      <c r="I24" s="207"/>
      <c r="J24" s="207"/>
      <c r="K24" s="207"/>
    </row>
    <row r="25" ht="29" customHeight="1" spans="1:11">
      <c r="A25" s="197"/>
      <c r="B25" s="177" t="s">
        <v>44</v>
      </c>
      <c r="C25" s="168" t="s">
        <v>39</v>
      </c>
      <c r="D25" s="167">
        <f t="shared" si="4"/>
        <v>84573.92094538</v>
      </c>
      <c r="E25" s="178">
        <v>0.09</v>
      </c>
      <c r="F25" s="195"/>
      <c r="G25" s="195">
        <v>92185.5738304642</v>
      </c>
      <c r="H25" s="195">
        <v>20088.5935203238</v>
      </c>
      <c r="I25" s="207"/>
      <c r="J25" s="207"/>
      <c r="K25" s="207"/>
    </row>
    <row r="26" ht="23" customHeight="1" spans="1:11">
      <c r="A26" s="198"/>
      <c r="B26" s="177" t="s">
        <v>45</v>
      </c>
      <c r="C26" s="168" t="s">
        <v>39</v>
      </c>
      <c r="D26" s="167">
        <f t="shared" si="4"/>
        <v>24618.0444989776</v>
      </c>
      <c r="E26" s="178">
        <v>0.09</v>
      </c>
      <c r="F26" s="195"/>
      <c r="G26" s="195">
        <v>26833.6685038856</v>
      </c>
      <c r="H26" s="195">
        <v>71932.450667034</v>
      </c>
      <c r="I26" s="207"/>
      <c r="J26" s="207"/>
      <c r="K26" s="207"/>
    </row>
    <row r="27" ht="24" customHeight="1" spans="1:11">
      <c r="A27" s="183" t="s">
        <v>42</v>
      </c>
      <c r="B27" s="184"/>
      <c r="C27" s="195"/>
      <c r="D27" s="195"/>
      <c r="E27" s="195"/>
      <c r="F27" s="195"/>
      <c r="G27" s="196">
        <v>716064.21368477</v>
      </c>
      <c r="H27" s="196">
        <v>718183.717434408</v>
      </c>
      <c r="I27" s="207"/>
      <c r="J27" s="207"/>
      <c r="K27" s="207"/>
    </row>
    <row r="28" ht="50" customHeight="1" spans="1:11">
      <c r="A28" s="199" t="s">
        <v>47</v>
      </c>
      <c r="B28" s="200"/>
      <c r="C28" s="201" t="s">
        <v>48</v>
      </c>
      <c r="D28" s="202"/>
      <c r="E28" s="202"/>
      <c r="F28" s="202"/>
      <c r="G28" s="202"/>
      <c r="H28" s="202"/>
      <c r="I28" s="202"/>
      <c r="J28" s="202"/>
      <c r="K28" s="202"/>
    </row>
    <row r="29" ht="118" customHeight="1" spans="1:11">
      <c r="A29" s="203" t="s">
        <v>49</v>
      </c>
      <c r="B29" s="204"/>
      <c r="C29" s="204"/>
      <c r="D29" s="204"/>
      <c r="E29" s="204"/>
      <c r="F29" s="204"/>
      <c r="G29" s="204"/>
      <c r="H29" s="204"/>
      <c r="I29" s="204"/>
      <c r="J29" s="204"/>
      <c r="K29" s="204"/>
    </row>
  </sheetData>
  <mergeCells count="14">
    <mergeCell ref="A1:K1"/>
    <mergeCell ref="D2:G2"/>
    <mergeCell ref="A11:B11"/>
    <mergeCell ref="A19:B19"/>
    <mergeCell ref="A27:B27"/>
    <mergeCell ref="A28:B28"/>
    <mergeCell ref="C28:K28"/>
    <mergeCell ref="A29:K29"/>
    <mergeCell ref="A2:A3"/>
    <mergeCell ref="A4:A10"/>
    <mergeCell ref="A12:A18"/>
    <mergeCell ref="A20:A26"/>
    <mergeCell ref="B2:B3"/>
    <mergeCell ref="C2:C3"/>
  </mergeCells>
  <pageMargins left="0.75" right="0.75" top="1" bottom="1" header="0.5" footer="0.5"/>
  <pageSetup paperSize="9" scale="61" orientation="landscape"/>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Y68"/>
  <sheetViews>
    <sheetView view="pageBreakPreview" zoomScale="90" zoomScaleNormal="115" workbookViewId="0">
      <pane ySplit="5" topLeftCell="A28" activePane="bottomLeft" state="frozen"/>
      <selection/>
      <selection pane="bottomLeft" activeCell="M3" sqref="E$1:M$1048576"/>
    </sheetView>
  </sheetViews>
  <sheetFormatPr defaultColWidth="16" defaultRowHeight="10.8"/>
  <cols>
    <col min="1" max="1" width="4.28703703703704" style="124" customWidth="1"/>
    <col min="2" max="2" width="10.8611111111111" style="125" customWidth="1"/>
    <col min="3" max="3" width="32.962962962963" style="125" customWidth="1"/>
    <col min="4" max="4" width="6.42592592592593" style="125" customWidth="1"/>
    <col min="5" max="5" width="8.28703703703704" style="125" customWidth="1"/>
    <col min="6" max="6" width="7.28703703703704" style="126" hidden="1" customWidth="1"/>
    <col min="7" max="7" width="11.1388888888889" style="126" hidden="1" customWidth="1"/>
    <col min="8" max="8" width="7.71296296296296" style="126" hidden="1" customWidth="1"/>
    <col min="9" max="9" width="5.86111111111111" style="127" hidden="1" customWidth="1"/>
    <col min="10" max="10" width="8.71296296296296" style="126" hidden="1" customWidth="1"/>
    <col min="11" max="11" width="9.57407407407407" style="126" hidden="1" customWidth="1"/>
    <col min="12" max="12" width="8.13888888888889" style="126" hidden="1" customWidth="1"/>
    <col min="13" max="13" width="13.4537037037037" style="126" customWidth="1"/>
    <col min="14" max="14" width="11.8611111111111" style="125" customWidth="1"/>
    <col min="15" max="21" width="11.8611111111111" style="125" hidden="1" customWidth="1"/>
    <col min="22" max="23" width="11.8611111111111" style="125" customWidth="1"/>
    <col min="24" max="30" width="11.8611111111111" style="125" hidden="1" customWidth="1"/>
    <col min="31" max="32" width="11.8611111111111" style="125" customWidth="1"/>
    <col min="33" max="39" width="11.8611111111111" style="125" hidden="1" customWidth="1"/>
    <col min="40" max="41" width="11.8611111111111" style="125" customWidth="1"/>
    <col min="42" max="48" width="11.8611111111111" style="125" hidden="1" customWidth="1"/>
    <col min="49" max="49" width="10.3703703703704" style="125" customWidth="1"/>
    <col min="50" max="50" width="13.8240740740741" style="125" customWidth="1"/>
    <col min="51" max="51" width="11.1388888888889" style="125"/>
    <col min="52" max="65" width="9" style="125" customWidth="1"/>
    <col min="66" max="16384" width="16" style="125"/>
  </cols>
  <sheetData>
    <row r="1" s="123" customFormat="1" ht="25.5" customHeight="1" spans="1:49">
      <c r="A1" s="128" t="s">
        <v>50</v>
      </c>
      <c r="B1" s="12"/>
      <c r="C1" s="12"/>
      <c r="D1" s="12"/>
      <c r="E1" s="12"/>
      <c r="F1" s="12"/>
      <c r="G1" s="12"/>
      <c r="H1" s="12"/>
      <c r="I1" s="139"/>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row>
    <row r="2" s="123" customFormat="1" ht="28" customHeight="1" spans="1:50">
      <c r="A2" s="129" t="s">
        <v>51</v>
      </c>
      <c r="B2" s="129"/>
      <c r="C2" s="129"/>
      <c r="D2" s="129"/>
      <c r="E2" s="129"/>
      <c r="F2" s="130" t="s">
        <v>26</v>
      </c>
      <c r="G2" s="130"/>
      <c r="H2" s="130"/>
      <c r="I2" s="130"/>
      <c r="J2" s="130"/>
      <c r="K2" s="130"/>
      <c r="L2" s="130"/>
      <c r="M2" s="130"/>
      <c r="N2" s="130"/>
      <c r="O2" s="140" t="s">
        <v>27</v>
      </c>
      <c r="P2" s="140"/>
      <c r="Q2" s="140"/>
      <c r="R2" s="140"/>
      <c r="S2" s="140"/>
      <c r="T2" s="140"/>
      <c r="U2" s="140"/>
      <c r="V2" s="140"/>
      <c r="W2" s="140"/>
      <c r="X2" s="140" t="s">
        <v>28</v>
      </c>
      <c r="Y2" s="140"/>
      <c r="Z2" s="140"/>
      <c r="AA2" s="140"/>
      <c r="AB2" s="140"/>
      <c r="AC2" s="140"/>
      <c r="AD2" s="140"/>
      <c r="AE2" s="140"/>
      <c r="AF2" s="140"/>
      <c r="AG2" s="140" t="s">
        <v>52</v>
      </c>
      <c r="AH2" s="140"/>
      <c r="AI2" s="140"/>
      <c r="AJ2" s="140"/>
      <c r="AK2" s="140"/>
      <c r="AL2" s="140"/>
      <c r="AM2" s="140"/>
      <c r="AN2" s="140"/>
      <c r="AO2" s="140"/>
      <c r="AP2" s="140" t="s">
        <v>30</v>
      </c>
      <c r="AQ2" s="140"/>
      <c r="AR2" s="140"/>
      <c r="AS2" s="140"/>
      <c r="AT2" s="140"/>
      <c r="AU2" s="140"/>
      <c r="AV2" s="140"/>
      <c r="AW2" s="140"/>
      <c r="AX2" s="140"/>
    </row>
    <row r="3" s="123" customFormat="1" spans="1:50">
      <c r="A3" s="131" t="s">
        <v>53</v>
      </c>
      <c r="B3" s="132" t="s">
        <v>54</v>
      </c>
      <c r="C3" s="132" t="s">
        <v>55</v>
      </c>
      <c r="D3" s="132" t="s">
        <v>25</v>
      </c>
      <c r="E3" s="132" t="s">
        <v>56</v>
      </c>
      <c r="F3" s="132" t="s">
        <v>57</v>
      </c>
      <c r="G3" s="132"/>
      <c r="H3" s="132"/>
      <c r="I3" s="141"/>
      <c r="J3" s="132"/>
      <c r="K3" s="132"/>
      <c r="L3" s="132"/>
      <c r="M3" s="132" t="s">
        <v>58</v>
      </c>
      <c r="N3" s="132" t="s">
        <v>59</v>
      </c>
      <c r="O3" s="132" t="s">
        <v>57</v>
      </c>
      <c r="P3" s="132"/>
      <c r="Q3" s="132"/>
      <c r="R3" s="141"/>
      <c r="S3" s="132"/>
      <c r="T3" s="132"/>
      <c r="U3" s="132"/>
      <c r="V3" s="132" t="s">
        <v>58</v>
      </c>
      <c r="W3" s="132" t="s">
        <v>59</v>
      </c>
      <c r="X3" s="132" t="s">
        <v>57</v>
      </c>
      <c r="Y3" s="132"/>
      <c r="Z3" s="132"/>
      <c r="AA3" s="141"/>
      <c r="AB3" s="132"/>
      <c r="AC3" s="132"/>
      <c r="AD3" s="132"/>
      <c r="AE3" s="132" t="s">
        <v>58</v>
      </c>
      <c r="AF3" s="132" t="s">
        <v>59</v>
      </c>
      <c r="AG3" s="132" t="s">
        <v>57</v>
      </c>
      <c r="AH3" s="132"/>
      <c r="AI3" s="132"/>
      <c r="AJ3" s="141"/>
      <c r="AK3" s="132"/>
      <c r="AL3" s="132"/>
      <c r="AM3" s="132"/>
      <c r="AN3" s="132" t="s">
        <v>58</v>
      </c>
      <c r="AO3" s="132" t="s">
        <v>59</v>
      </c>
      <c r="AP3" s="132" t="s">
        <v>57</v>
      </c>
      <c r="AQ3" s="132"/>
      <c r="AR3" s="132"/>
      <c r="AS3" s="141"/>
      <c r="AT3" s="132"/>
      <c r="AU3" s="132"/>
      <c r="AV3" s="132"/>
      <c r="AW3" s="132" t="s">
        <v>58</v>
      </c>
      <c r="AX3" s="132" t="s">
        <v>59</v>
      </c>
    </row>
    <row r="4" s="123" customFormat="1" ht="43.2" spans="1:50">
      <c r="A4" s="131"/>
      <c r="B4" s="132"/>
      <c r="C4" s="132"/>
      <c r="D4" s="132"/>
      <c r="E4" s="132"/>
      <c r="F4" s="132" t="s">
        <v>60</v>
      </c>
      <c r="G4" s="132" t="s">
        <v>61</v>
      </c>
      <c r="H4" s="132" t="s">
        <v>62</v>
      </c>
      <c r="I4" s="141" t="s">
        <v>63</v>
      </c>
      <c r="J4" s="132" t="s">
        <v>64</v>
      </c>
      <c r="K4" s="132" t="s">
        <v>65</v>
      </c>
      <c r="L4" s="132" t="s">
        <v>66</v>
      </c>
      <c r="M4" s="132"/>
      <c r="N4" s="132"/>
      <c r="O4" s="132" t="s">
        <v>60</v>
      </c>
      <c r="P4" s="132" t="s">
        <v>61</v>
      </c>
      <c r="Q4" s="132" t="s">
        <v>62</v>
      </c>
      <c r="R4" s="141" t="s">
        <v>63</v>
      </c>
      <c r="S4" s="132" t="s">
        <v>64</v>
      </c>
      <c r="T4" s="132" t="s">
        <v>65</v>
      </c>
      <c r="U4" s="132" t="s">
        <v>66</v>
      </c>
      <c r="V4" s="132"/>
      <c r="W4" s="132"/>
      <c r="X4" s="132" t="s">
        <v>60</v>
      </c>
      <c r="Y4" s="132" t="s">
        <v>61</v>
      </c>
      <c r="Z4" s="132" t="s">
        <v>62</v>
      </c>
      <c r="AA4" s="141" t="s">
        <v>63</v>
      </c>
      <c r="AB4" s="132" t="s">
        <v>64</v>
      </c>
      <c r="AC4" s="132" t="s">
        <v>65</v>
      </c>
      <c r="AD4" s="132" t="s">
        <v>66</v>
      </c>
      <c r="AE4" s="132"/>
      <c r="AF4" s="132"/>
      <c r="AG4" s="132" t="s">
        <v>60</v>
      </c>
      <c r="AH4" s="132" t="s">
        <v>61</v>
      </c>
      <c r="AI4" s="132" t="s">
        <v>62</v>
      </c>
      <c r="AJ4" s="141" t="s">
        <v>63</v>
      </c>
      <c r="AK4" s="132" t="s">
        <v>64</v>
      </c>
      <c r="AL4" s="132" t="s">
        <v>65</v>
      </c>
      <c r="AM4" s="132" t="s">
        <v>66</v>
      </c>
      <c r="AN4" s="132"/>
      <c r="AO4" s="132"/>
      <c r="AP4" s="132" t="s">
        <v>60</v>
      </c>
      <c r="AQ4" s="132" t="s">
        <v>61</v>
      </c>
      <c r="AR4" s="132" t="s">
        <v>62</v>
      </c>
      <c r="AS4" s="141" t="s">
        <v>63</v>
      </c>
      <c r="AT4" s="132" t="s">
        <v>64</v>
      </c>
      <c r="AU4" s="132" t="s">
        <v>65</v>
      </c>
      <c r="AV4" s="132" t="s">
        <v>66</v>
      </c>
      <c r="AW4" s="132"/>
      <c r="AX4" s="132"/>
    </row>
    <row r="5" s="123" customFormat="1" spans="1:50">
      <c r="A5" s="131"/>
      <c r="B5" s="132"/>
      <c r="C5" s="132"/>
      <c r="D5" s="132"/>
      <c r="E5" s="132"/>
      <c r="F5" s="132"/>
      <c r="G5" s="132" t="s">
        <v>67</v>
      </c>
      <c r="H5" s="132" t="s">
        <v>68</v>
      </c>
      <c r="I5" s="141" t="s">
        <v>69</v>
      </c>
      <c r="J5" s="132"/>
      <c r="K5" s="142">
        <v>0.06</v>
      </c>
      <c r="L5" s="142">
        <v>0.09</v>
      </c>
      <c r="M5" s="132"/>
      <c r="N5" s="132"/>
      <c r="O5" s="132"/>
      <c r="P5" s="132" t="s">
        <v>67</v>
      </c>
      <c r="Q5" s="132" t="s">
        <v>68</v>
      </c>
      <c r="R5" s="141" t="s">
        <v>69</v>
      </c>
      <c r="S5" s="132"/>
      <c r="T5" s="142">
        <v>0.06</v>
      </c>
      <c r="U5" s="142">
        <v>0.09</v>
      </c>
      <c r="V5" s="132"/>
      <c r="W5" s="132"/>
      <c r="X5" s="132"/>
      <c r="Y5" s="132" t="s">
        <v>67</v>
      </c>
      <c r="Z5" s="132" t="s">
        <v>68</v>
      </c>
      <c r="AA5" s="141" t="s">
        <v>69</v>
      </c>
      <c r="AB5" s="132"/>
      <c r="AC5" s="150">
        <v>0.13</v>
      </c>
      <c r="AD5" s="142">
        <v>0.09</v>
      </c>
      <c r="AE5" s="132"/>
      <c r="AF5" s="132"/>
      <c r="AG5" s="132"/>
      <c r="AH5" s="132" t="s">
        <v>67</v>
      </c>
      <c r="AI5" s="132" t="s">
        <v>68</v>
      </c>
      <c r="AJ5" s="141" t="s">
        <v>69</v>
      </c>
      <c r="AK5" s="132"/>
      <c r="AL5" s="141">
        <v>0.085</v>
      </c>
      <c r="AM5" s="141">
        <v>0.09</v>
      </c>
      <c r="AN5" s="132"/>
      <c r="AO5" s="132"/>
      <c r="AP5" s="132"/>
      <c r="AQ5" s="132" t="s">
        <v>67</v>
      </c>
      <c r="AR5" s="132" t="s">
        <v>68</v>
      </c>
      <c r="AS5" s="141" t="s">
        <v>69</v>
      </c>
      <c r="AT5" s="132"/>
      <c r="AU5" s="150">
        <v>0.06</v>
      </c>
      <c r="AV5" s="142">
        <v>0.09</v>
      </c>
      <c r="AW5" s="132"/>
      <c r="AX5" s="132"/>
    </row>
    <row r="6" s="123" customFormat="1" spans="1:50">
      <c r="A6" s="133"/>
      <c r="B6" s="134" t="s">
        <v>40</v>
      </c>
      <c r="C6" s="134"/>
      <c r="D6" s="134"/>
      <c r="E6" s="134"/>
      <c r="F6" s="132"/>
      <c r="G6" s="135"/>
      <c r="H6" s="132"/>
      <c r="I6" s="141"/>
      <c r="J6" s="132"/>
      <c r="K6" s="132"/>
      <c r="L6" s="132"/>
      <c r="M6" s="132"/>
      <c r="N6" s="132">
        <f>N7+N11+N18</f>
        <v>492669.64791684</v>
      </c>
      <c r="O6" s="132"/>
      <c r="P6" s="132"/>
      <c r="Q6" s="132"/>
      <c r="R6" s="132"/>
      <c r="S6" s="132"/>
      <c r="T6" s="132"/>
      <c r="U6" s="132"/>
      <c r="V6" s="132"/>
      <c r="W6" s="132">
        <f>W7+W11+W18</f>
        <v>517219.180926727</v>
      </c>
      <c r="X6" s="147"/>
      <c r="Y6" s="151"/>
      <c r="Z6" s="147"/>
      <c r="AA6" s="141"/>
      <c r="AB6" s="147"/>
      <c r="AC6" s="147"/>
      <c r="AD6" s="147"/>
      <c r="AE6" s="147"/>
      <c r="AF6" s="132">
        <v>634001.680219425</v>
      </c>
      <c r="AG6" s="147"/>
      <c r="AH6" s="151"/>
      <c r="AI6" s="147"/>
      <c r="AJ6" s="141"/>
      <c r="AK6" s="147"/>
      <c r="AL6" s="147"/>
      <c r="AM6" s="147"/>
      <c r="AN6" s="147"/>
      <c r="AO6" s="132">
        <v>677315.168327903</v>
      </c>
      <c r="AP6" s="147"/>
      <c r="AQ6" s="156"/>
      <c r="AR6" s="147"/>
      <c r="AS6" s="141"/>
      <c r="AT6" s="147"/>
      <c r="AU6" s="147"/>
      <c r="AV6" s="147"/>
      <c r="AW6" s="147"/>
      <c r="AX6" s="132">
        <v>701588.994405788</v>
      </c>
    </row>
    <row r="7" s="123" customFormat="1" spans="1:50">
      <c r="A7" s="133"/>
      <c r="B7" s="134" t="s">
        <v>70</v>
      </c>
      <c r="C7" s="134"/>
      <c r="D7" s="134"/>
      <c r="E7" s="134"/>
      <c r="F7" s="132"/>
      <c r="G7" s="132"/>
      <c r="H7" s="132"/>
      <c r="I7" s="141"/>
      <c r="J7" s="132"/>
      <c r="K7" s="132"/>
      <c r="L7" s="132"/>
      <c r="M7" s="132"/>
      <c r="N7" s="132">
        <f>SUM(N8:N10)</f>
        <v>47998.2073885</v>
      </c>
      <c r="O7" s="132"/>
      <c r="P7" s="132"/>
      <c r="Q7" s="132"/>
      <c r="R7" s="132"/>
      <c r="S7" s="132"/>
      <c r="T7" s="132"/>
      <c r="U7" s="132"/>
      <c r="V7" s="132"/>
      <c r="W7" s="132">
        <f>SUM(W8:W10)</f>
        <v>57490.357394154</v>
      </c>
      <c r="X7" s="147"/>
      <c r="Y7" s="147"/>
      <c r="Z7" s="152"/>
      <c r="AA7" s="141"/>
      <c r="AB7" s="147"/>
      <c r="AC7" s="147"/>
      <c r="AD7" s="147"/>
      <c r="AE7" s="147"/>
      <c r="AF7" s="132">
        <v>73808.2737885</v>
      </c>
      <c r="AG7" s="147"/>
      <c r="AH7" s="147"/>
      <c r="AI7" s="147"/>
      <c r="AJ7" s="141"/>
      <c r="AK7" s="147"/>
      <c r="AL7" s="147"/>
      <c r="AM7" s="147"/>
      <c r="AN7" s="147"/>
      <c r="AO7" s="132">
        <v>69460.0019241867</v>
      </c>
      <c r="AP7" s="147"/>
      <c r="AQ7" s="147"/>
      <c r="AR7" s="147"/>
      <c r="AS7" s="141"/>
      <c r="AT7" s="147"/>
      <c r="AU7" s="147"/>
      <c r="AV7" s="147"/>
      <c r="AW7" s="147"/>
      <c r="AX7" s="132">
        <v>92330.330577</v>
      </c>
    </row>
    <row r="8" s="123" customFormat="1" ht="89" customHeight="1" spans="1:50">
      <c r="A8" s="133">
        <v>1</v>
      </c>
      <c r="B8" s="134" t="s">
        <v>71</v>
      </c>
      <c r="C8" s="136" t="s">
        <v>72</v>
      </c>
      <c r="D8" s="134" t="s">
        <v>73</v>
      </c>
      <c r="E8" s="134">
        <f>175.46</f>
        <v>175.46</v>
      </c>
      <c r="F8" s="132">
        <v>70</v>
      </c>
      <c r="G8" s="132">
        <f t="shared" ref="G8:G10" si="0">H8*(1+I8)</f>
        <v>52.5</v>
      </c>
      <c r="H8" s="132">
        <v>50</v>
      </c>
      <c r="I8" s="141">
        <v>0.05</v>
      </c>
      <c r="J8" s="132">
        <v>40</v>
      </c>
      <c r="K8" s="132">
        <f>(F8+G8+J8)*$K$5</f>
        <v>9.75</v>
      </c>
      <c r="L8" s="132">
        <f>(F8+G8+J8+K8)*$L$5</f>
        <v>15.5025</v>
      </c>
      <c r="M8" s="132">
        <f>F8+G8+J8+K8+L8</f>
        <v>187.7525</v>
      </c>
      <c r="N8" s="132">
        <f>M8*E8</f>
        <v>32943.05365</v>
      </c>
      <c r="O8" s="132">
        <v>70.52</v>
      </c>
      <c r="P8" s="132">
        <v>86.602</v>
      </c>
      <c r="Q8" s="132">
        <v>81.7</v>
      </c>
      <c r="R8" s="132">
        <v>0.06</v>
      </c>
      <c r="S8" s="132">
        <v>30.1</v>
      </c>
      <c r="T8" s="132">
        <v>11.23332</v>
      </c>
      <c r="U8" s="132">
        <v>17.8609788</v>
      </c>
      <c r="V8" s="132">
        <v>216.3162988</v>
      </c>
      <c r="W8" s="132">
        <v>37954.857787448</v>
      </c>
      <c r="X8" s="147">
        <v>80</v>
      </c>
      <c r="Y8" s="147">
        <v>143.75</v>
      </c>
      <c r="Z8" s="147">
        <v>115</v>
      </c>
      <c r="AA8" s="141">
        <v>0.25</v>
      </c>
      <c r="AB8" s="147">
        <v>22</v>
      </c>
      <c r="AC8" s="147">
        <v>31.9475</v>
      </c>
      <c r="AD8" s="147">
        <v>24.992775</v>
      </c>
      <c r="AE8" s="153">
        <v>302.690275</v>
      </c>
      <c r="AF8" s="132">
        <v>53110.0356515</v>
      </c>
      <c r="AG8" s="147">
        <v>75.6</v>
      </c>
      <c r="AH8" s="147">
        <v>109.296</v>
      </c>
      <c r="AI8" s="147">
        <v>101.2</v>
      </c>
      <c r="AJ8" s="141">
        <v>0.08</v>
      </c>
      <c r="AK8" s="147">
        <v>32.034324254661</v>
      </c>
      <c r="AL8" s="147">
        <v>18.4390775616462</v>
      </c>
      <c r="AM8" s="147">
        <v>21.1832461634676</v>
      </c>
      <c r="AN8" s="147">
        <v>256.552647979775</v>
      </c>
      <c r="AO8" s="132">
        <v>45014.7276145313</v>
      </c>
      <c r="AP8" s="147">
        <v>95</v>
      </c>
      <c r="AQ8" s="147">
        <v>180</v>
      </c>
      <c r="AR8" s="147">
        <v>150</v>
      </c>
      <c r="AS8" s="141">
        <v>0.2</v>
      </c>
      <c r="AT8" s="147">
        <v>38</v>
      </c>
      <c r="AU8" s="147">
        <v>18.78</v>
      </c>
      <c r="AV8" s="147">
        <v>29.8602</v>
      </c>
      <c r="AW8" s="153">
        <v>361.6402</v>
      </c>
      <c r="AX8" s="132">
        <v>63453.389492</v>
      </c>
    </row>
    <row r="9" s="123" customFormat="1" ht="93" customHeight="1" spans="1:50">
      <c r="A9" s="133">
        <v>2</v>
      </c>
      <c r="B9" s="134" t="s">
        <v>71</v>
      </c>
      <c r="C9" s="136" t="s">
        <v>74</v>
      </c>
      <c r="D9" s="134" t="s">
        <v>73</v>
      </c>
      <c r="E9" s="134">
        <f>30.64+56.21</f>
        <v>86.85</v>
      </c>
      <c r="F9" s="132">
        <v>45</v>
      </c>
      <c r="G9" s="132">
        <f t="shared" si="0"/>
        <v>49.35</v>
      </c>
      <c r="H9" s="132">
        <v>47</v>
      </c>
      <c r="I9" s="141">
        <v>0.05</v>
      </c>
      <c r="J9" s="132">
        <v>40</v>
      </c>
      <c r="K9" s="132">
        <f>(F9+G9+J9)*$K$5</f>
        <v>8.061</v>
      </c>
      <c r="L9" s="132">
        <f>(F9+G9+J9+K9)*$L$5</f>
        <v>12.81699</v>
      </c>
      <c r="M9" s="132">
        <f>F9+G9+J9+K9+L9</f>
        <v>155.22799</v>
      </c>
      <c r="N9" s="132">
        <f>M9*E9</f>
        <v>13481.5509315</v>
      </c>
      <c r="O9" s="132">
        <v>53.32</v>
      </c>
      <c r="P9" s="132">
        <v>67.725</v>
      </c>
      <c r="Q9" s="132">
        <v>64.5</v>
      </c>
      <c r="R9" s="132">
        <v>0.05</v>
      </c>
      <c r="S9" s="132">
        <v>30.1</v>
      </c>
      <c r="T9" s="132">
        <v>9.0687</v>
      </c>
      <c r="U9" s="132">
        <v>14.419233</v>
      </c>
      <c r="V9" s="132">
        <v>174.632933</v>
      </c>
      <c r="W9" s="132">
        <v>15166.87023105</v>
      </c>
      <c r="X9" s="147">
        <v>65</v>
      </c>
      <c r="Y9" s="147">
        <v>60.5</v>
      </c>
      <c r="Z9" s="147">
        <v>55</v>
      </c>
      <c r="AA9" s="141">
        <v>0.1</v>
      </c>
      <c r="AB9" s="147">
        <v>22</v>
      </c>
      <c r="AC9" s="147">
        <v>19.175</v>
      </c>
      <c r="AD9" s="147">
        <v>15.00075</v>
      </c>
      <c r="AE9" s="147">
        <v>181.67575</v>
      </c>
      <c r="AF9" s="132">
        <v>15778.5388875</v>
      </c>
      <c r="AG9" s="147">
        <v>64.8</v>
      </c>
      <c r="AH9" s="147">
        <v>80.73</v>
      </c>
      <c r="AI9" s="147">
        <v>74.75</v>
      </c>
      <c r="AJ9" s="141">
        <v>0.08</v>
      </c>
      <c r="AK9" s="147">
        <v>32.034324254661</v>
      </c>
      <c r="AL9" s="147">
        <v>15.0929675616462</v>
      </c>
      <c r="AM9" s="147">
        <v>17.3391562634676</v>
      </c>
      <c r="AN9" s="147">
        <v>209.996448079775</v>
      </c>
      <c r="AO9" s="132">
        <v>18238.1915157284</v>
      </c>
      <c r="AP9" s="147">
        <v>65</v>
      </c>
      <c r="AQ9" s="147">
        <v>132.5</v>
      </c>
      <c r="AR9" s="147">
        <v>106</v>
      </c>
      <c r="AS9" s="141">
        <v>0.25</v>
      </c>
      <c r="AT9" s="147">
        <v>38</v>
      </c>
      <c r="AU9" s="147">
        <v>14.13</v>
      </c>
      <c r="AV9" s="147">
        <v>22.4667</v>
      </c>
      <c r="AW9" s="153">
        <v>272.0967</v>
      </c>
      <c r="AX9" s="132">
        <v>23631.598395</v>
      </c>
    </row>
    <row r="10" s="123" customFormat="1" ht="75.6" spans="1:50">
      <c r="A10" s="133">
        <v>3</v>
      </c>
      <c r="B10" s="134" t="s">
        <v>75</v>
      </c>
      <c r="C10" s="134" t="s">
        <v>76</v>
      </c>
      <c r="D10" s="134" t="s">
        <v>73</v>
      </c>
      <c r="E10" s="134">
        <f>7.58+0.75</f>
        <v>8.33</v>
      </c>
      <c r="F10" s="132">
        <v>69</v>
      </c>
      <c r="G10" s="132">
        <f t="shared" si="0"/>
        <v>52.5</v>
      </c>
      <c r="H10" s="132">
        <v>50</v>
      </c>
      <c r="I10" s="141">
        <v>0.05</v>
      </c>
      <c r="J10" s="132">
        <v>42</v>
      </c>
      <c r="K10" s="132">
        <f>(F10+G10+J10)*$K$5</f>
        <v>9.81</v>
      </c>
      <c r="L10" s="132">
        <f>(F10+G10+J10+K10)*$L$5</f>
        <v>15.5979</v>
      </c>
      <c r="M10" s="132">
        <f>F10+G10+J10+K10+L10</f>
        <v>188.9079</v>
      </c>
      <c r="N10" s="132">
        <f>M10*E10</f>
        <v>1573.602807</v>
      </c>
      <c r="O10" s="132">
        <v>107.5</v>
      </c>
      <c r="P10" s="132">
        <v>300.828</v>
      </c>
      <c r="Q10" s="132">
        <v>283.8</v>
      </c>
      <c r="R10" s="132">
        <v>0.06</v>
      </c>
      <c r="S10" s="132">
        <v>45.58</v>
      </c>
      <c r="T10" s="132">
        <v>27.23448</v>
      </c>
      <c r="U10" s="132">
        <v>43.3028232</v>
      </c>
      <c r="V10" s="145">
        <v>524.4453032</v>
      </c>
      <c r="W10" s="132">
        <v>4368.629375656</v>
      </c>
      <c r="X10" s="147">
        <v>90</v>
      </c>
      <c r="Y10" s="147">
        <v>367.5</v>
      </c>
      <c r="Z10" s="147">
        <v>350</v>
      </c>
      <c r="AA10" s="141">
        <v>0.05</v>
      </c>
      <c r="AB10" s="147">
        <v>22</v>
      </c>
      <c r="AC10" s="147">
        <v>62.335</v>
      </c>
      <c r="AD10" s="147">
        <v>48.76515</v>
      </c>
      <c r="AE10" s="153">
        <v>590.60015</v>
      </c>
      <c r="AF10" s="132">
        <v>4919.6992495</v>
      </c>
      <c r="AG10" s="147">
        <v>135</v>
      </c>
      <c r="AH10" s="147">
        <v>467.12389380531</v>
      </c>
      <c r="AI10" s="147">
        <v>457.964601769912</v>
      </c>
      <c r="AJ10" s="141">
        <v>0.02</v>
      </c>
      <c r="AK10" s="147">
        <v>27.9424778761062</v>
      </c>
      <c r="AL10" s="147">
        <v>53.5556415929204</v>
      </c>
      <c r="AM10" s="147">
        <v>61.5259811946903</v>
      </c>
      <c r="AN10" s="153">
        <v>745.147994469027</v>
      </c>
      <c r="AO10" s="132">
        <v>6207.08279392699</v>
      </c>
      <c r="AP10" s="147">
        <v>95</v>
      </c>
      <c r="AQ10" s="147">
        <v>412</v>
      </c>
      <c r="AR10" s="147">
        <v>400</v>
      </c>
      <c r="AS10" s="141">
        <v>0.03</v>
      </c>
      <c r="AT10" s="147">
        <v>38</v>
      </c>
      <c r="AU10" s="147">
        <v>32.7</v>
      </c>
      <c r="AV10" s="147">
        <v>51.993</v>
      </c>
      <c r="AW10" s="153">
        <v>629.693</v>
      </c>
      <c r="AX10" s="132">
        <v>5245.34269</v>
      </c>
    </row>
    <row r="11" s="123" customFormat="1" spans="1:50">
      <c r="A11" s="133">
        <v>4</v>
      </c>
      <c r="B11" s="134" t="s">
        <v>77</v>
      </c>
      <c r="C11" s="134"/>
      <c r="D11" s="134"/>
      <c r="E11" s="134"/>
      <c r="F11" s="132"/>
      <c r="G11" s="132"/>
      <c r="H11" s="132"/>
      <c r="I11" s="141"/>
      <c r="J11" s="132"/>
      <c r="K11" s="132"/>
      <c r="L11" s="132"/>
      <c r="M11" s="132"/>
      <c r="N11" s="132">
        <f>SUM(N12:N17)</f>
        <v>84612.7525105</v>
      </c>
      <c r="O11" s="132">
        <v>0</v>
      </c>
      <c r="P11" s="132">
        <v>0</v>
      </c>
      <c r="Q11" s="132">
        <v>0</v>
      </c>
      <c r="R11" s="132"/>
      <c r="S11" s="132">
        <v>0</v>
      </c>
      <c r="T11" s="132"/>
      <c r="U11" s="132"/>
      <c r="V11" s="132"/>
      <c r="W11" s="132">
        <f>SUM(W12:W17)</f>
        <v>85019.128284926</v>
      </c>
      <c r="X11" s="147"/>
      <c r="Y11" s="147"/>
      <c r="Z11" s="147"/>
      <c r="AA11" s="141"/>
      <c r="AB11" s="147"/>
      <c r="AC11" s="147"/>
      <c r="AD11" s="147"/>
      <c r="AE11" s="147"/>
      <c r="AF11" s="132">
        <v>101396.356894875</v>
      </c>
      <c r="AG11" s="147"/>
      <c r="AH11" s="147"/>
      <c r="AI11" s="147"/>
      <c r="AJ11" s="141"/>
      <c r="AK11" s="147"/>
      <c r="AL11" s="147"/>
      <c r="AM11" s="147"/>
      <c r="AN11" s="147"/>
      <c r="AO11" s="132">
        <v>87551.0710856925</v>
      </c>
      <c r="AP11" s="147"/>
      <c r="AQ11" s="147"/>
      <c r="AR11" s="147"/>
      <c r="AS11" s="141"/>
      <c r="AT11" s="147"/>
      <c r="AU11" s="147"/>
      <c r="AV11" s="147"/>
      <c r="AW11" s="147"/>
      <c r="AX11" s="132">
        <v>91750.603635672</v>
      </c>
    </row>
    <row r="12" s="123" customFormat="1" ht="109" customHeight="1" spans="1:50">
      <c r="A12" s="133">
        <v>5</v>
      </c>
      <c r="B12" s="134" t="s">
        <v>78</v>
      </c>
      <c r="C12" s="134" t="s">
        <v>79</v>
      </c>
      <c r="D12" s="134" t="s">
        <v>73</v>
      </c>
      <c r="E12" s="134">
        <v>53.56</v>
      </c>
      <c r="F12" s="132">
        <v>80</v>
      </c>
      <c r="G12" s="132">
        <f t="shared" ref="G12:G16" si="1">H12*(1+I12)</f>
        <v>79.8</v>
      </c>
      <c r="H12" s="132">
        <v>76</v>
      </c>
      <c r="I12" s="141">
        <v>0.05</v>
      </c>
      <c r="J12" s="132">
        <v>65</v>
      </c>
      <c r="K12" s="132">
        <f t="shared" ref="K12:K17" si="2">(F12+G12+J12)*$K$5</f>
        <v>13.488</v>
      </c>
      <c r="L12" s="132">
        <f t="shared" ref="L12:L17" si="3">(F12+G12+J12+K12)*$L$5</f>
        <v>21.44592</v>
      </c>
      <c r="M12" s="143">
        <f t="shared" ref="M12:M17" si="4">F12+G12+J12+K12+L12</f>
        <v>259.73392</v>
      </c>
      <c r="N12" s="132">
        <f t="shared" ref="N12:N17" si="5">M12*E12</f>
        <v>13911.3487552</v>
      </c>
      <c r="O12" s="132">
        <v>94.6</v>
      </c>
      <c r="P12" s="132">
        <v>194.145</v>
      </c>
      <c r="Q12" s="132">
        <v>184.9</v>
      </c>
      <c r="R12" s="132">
        <v>0.05</v>
      </c>
      <c r="S12" s="132">
        <v>85.57</v>
      </c>
      <c r="T12" s="132">
        <v>22.4589</v>
      </c>
      <c r="U12" s="132">
        <v>35.709651</v>
      </c>
      <c r="V12" s="132">
        <v>432.483551</v>
      </c>
      <c r="W12" s="132">
        <v>23163.81899156</v>
      </c>
      <c r="X12" s="147">
        <v>120</v>
      </c>
      <c r="Y12" s="147">
        <v>330</v>
      </c>
      <c r="Z12" s="147">
        <v>300</v>
      </c>
      <c r="AA12" s="141">
        <v>0.1</v>
      </c>
      <c r="AB12" s="147">
        <v>90</v>
      </c>
      <c r="AC12" s="147">
        <v>70.2</v>
      </c>
      <c r="AD12" s="147">
        <v>54.918</v>
      </c>
      <c r="AE12" s="153">
        <v>665.118</v>
      </c>
      <c r="AF12" s="132">
        <v>35623.72008</v>
      </c>
      <c r="AG12" s="147">
        <v>132.975</v>
      </c>
      <c r="AH12" s="147">
        <v>261.45</v>
      </c>
      <c r="AI12" s="147">
        <v>249</v>
      </c>
      <c r="AJ12" s="141">
        <v>0.05</v>
      </c>
      <c r="AK12" s="147">
        <v>90.4475298057188</v>
      </c>
      <c r="AL12" s="147">
        <v>41.2141650334861</v>
      </c>
      <c r="AM12" s="147">
        <v>47.3478025355284</v>
      </c>
      <c r="AN12" s="153">
        <v>573.434497374733</v>
      </c>
      <c r="AO12" s="132">
        <v>30713.1516793907</v>
      </c>
      <c r="AP12" s="147">
        <v>85</v>
      </c>
      <c r="AQ12" s="147">
        <v>288.4</v>
      </c>
      <c r="AR12" s="147">
        <v>280</v>
      </c>
      <c r="AS12" s="141">
        <v>0.03</v>
      </c>
      <c r="AT12" s="147">
        <v>60</v>
      </c>
      <c r="AU12" s="147">
        <v>26.004</v>
      </c>
      <c r="AV12" s="147">
        <v>41.34636</v>
      </c>
      <c r="AW12" s="147">
        <v>500.75036</v>
      </c>
      <c r="AX12" s="132">
        <v>26820.1892816</v>
      </c>
    </row>
    <row r="13" s="123" customFormat="1" ht="86.4" spans="1:50">
      <c r="A13" s="133">
        <v>6</v>
      </c>
      <c r="B13" s="134" t="s">
        <v>78</v>
      </c>
      <c r="C13" s="134" t="s">
        <v>80</v>
      </c>
      <c r="D13" s="134" t="s">
        <v>73</v>
      </c>
      <c r="E13" s="134">
        <v>36.05</v>
      </c>
      <c r="F13" s="132">
        <v>80</v>
      </c>
      <c r="G13" s="132">
        <f t="shared" si="1"/>
        <v>89.25</v>
      </c>
      <c r="H13" s="132">
        <v>85</v>
      </c>
      <c r="I13" s="141">
        <v>0.05</v>
      </c>
      <c r="J13" s="132">
        <v>65</v>
      </c>
      <c r="K13" s="132">
        <f t="shared" si="2"/>
        <v>14.055</v>
      </c>
      <c r="L13" s="132">
        <f t="shared" si="3"/>
        <v>22.34745</v>
      </c>
      <c r="M13" s="143">
        <f t="shared" si="4"/>
        <v>270.65245</v>
      </c>
      <c r="N13" s="132">
        <f t="shared" si="5"/>
        <v>9757.0208225</v>
      </c>
      <c r="O13" s="132">
        <v>116.1</v>
      </c>
      <c r="P13" s="132">
        <v>212.205</v>
      </c>
      <c r="Q13" s="132">
        <v>202.1</v>
      </c>
      <c r="R13" s="132">
        <v>0.05</v>
      </c>
      <c r="S13" s="132">
        <v>30.1</v>
      </c>
      <c r="T13" s="132">
        <v>21.5043</v>
      </c>
      <c r="U13" s="132">
        <v>34.191837</v>
      </c>
      <c r="V13" s="132">
        <v>414.101137</v>
      </c>
      <c r="W13" s="132">
        <v>14928.34598885</v>
      </c>
      <c r="X13" s="147">
        <v>100</v>
      </c>
      <c r="Y13" s="147">
        <v>462</v>
      </c>
      <c r="Z13" s="147">
        <v>420</v>
      </c>
      <c r="AA13" s="141">
        <v>0.1</v>
      </c>
      <c r="AB13" s="147">
        <v>60</v>
      </c>
      <c r="AC13" s="147">
        <v>80.86</v>
      </c>
      <c r="AD13" s="147">
        <v>63.2574</v>
      </c>
      <c r="AE13" s="153">
        <v>766.1174</v>
      </c>
      <c r="AF13" s="132">
        <v>27618.53227</v>
      </c>
      <c r="AG13" s="147">
        <v>119.475</v>
      </c>
      <c r="AH13" s="147">
        <v>348.6</v>
      </c>
      <c r="AI13" s="147">
        <v>332</v>
      </c>
      <c r="AJ13" s="141">
        <v>0.05</v>
      </c>
      <c r="AK13" s="147">
        <v>40.9796460176991</v>
      </c>
      <c r="AL13" s="147">
        <v>43.2696449115044</v>
      </c>
      <c r="AM13" s="147">
        <v>49.7091861836283</v>
      </c>
      <c r="AN13" s="147">
        <v>602.033477112832</v>
      </c>
      <c r="AO13" s="132">
        <v>21703.3068499176</v>
      </c>
      <c r="AP13" s="147">
        <v>85</v>
      </c>
      <c r="AQ13" s="147">
        <v>334.75</v>
      </c>
      <c r="AR13" s="147">
        <v>325</v>
      </c>
      <c r="AS13" s="141">
        <v>0.03</v>
      </c>
      <c r="AT13" s="147">
        <v>140</v>
      </c>
      <c r="AU13" s="147">
        <v>33.585</v>
      </c>
      <c r="AV13" s="147">
        <v>53.40015</v>
      </c>
      <c r="AW13" s="153">
        <v>646.73515</v>
      </c>
      <c r="AX13" s="132">
        <v>23314.8021575</v>
      </c>
    </row>
    <row r="14" s="123" customFormat="1" ht="118.8" spans="1:50">
      <c r="A14" s="133">
        <v>7</v>
      </c>
      <c r="B14" s="134" t="s">
        <v>81</v>
      </c>
      <c r="C14" s="134" t="s">
        <v>82</v>
      </c>
      <c r="D14" s="134" t="s">
        <v>73</v>
      </c>
      <c r="E14" s="134">
        <v>88.9</v>
      </c>
      <c r="F14" s="132">
        <v>80</v>
      </c>
      <c r="G14" s="132">
        <f t="shared" si="1"/>
        <v>16.8</v>
      </c>
      <c r="H14" s="132">
        <v>16</v>
      </c>
      <c r="I14" s="141">
        <v>0.05</v>
      </c>
      <c r="J14" s="132">
        <v>60</v>
      </c>
      <c r="K14" s="132">
        <f t="shared" si="2"/>
        <v>9.408</v>
      </c>
      <c r="L14" s="132">
        <f t="shared" si="3"/>
        <v>14.95872</v>
      </c>
      <c r="M14" s="132">
        <f t="shared" si="4"/>
        <v>181.16672</v>
      </c>
      <c r="N14" s="132">
        <f t="shared" si="5"/>
        <v>16105.721408</v>
      </c>
      <c r="O14" s="132">
        <v>111.8</v>
      </c>
      <c r="P14" s="132">
        <v>72.8721</v>
      </c>
      <c r="Q14" s="132">
        <v>69.402</v>
      </c>
      <c r="R14" s="132">
        <v>0.05</v>
      </c>
      <c r="S14" s="132">
        <v>30.1</v>
      </c>
      <c r="T14" s="132">
        <v>12.886326</v>
      </c>
      <c r="U14" s="132">
        <v>20.48925834</v>
      </c>
      <c r="V14" s="145">
        <v>248.14768434</v>
      </c>
      <c r="W14" s="132">
        <v>22060.329137826</v>
      </c>
      <c r="X14" s="147">
        <v>78</v>
      </c>
      <c r="Y14" s="147">
        <v>21</v>
      </c>
      <c r="Z14" s="147">
        <v>20</v>
      </c>
      <c r="AA14" s="141">
        <v>0.05</v>
      </c>
      <c r="AB14" s="147">
        <v>35</v>
      </c>
      <c r="AC14" s="147">
        <v>17.42</v>
      </c>
      <c r="AD14" s="147">
        <v>13.6278</v>
      </c>
      <c r="AE14" s="147">
        <v>165.0478</v>
      </c>
      <c r="AF14" s="132">
        <v>14672.74942</v>
      </c>
      <c r="AG14" s="147">
        <v>56.7</v>
      </c>
      <c r="AH14" s="147">
        <v>0</v>
      </c>
      <c r="AI14" s="147"/>
      <c r="AJ14" s="141"/>
      <c r="AK14" s="147">
        <v>63.5941537149829</v>
      </c>
      <c r="AL14" s="147">
        <v>10.2250030657735</v>
      </c>
      <c r="AM14" s="147">
        <v>11.7467241102681</v>
      </c>
      <c r="AN14" s="147">
        <v>142.265880891025</v>
      </c>
      <c r="AO14" s="132">
        <v>12647.4368112121</v>
      </c>
      <c r="AP14" s="147">
        <v>85</v>
      </c>
      <c r="AQ14" s="147">
        <v>26.933</v>
      </c>
      <c r="AR14" s="147">
        <v>23.42</v>
      </c>
      <c r="AS14" s="141">
        <v>0.15</v>
      </c>
      <c r="AT14" s="147">
        <v>45</v>
      </c>
      <c r="AU14" s="147">
        <v>9.41598</v>
      </c>
      <c r="AV14" s="147">
        <v>14.9714082</v>
      </c>
      <c r="AW14" s="147">
        <v>181.3203882</v>
      </c>
      <c r="AX14" s="132">
        <v>16119.38251098</v>
      </c>
    </row>
    <row r="15" s="123" customFormat="1" ht="118.8" spans="1:50">
      <c r="A15" s="133">
        <v>8</v>
      </c>
      <c r="B15" s="136" t="s">
        <v>83</v>
      </c>
      <c r="C15" s="136" t="s">
        <v>82</v>
      </c>
      <c r="D15" s="134" t="s">
        <v>73</v>
      </c>
      <c r="E15" s="136">
        <f>30.35+55.94</f>
        <v>86.29</v>
      </c>
      <c r="F15" s="132">
        <v>75</v>
      </c>
      <c r="G15" s="132">
        <f t="shared" si="1"/>
        <v>16.8</v>
      </c>
      <c r="H15" s="132">
        <v>16</v>
      </c>
      <c r="I15" s="141">
        <v>0.05</v>
      </c>
      <c r="J15" s="132">
        <v>60</v>
      </c>
      <c r="K15" s="132">
        <f t="shared" si="2"/>
        <v>9.108</v>
      </c>
      <c r="L15" s="132">
        <f t="shared" si="3"/>
        <v>14.48172</v>
      </c>
      <c r="M15" s="132">
        <f t="shared" si="4"/>
        <v>175.38972</v>
      </c>
      <c r="N15" s="132">
        <f t="shared" si="5"/>
        <v>15134.3789388</v>
      </c>
      <c r="O15" s="132">
        <v>68.8</v>
      </c>
      <c r="P15" s="132">
        <v>27.09</v>
      </c>
      <c r="Q15" s="132">
        <v>25.8</v>
      </c>
      <c r="R15" s="132">
        <v>0.05</v>
      </c>
      <c r="S15" s="132">
        <v>30.1</v>
      </c>
      <c r="T15" s="132">
        <v>7.5594</v>
      </c>
      <c r="U15" s="132">
        <v>12.019446</v>
      </c>
      <c r="V15" s="132">
        <v>145.568846</v>
      </c>
      <c r="W15" s="132">
        <v>12561.13572134</v>
      </c>
      <c r="X15" s="147">
        <v>70</v>
      </c>
      <c r="Y15" s="147">
        <v>21</v>
      </c>
      <c r="Z15" s="147">
        <v>20</v>
      </c>
      <c r="AA15" s="141">
        <v>0.05</v>
      </c>
      <c r="AB15" s="147">
        <v>30</v>
      </c>
      <c r="AC15" s="147">
        <v>15.73</v>
      </c>
      <c r="AD15" s="147">
        <v>12.3057</v>
      </c>
      <c r="AE15" s="147">
        <v>149.0357</v>
      </c>
      <c r="AF15" s="132">
        <v>12860.290553</v>
      </c>
      <c r="AG15" s="147">
        <v>37.8</v>
      </c>
      <c r="AH15" s="147">
        <v>0</v>
      </c>
      <c r="AI15" s="147"/>
      <c r="AJ15" s="141"/>
      <c r="AK15" s="147">
        <v>50.7920353982301</v>
      </c>
      <c r="AL15" s="147">
        <v>7.53032300884956</v>
      </c>
      <c r="AM15" s="147">
        <v>8.65101225663717</v>
      </c>
      <c r="AN15" s="147">
        <v>104.773370663717</v>
      </c>
      <c r="AO15" s="132">
        <v>9040.89415457213</v>
      </c>
      <c r="AP15" s="147">
        <v>65</v>
      </c>
      <c r="AQ15" s="147">
        <v>25.762</v>
      </c>
      <c r="AR15" s="147">
        <v>23.42</v>
      </c>
      <c r="AS15" s="141">
        <v>0.1</v>
      </c>
      <c r="AT15" s="147">
        <v>35</v>
      </c>
      <c r="AU15" s="147">
        <v>7.54572</v>
      </c>
      <c r="AV15" s="147">
        <v>11.9976948</v>
      </c>
      <c r="AW15" s="147">
        <v>145.3054148</v>
      </c>
      <c r="AX15" s="132">
        <v>12538.404243092</v>
      </c>
    </row>
    <row r="16" s="123" customFormat="1" ht="54" spans="1:50">
      <c r="A16" s="133">
        <v>9</v>
      </c>
      <c r="B16" s="136" t="s">
        <v>84</v>
      </c>
      <c r="C16" s="136" t="s">
        <v>85</v>
      </c>
      <c r="D16" s="136" t="s">
        <v>73</v>
      </c>
      <c r="E16" s="134">
        <f>153.31+55.94</f>
        <v>209.25</v>
      </c>
      <c r="F16" s="132">
        <v>35</v>
      </c>
      <c r="G16" s="132">
        <f t="shared" si="1"/>
        <v>14.28</v>
      </c>
      <c r="H16" s="132">
        <v>14</v>
      </c>
      <c r="I16" s="144">
        <v>0.02</v>
      </c>
      <c r="J16" s="132">
        <v>9</v>
      </c>
      <c r="K16" s="132">
        <f t="shared" si="2"/>
        <v>3.4968</v>
      </c>
      <c r="L16" s="132">
        <f t="shared" si="3"/>
        <v>5.559912</v>
      </c>
      <c r="M16" s="132">
        <f t="shared" si="4"/>
        <v>67.336712</v>
      </c>
      <c r="N16" s="132">
        <f t="shared" si="5"/>
        <v>14090.206986</v>
      </c>
      <c r="O16" s="132">
        <v>18.92</v>
      </c>
      <c r="P16" s="132">
        <v>4.343</v>
      </c>
      <c r="Q16" s="132">
        <v>4.3</v>
      </c>
      <c r="R16" s="132">
        <v>0.01</v>
      </c>
      <c r="S16" s="132">
        <v>3.44</v>
      </c>
      <c r="T16" s="132">
        <v>1.60218</v>
      </c>
      <c r="U16" s="132">
        <v>2.5474662</v>
      </c>
      <c r="V16" s="132">
        <v>30.8526462</v>
      </c>
      <c r="W16" s="132">
        <v>6455.91621735</v>
      </c>
      <c r="X16" s="147">
        <v>18</v>
      </c>
      <c r="Y16" s="147">
        <v>2.575</v>
      </c>
      <c r="Z16" s="147">
        <v>2.5</v>
      </c>
      <c r="AA16" s="144">
        <v>0.03</v>
      </c>
      <c r="AB16" s="147">
        <v>2.5</v>
      </c>
      <c r="AC16" s="147">
        <v>2.99975</v>
      </c>
      <c r="AD16" s="147">
        <v>2.3467275</v>
      </c>
      <c r="AE16" s="147">
        <v>28.4214775</v>
      </c>
      <c r="AF16" s="132">
        <v>5947.194166875</v>
      </c>
      <c r="AG16" s="147">
        <v>27</v>
      </c>
      <c r="AH16" s="147">
        <v>2.94985250737463</v>
      </c>
      <c r="AI16" s="147">
        <v>2.80938334035679</v>
      </c>
      <c r="AJ16" s="141">
        <v>0.05</v>
      </c>
      <c r="AK16" s="147">
        <v>2.65486725663717</v>
      </c>
      <c r="AL16" s="147">
        <v>2.771401179941</v>
      </c>
      <c r="AM16" s="147">
        <v>3.18385088495575</v>
      </c>
      <c r="AN16" s="147">
        <v>38.5599718289086</v>
      </c>
      <c r="AO16" s="132">
        <v>8068.67410519911</v>
      </c>
      <c r="AP16" s="147">
        <v>20</v>
      </c>
      <c r="AQ16" s="147">
        <v>3.15</v>
      </c>
      <c r="AR16" s="147">
        <v>3</v>
      </c>
      <c r="AS16" s="157">
        <v>0.05</v>
      </c>
      <c r="AT16" s="147">
        <v>5.5</v>
      </c>
      <c r="AU16" s="147">
        <v>1.719</v>
      </c>
      <c r="AV16" s="147">
        <v>2.73321</v>
      </c>
      <c r="AW16" s="147">
        <v>33.10221</v>
      </c>
      <c r="AX16" s="132">
        <v>6926.6374425</v>
      </c>
    </row>
    <row r="17" s="123" customFormat="1" ht="32.4" spans="1:50">
      <c r="A17" s="133">
        <v>10</v>
      </c>
      <c r="B17" s="136" t="s">
        <v>86</v>
      </c>
      <c r="C17" s="136" t="s">
        <v>87</v>
      </c>
      <c r="D17" s="136" t="s">
        <v>88</v>
      </c>
      <c r="E17" s="134">
        <f>17+12</f>
        <v>29</v>
      </c>
      <c r="F17" s="132">
        <v>50</v>
      </c>
      <c r="G17" s="132">
        <f t="shared" ref="G17" si="6">H17*(1+I17)</f>
        <v>356</v>
      </c>
      <c r="H17" s="132">
        <v>356</v>
      </c>
      <c r="I17" s="141"/>
      <c r="J17" s="132">
        <v>60</v>
      </c>
      <c r="K17" s="132">
        <f t="shared" si="2"/>
        <v>27.96</v>
      </c>
      <c r="L17" s="132">
        <f t="shared" si="3"/>
        <v>44.4564</v>
      </c>
      <c r="M17" s="145">
        <f t="shared" si="4"/>
        <v>538.4164</v>
      </c>
      <c r="N17" s="132">
        <f t="shared" si="5"/>
        <v>15614.0756</v>
      </c>
      <c r="O17" s="132">
        <v>30.1</v>
      </c>
      <c r="P17" s="132">
        <v>137.6</v>
      </c>
      <c r="Q17" s="132">
        <v>137.6</v>
      </c>
      <c r="R17" s="132"/>
      <c r="S17" s="132">
        <v>6.88</v>
      </c>
      <c r="T17" s="132">
        <v>10.4748</v>
      </c>
      <c r="U17" s="132">
        <v>16.654932</v>
      </c>
      <c r="V17" s="132">
        <v>201.709732</v>
      </c>
      <c r="W17" s="132">
        <v>5849.582228</v>
      </c>
      <c r="X17" s="147">
        <v>40</v>
      </c>
      <c r="Y17" s="147">
        <v>85.85</v>
      </c>
      <c r="Z17" s="147">
        <v>85</v>
      </c>
      <c r="AA17" s="141">
        <v>0.01</v>
      </c>
      <c r="AB17" s="147">
        <v>5</v>
      </c>
      <c r="AC17" s="147">
        <v>17.0105</v>
      </c>
      <c r="AD17" s="147">
        <v>13.307445</v>
      </c>
      <c r="AE17" s="147">
        <v>161.167945</v>
      </c>
      <c r="AF17" s="132">
        <v>4673.870405</v>
      </c>
      <c r="AG17" s="147">
        <v>27</v>
      </c>
      <c r="AH17" s="147">
        <v>106.858407079646</v>
      </c>
      <c r="AI17" s="147">
        <v>101.769911504425</v>
      </c>
      <c r="AJ17" s="141">
        <v>0.05</v>
      </c>
      <c r="AK17" s="147">
        <v>22.9375518903711</v>
      </c>
      <c r="AL17" s="147">
        <v>13.3276565124515</v>
      </c>
      <c r="AM17" s="147">
        <v>15.3111253934222</v>
      </c>
      <c r="AN17" s="147">
        <v>185.434740875891</v>
      </c>
      <c r="AO17" s="132">
        <v>5377.60748540083</v>
      </c>
      <c r="AP17" s="147">
        <v>55</v>
      </c>
      <c r="AQ17" s="147">
        <v>120</v>
      </c>
      <c r="AR17" s="147">
        <v>120</v>
      </c>
      <c r="AS17" s="141">
        <v>0</v>
      </c>
      <c r="AT17" s="147">
        <v>5</v>
      </c>
      <c r="AU17" s="147">
        <v>10.8</v>
      </c>
      <c r="AV17" s="147">
        <v>17.172</v>
      </c>
      <c r="AW17" s="147">
        <v>207.972</v>
      </c>
      <c r="AX17" s="132">
        <v>6031.188</v>
      </c>
    </row>
    <row r="18" s="123" customFormat="1" spans="1:50">
      <c r="A18" s="133">
        <v>11</v>
      </c>
      <c r="B18" s="134" t="s">
        <v>89</v>
      </c>
      <c r="C18" s="134"/>
      <c r="D18" s="134"/>
      <c r="E18" s="134"/>
      <c r="F18" s="132"/>
      <c r="G18" s="135"/>
      <c r="H18" s="132"/>
      <c r="I18" s="141"/>
      <c r="J18" s="132"/>
      <c r="K18" s="132"/>
      <c r="L18" s="132"/>
      <c r="M18" s="132"/>
      <c r="N18" s="132">
        <f>SUM(N19:N35)</f>
        <v>360058.68801784</v>
      </c>
      <c r="O18" s="132">
        <v>0</v>
      </c>
      <c r="P18" s="132">
        <v>0</v>
      </c>
      <c r="Q18" s="132">
        <v>0</v>
      </c>
      <c r="R18" s="132"/>
      <c r="S18" s="132">
        <v>0</v>
      </c>
      <c r="T18" s="132"/>
      <c r="U18" s="132"/>
      <c r="V18" s="132"/>
      <c r="W18" s="132">
        <f>SUM(W19:W35)</f>
        <v>374709.695247647</v>
      </c>
      <c r="X18" s="147"/>
      <c r="Y18" s="147"/>
      <c r="Z18" s="147"/>
      <c r="AA18" s="141"/>
      <c r="AB18" s="147"/>
      <c r="AC18" s="147"/>
      <c r="AD18" s="147"/>
      <c r="AE18" s="147"/>
      <c r="AF18" s="132">
        <v>458797.04953605</v>
      </c>
      <c r="AG18" s="147"/>
      <c r="AH18" s="151"/>
      <c r="AI18" s="147"/>
      <c r="AJ18" s="141"/>
      <c r="AK18" s="147"/>
      <c r="AL18" s="147"/>
      <c r="AM18" s="147"/>
      <c r="AN18" s="147"/>
      <c r="AO18" s="132">
        <v>520304.095318023</v>
      </c>
      <c r="AP18" s="147"/>
      <c r="AQ18" s="156"/>
      <c r="AR18" s="147"/>
      <c r="AS18" s="141"/>
      <c r="AT18" s="147"/>
      <c r="AU18" s="147"/>
      <c r="AV18" s="147"/>
      <c r="AW18" s="147"/>
      <c r="AX18" s="132">
        <v>517508.060193116</v>
      </c>
    </row>
    <row r="19" s="123" customFormat="1" ht="21.6" spans="1:50">
      <c r="A19" s="133">
        <v>12</v>
      </c>
      <c r="B19" s="136" t="s">
        <v>90</v>
      </c>
      <c r="C19" s="136" t="s">
        <v>91</v>
      </c>
      <c r="D19" s="136" t="s">
        <v>92</v>
      </c>
      <c r="E19" s="134">
        <v>10.21</v>
      </c>
      <c r="F19" s="132">
        <v>300</v>
      </c>
      <c r="G19" s="132">
        <f t="shared" ref="G19:G20" si="7">H19*(1+I19)</f>
        <v>362.1</v>
      </c>
      <c r="H19" s="132">
        <v>355</v>
      </c>
      <c r="I19" s="141">
        <v>0.02</v>
      </c>
      <c r="J19" s="132">
        <v>170</v>
      </c>
      <c r="K19" s="132">
        <f t="shared" ref="K19:K28" si="8">(F19+G19+J19)*$K$5</f>
        <v>49.926</v>
      </c>
      <c r="L19" s="132">
        <f t="shared" ref="L19:L28" si="9">(F19+G19+J19+K19)*$L$5</f>
        <v>79.38234</v>
      </c>
      <c r="M19" s="145">
        <f t="shared" ref="M19:M26" si="10">F19+G19+J19+K19+L19</f>
        <v>961.40834</v>
      </c>
      <c r="N19" s="132">
        <f t="shared" ref="N19:N26" si="11">M19*E19</f>
        <v>9815.9791514</v>
      </c>
      <c r="O19" s="132">
        <v>344</v>
      </c>
      <c r="P19" s="132">
        <v>0</v>
      </c>
      <c r="Q19" s="132">
        <v>0</v>
      </c>
      <c r="R19" s="132"/>
      <c r="S19" s="132">
        <v>227.9</v>
      </c>
      <c r="T19" s="132">
        <v>34.314</v>
      </c>
      <c r="U19" s="132">
        <v>54.55926</v>
      </c>
      <c r="V19" s="132">
        <v>660.77326</v>
      </c>
      <c r="W19" s="132">
        <v>6746.4949846</v>
      </c>
      <c r="X19" s="147">
        <v>350</v>
      </c>
      <c r="Y19" s="147">
        <v>288.4</v>
      </c>
      <c r="Z19" s="147">
        <v>280</v>
      </c>
      <c r="AA19" s="141">
        <v>0.03</v>
      </c>
      <c r="AB19" s="147">
        <v>15</v>
      </c>
      <c r="AC19" s="147">
        <v>84.942</v>
      </c>
      <c r="AD19" s="147">
        <v>66.45078</v>
      </c>
      <c r="AE19" s="147">
        <v>804.79278</v>
      </c>
      <c r="AF19" s="132">
        <v>8216.9342838</v>
      </c>
      <c r="AG19" s="147">
        <v>405</v>
      </c>
      <c r="AH19" s="147">
        <v>0</v>
      </c>
      <c r="AI19" s="147"/>
      <c r="AJ19" s="141"/>
      <c r="AK19" s="147">
        <v>441.722398831515</v>
      </c>
      <c r="AL19" s="147">
        <v>71.9714039006788</v>
      </c>
      <c r="AM19" s="147">
        <v>82.6824422458974</v>
      </c>
      <c r="AN19" s="153">
        <v>1001.37624497809</v>
      </c>
      <c r="AO19" s="132">
        <v>10224.0514612263</v>
      </c>
      <c r="AP19" s="147">
        <v>520</v>
      </c>
      <c r="AQ19" s="147">
        <v>267.8</v>
      </c>
      <c r="AR19" s="147">
        <v>260</v>
      </c>
      <c r="AS19" s="141">
        <v>0.03</v>
      </c>
      <c r="AT19" s="147">
        <v>120</v>
      </c>
      <c r="AU19" s="147">
        <v>54.468</v>
      </c>
      <c r="AV19" s="147">
        <v>86.60412</v>
      </c>
      <c r="AW19" s="153">
        <v>1048.87212</v>
      </c>
      <c r="AX19" s="132">
        <v>10708.9843452</v>
      </c>
    </row>
    <row r="20" s="123" customFormat="1" ht="21.6" spans="1:50">
      <c r="A20" s="133">
        <v>13</v>
      </c>
      <c r="B20" s="136" t="s">
        <v>93</v>
      </c>
      <c r="C20" s="136" t="s">
        <v>94</v>
      </c>
      <c r="D20" s="136" t="s">
        <v>73</v>
      </c>
      <c r="E20" s="134">
        <v>0.42</v>
      </c>
      <c r="F20" s="132">
        <v>150</v>
      </c>
      <c r="G20" s="132">
        <f t="shared" si="7"/>
        <v>360</v>
      </c>
      <c r="H20" s="132">
        <v>360</v>
      </c>
      <c r="I20" s="141"/>
      <c r="J20" s="132">
        <v>20</v>
      </c>
      <c r="K20" s="132">
        <f t="shared" si="8"/>
        <v>31.8</v>
      </c>
      <c r="L20" s="132">
        <f t="shared" si="9"/>
        <v>50.562</v>
      </c>
      <c r="M20" s="132">
        <f t="shared" si="10"/>
        <v>612.362</v>
      </c>
      <c r="N20" s="132">
        <f t="shared" si="11"/>
        <v>257.19204</v>
      </c>
      <c r="O20" s="132">
        <v>18.92</v>
      </c>
      <c r="P20" s="132">
        <v>301</v>
      </c>
      <c r="Q20" s="132">
        <v>301</v>
      </c>
      <c r="R20" s="132"/>
      <c r="S20" s="132">
        <v>0</v>
      </c>
      <c r="T20" s="132">
        <v>19.1952</v>
      </c>
      <c r="U20" s="132">
        <v>30.520368</v>
      </c>
      <c r="V20" s="132">
        <v>369.635568</v>
      </c>
      <c r="W20" s="132">
        <v>155.24693856</v>
      </c>
      <c r="X20" s="147">
        <v>350</v>
      </c>
      <c r="Y20" s="147">
        <v>566.5</v>
      </c>
      <c r="Z20" s="147">
        <v>550</v>
      </c>
      <c r="AA20" s="141">
        <v>0.03</v>
      </c>
      <c r="AB20" s="147">
        <v>50</v>
      </c>
      <c r="AC20" s="147">
        <v>125.645</v>
      </c>
      <c r="AD20" s="147">
        <v>98.29305</v>
      </c>
      <c r="AE20" s="153">
        <v>1190.43805</v>
      </c>
      <c r="AF20" s="132">
        <v>499.983981</v>
      </c>
      <c r="AG20" s="147">
        <v>105.3</v>
      </c>
      <c r="AH20" s="147">
        <v>0</v>
      </c>
      <c r="AI20" s="147"/>
      <c r="AJ20" s="141"/>
      <c r="AK20" s="147">
        <v>55.2739511407391</v>
      </c>
      <c r="AL20" s="147">
        <v>13.6487858469628</v>
      </c>
      <c r="AM20" s="147">
        <v>15.6800463288932</v>
      </c>
      <c r="AN20" s="147">
        <v>189.902783316595</v>
      </c>
      <c r="AO20" s="132">
        <v>79.7591689929699</v>
      </c>
      <c r="AP20" s="147">
        <v>520</v>
      </c>
      <c r="AQ20" s="147">
        <v>515</v>
      </c>
      <c r="AR20" s="147">
        <v>500</v>
      </c>
      <c r="AS20" s="141">
        <v>0.03</v>
      </c>
      <c r="AT20" s="147">
        <v>120</v>
      </c>
      <c r="AU20" s="147">
        <v>69.3</v>
      </c>
      <c r="AV20" s="147">
        <v>110.187</v>
      </c>
      <c r="AW20" s="153">
        <v>1334.487</v>
      </c>
      <c r="AX20" s="132">
        <v>560.48454</v>
      </c>
    </row>
    <row r="21" ht="75.6" spans="1:51">
      <c r="A21" s="133">
        <v>14</v>
      </c>
      <c r="B21" s="134" t="s">
        <v>95</v>
      </c>
      <c r="C21" s="136" t="s">
        <v>96</v>
      </c>
      <c r="D21" s="134" t="s">
        <v>73</v>
      </c>
      <c r="E21" s="134">
        <v>248.33</v>
      </c>
      <c r="F21" s="132">
        <v>185</v>
      </c>
      <c r="G21" s="132">
        <f t="shared" ref="G21:G33" si="12">H21*(1+I21)</f>
        <v>270.25</v>
      </c>
      <c r="H21" s="132">
        <v>235</v>
      </c>
      <c r="I21" s="141">
        <v>0.15</v>
      </c>
      <c r="J21" s="132">
        <v>123</v>
      </c>
      <c r="K21" s="132">
        <f t="shared" si="8"/>
        <v>34.695</v>
      </c>
      <c r="L21" s="132">
        <f t="shared" si="9"/>
        <v>55.16505</v>
      </c>
      <c r="M21" s="132">
        <f t="shared" si="10"/>
        <v>668.11005</v>
      </c>
      <c r="N21" s="132">
        <f t="shared" si="11"/>
        <v>165911.7687165</v>
      </c>
      <c r="O21" s="132">
        <v>159.1</v>
      </c>
      <c r="P21" s="132">
        <v>419.895</v>
      </c>
      <c r="Q21" s="132">
        <v>399.9</v>
      </c>
      <c r="R21" s="132">
        <v>0.05</v>
      </c>
      <c r="S21" s="132">
        <v>92.88</v>
      </c>
      <c r="T21" s="132">
        <v>40.3125</v>
      </c>
      <c r="U21" s="132">
        <v>64.096875</v>
      </c>
      <c r="V21" s="132">
        <v>776.284375</v>
      </c>
      <c r="W21" s="132">
        <v>192774.69884375</v>
      </c>
      <c r="X21" s="147">
        <v>140</v>
      </c>
      <c r="Y21" s="147">
        <v>378</v>
      </c>
      <c r="Z21" s="147">
        <v>360</v>
      </c>
      <c r="AA21" s="141">
        <v>0.05</v>
      </c>
      <c r="AB21" s="147">
        <v>100</v>
      </c>
      <c r="AC21" s="147">
        <v>80.34</v>
      </c>
      <c r="AD21" s="147">
        <v>62.8506</v>
      </c>
      <c r="AE21" s="147">
        <v>761.1906</v>
      </c>
      <c r="AF21" s="132">
        <v>189026.461698</v>
      </c>
      <c r="AG21" s="147">
        <v>209.25</v>
      </c>
      <c r="AH21" s="147">
        <v>467.12389380531</v>
      </c>
      <c r="AI21" s="147">
        <v>457.964601769912</v>
      </c>
      <c r="AJ21" s="141">
        <v>0.02</v>
      </c>
      <c r="AK21" s="147">
        <v>119.664159292035</v>
      </c>
      <c r="AL21" s="147">
        <v>67.6632345132743</v>
      </c>
      <c r="AM21" s="147">
        <v>77.7331158849557</v>
      </c>
      <c r="AN21" s="153">
        <v>941.434403495575</v>
      </c>
      <c r="AO21" s="132">
        <v>233786.405420056</v>
      </c>
      <c r="AP21" s="147">
        <v>150</v>
      </c>
      <c r="AQ21" s="147">
        <v>432.6</v>
      </c>
      <c r="AR21" s="147">
        <v>420</v>
      </c>
      <c r="AS21" s="141">
        <v>0.03</v>
      </c>
      <c r="AT21" s="147">
        <v>125</v>
      </c>
      <c r="AU21" s="147">
        <v>42.456</v>
      </c>
      <c r="AV21" s="147">
        <v>67.50504</v>
      </c>
      <c r="AW21" s="153">
        <v>817.56104</v>
      </c>
      <c r="AX21" s="132">
        <v>203024.9330632</v>
      </c>
      <c r="AY21" s="123"/>
    </row>
    <row r="22" ht="64.8" spans="1:51">
      <c r="A22" s="133">
        <v>15</v>
      </c>
      <c r="B22" s="134" t="s">
        <v>95</v>
      </c>
      <c r="C22" s="136" t="s">
        <v>97</v>
      </c>
      <c r="D22" s="134" t="s">
        <v>73</v>
      </c>
      <c r="E22" s="134">
        <v>5.2</v>
      </c>
      <c r="F22" s="132">
        <v>75</v>
      </c>
      <c r="G22" s="132">
        <f t="shared" si="12"/>
        <v>181.5</v>
      </c>
      <c r="H22" s="132">
        <v>165</v>
      </c>
      <c r="I22" s="141">
        <v>0.1</v>
      </c>
      <c r="J22" s="132">
        <v>46</v>
      </c>
      <c r="K22" s="132">
        <f t="shared" si="8"/>
        <v>18.15</v>
      </c>
      <c r="L22" s="132">
        <f t="shared" si="9"/>
        <v>28.8585</v>
      </c>
      <c r="M22" s="132">
        <f t="shared" si="10"/>
        <v>349.5085</v>
      </c>
      <c r="N22" s="132">
        <f t="shared" si="11"/>
        <v>1817.4442</v>
      </c>
      <c r="O22" s="132">
        <v>73.1</v>
      </c>
      <c r="P22" s="132">
        <v>252.84</v>
      </c>
      <c r="Q22" s="132">
        <v>240.8</v>
      </c>
      <c r="R22" s="132">
        <v>0.05</v>
      </c>
      <c r="S22" s="132">
        <v>30.1</v>
      </c>
      <c r="T22" s="132">
        <v>21.3624</v>
      </c>
      <c r="U22" s="132">
        <v>33.966216</v>
      </c>
      <c r="V22" s="132">
        <v>411.368616</v>
      </c>
      <c r="W22" s="132">
        <v>2139.1168032</v>
      </c>
      <c r="X22" s="147">
        <v>100</v>
      </c>
      <c r="Y22" s="147">
        <v>378</v>
      </c>
      <c r="Z22" s="147">
        <v>360</v>
      </c>
      <c r="AA22" s="141">
        <v>0.05</v>
      </c>
      <c r="AB22" s="147">
        <v>30</v>
      </c>
      <c r="AC22" s="147">
        <v>66.04</v>
      </c>
      <c r="AD22" s="147">
        <v>51.6636</v>
      </c>
      <c r="AE22" s="153">
        <v>625.7036</v>
      </c>
      <c r="AF22" s="132">
        <v>3253.65872</v>
      </c>
      <c r="AG22" s="147">
        <v>85.05</v>
      </c>
      <c r="AH22" s="147">
        <v>467.12389380531</v>
      </c>
      <c r="AI22" s="147">
        <v>457.964601769912</v>
      </c>
      <c r="AJ22" s="141">
        <v>0.02</v>
      </c>
      <c r="AK22" s="147">
        <v>33.858407079646</v>
      </c>
      <c r="AL22" s="147">
        <v>49.8127455752212</v>
      </c>
      <c r="AM22" s="147">
        <v>57.2260541814159</v>
      </c>
      <c r="AN22" s="153">
        <v>693.071100641593</v>
      </c>
      <c r="AO22" s="132">
        <v>3603.96972333628</v>
      </c>
      <c r="AP22" s="147">
        <v>120</v>
      </c>
      <c r="AQ22" s="147">
        <v>700.4</v>
      </c>
      <c r="AR22" s="147">
        <v>680</v>
      </c>
      <c r="AS22" s="141">
        <v>0.03</v>
      </c>
      <c r="AT22" s="147">
        <v>25</v>
      </c>
      <c r="AU22" s="147">
        <v>50.724</v>
      </c>
      <c r="AV22" s="147">
        <v>80.65116</v>
      </c>
      <c r="AW22" s="153">
        <v>976.77516</v>
      </c>
      <c r="AX22" s="132">
        <v>5079.230832</v>
      </c>
      <c r="AY22" s="123"/>
    </row>
    <row r="23" ht="64.8" spans="1:51">
      <c r="A23" s="133">
        <v>16</v>
      </c>
      <c r="B23" s="134" t="s">
        <v>95</v>
      </c>
      <c r="C23" s="136" t="s">
        <v>98</v>
      </c>
      <c r="D23" s="134" t="s">
        <v>73</v>
      </c>
      <c r="E23" s="134">
        <f>3.2+2.93</f>
        <v>6.13</v>
      </c>
      <c r="F23" s="132">
        <v>75</v>
      </c>
      <c r="G23" s="132">
        <f t="shared" si="12"/>
        <v>181.5</v>
      </c>
      <c r="H23" s="132">
        <v>165</v>
      </c>
      <c r="I23" s="141">
        <v>0.1</v>
      </c>
      <c r="J23" s="132">
        <v>46</v>
      </c>
      <c r="K23" s="132">
        <f t="shared" si="8"/>
        <v>18.15</v>
      </c>
      <c r="L23" s="132">
        <f t="shared" si="9"/>
        <v>28.8585</v>
      </c>
      <c r="M23" s="132">
        <f t="shared" si="10"/>
        <v>349.5085</v>
      </c>
      <c r="N23" s="132">
        <f t="shared" si="11"/>
        <v>2142.487105</v>
      </c>
      <c r="O23" s="132">
        <v>77.4</v>
      </c>
      <c r="P23" s="132">
        <v>263.676</v>
      </c>
      <c r="Q23" s="132">
        <v>251.12</v>
      </c>
      <c r="R23" s="132">
        <v>0.05</v>
      </c>
      <c r="S23" s="132">
        <v>30.1</v>
      </c>
      <c r="T23" s="132">
        <v>22.27056</v>
      </c>
      <c r="U23" s="132">
        <v>35.4101904</v>
      </c>
      <c r="V23" s="132">
        <v>428.8567504</v>
      </c>
      <c r="W23" s="132">
        <v>2628.891879952</v>
      </c>
      <c r="X23" s="147">
        <v>100</v>
      </c>
      <c r="Y23" s="147">
        <v>315</v>
      </c>
      <c r="Z23" s="147">
        <v>300</v>
      </c>
      <c r="AA23" s="141">
        <v>0.05</v>
      </c>
      <c r="AB23" s="147">
        <v>30</v>
      </c>
      <c r="AC23" s="147">
        <v>57.85</v>
      </c>
      <c r="AD23" s="147">
        <v>45.2565</v>
      </c>
      <c r="AE23" s="153">
        <v>548.1065</v>
      </c>
      <c r="AF23" s="132">
        <v>3359.892845</v>
      </c>
      <c r="AG23" s="147">
        <v>85.05</v>
      </c>
      <c r="AH23" s="147">
        <v>467.12389380531</v>
      </c>
      <c r="AI23" s="147">
        <v>457.964601769912</v>
      </c>
      <c r="AJ23" s="141">
        <v>0.02</v>
      </c>
      <c r="AK23" s="147">
        <v>33.858407079646</v>
      </c>
      <c r="AL23" s="147">
        <v>49.8127455752212</v>
      </c>
      <c r="AM23" s="147">
        <v>57.2260541814159</v>
      </c>
      <c r="AN23" s="153">
        <v>693.071100641593</v>
      </c>
      <c r="AO23" s="132">
        <v>4248.52584693297</v>
      </c>
      <c r="AP23" s="147">
        <v>120</v>
      </c>
      <c r="AQ23" s="147">
        <v>309</v>
      </c>
      <c r="AR23" s="147">
        <v>300</v>
      </c>
      <c r="AS23" s="141">
        <v>0.03</v>
      </c>
      <c r="AT23" s="147">
        <v>25</v>
      </c>
      <c r="AU23" s="147">
        <v>27.24</v>
      </c>
      <c r="AV23" s="147">
        <v>43.3116</v>
      </c>
      <c r="AW23" s="153">
        <v>524.5516</v>
      </c>
      <c r="AX23" s="132">
        <v>3215.501308</v>
      </c>
      <c r="AY23" s="123"/>
    </row>
    <row r="24" ht="72" customHeight="1" spans="1:51">
      <c r="A24" s="133">
        <v>17</v>
      </c>
      <c r="B24" s="134" t="s">
        <v>99</v>
      </c>
      <c r="C24" s="134" t="s">
        <v>100</v>
      </c>
      <c r="D24" s="134" t="s">
        <v>73</v>
      </c>
      <c r="E24" s="134">
        <f>80.06+6.21</f>
        <v>86.27</v>
      </c>
      <c r="F24" s="132">
        <v>70</v>
      </c>
      <c r="G24" s="132">
        <f t="shared" si="12"/>
        <v>78.75</v>
      </c>
      <c r="H24" s="132">
        <v>75</v>
      </c>
      <c r="I24" s="141">
        <v>0.05</v>
      </c>
      <c r="J24" s="132">
        <v>47</v>
      </c>
      <c r="K24" s="132">
        <f t="shared" si="8"/>
        <v>11.745</v>
      </c>
      <c r="L24" s="132">
        <f t="shared" si="9"/>
        <v>18.67455</v>
      </c>
      <c r="M24" s="132">
        <f t="shared" si="10"/>
        <v>226.16955</v>
      </c>
      <c r="N24" s="132">
        <f t="shared" si="11"/>
        <v>19511.6470785</v>
      </c>
      <c r="O24" s="132">
        <v>81.7</v>
      </c>
      <c r="P24" s="132">
        <v>194.145</v>
      </c>
      <c r="Q24" s="132">
        <v>184.9</v>
      </c>
      <c r="R24" s="132">
        <v>0.05</v>
      </c>
      <c r="S24" s="132">
        <v>51.6</v>
      </c>
      <c r="T24" s="132">
        <v>19.6467</v>
      </c>
      <c r="U24" s="132">
        <v>31.238253</v>
      </c>
      <c r="V24" s="132">
        <v>378.329953</v>
      </c>
      <c r="W24" s="132">
        <v>32638.52504531</v>
      </c>
      <c r="X24" s="147">
        <v>105</v>
      </c>
      <c r="Y24" s="147">
        <v>319</v>
      </c>
      <c r="Z24" s="147">
        <v>290</v>
      </c>
      <c r="AA24" s="141">
        <v>0.1</v>
      </c>
      <c r="AB24" s="147">
        <v>65</v>
      </c>
      <c r="AC24" s="147">
        <v>63.57</v>
      </c>
      <c r="AD24" s="147">
        <v>49.7313</v>
      </c>
      <c r="AE24" s="147">
        <v>602.3013</v>
      </c>
      <c r="AF24" s="132">
        <v>51960.533151</v>
      </c>
      <c r="AG24" s="147">
        <v>112.05</v>
      </c>
      <c r="AH24" s="147">
        <v>261.45</v>
      </c>
      <c r="AI24" s="147">
        <v>249</v>
      </c>
      <c r="AJ24" s="141">
        <v>0.05</v>
      </c>
      <c r="AK24" s="147">
        <v>81.2160697595327</v>
      </c>
      <c r="AL24" s="147">
        <v>38.6508659295603</v>
      </c>
      <c r="AM24" s="147">
        <v>44.4030242120184</v>
      </c>
      <c r="AN24" s="147">
        <v>537.769959901111</v>
      </c>
      <c r="AO24" s="132">
        <v>46393.4144406689</v>
      </c>
      <c r="AP24" s="147">
        <v>85</v>
      </c>
      <c r="AQ24" s="147">
        <v>288.4</v>
      </c>
      <c r="AR24" s="147">
        <v>280</v>
      </c>
      <c r="AS24" s="141">
        <v>0.03</v>
      </c>
      <c r="AT24" s="147">
        <v>53</v>
      </c>
      <c r="AU24" s="147">
        <v>25.584</v>
      </c>
      <c r="AV24" s="147">
        <v>40.67856</v>
      </c>
      <c r="AW24" s="147">
        <v>492.66256</v>
      </c>
      <c r="AX24" s="132">
        <v>42501.9990512</v>
      </c>
      <c r="AY24" s="123"/>
    </row>
    <row r="25" ht="83" customHeight="1" spans="1:51">
      <c r="A25" s="133">
        <v>18</v>
      </c>
      <c r="B25" s="134" t="s">
        <v>101</v>
      </c>
      <c r="C25" s="136" t="s">
        <v>102</v>
      </c>
      <c r="D25" s="134" t="s">
        <v>73</v>
      </c>
      <c r="E25" s="134">
        <v>231</v>
      </c>
      <c r="F25" s="132">
        <v>50</v>
      </c>
      <c r="G25" s="132">
        <f t="shared" si="12"/>
        <v>50.4</v>
      </c>
      <c r="H25" s="132">
        <v>48</v>
      </c>
      <c r="I25" s="141">
        <v>0.05</v>
      </c>
      <c r="J25" s="132">
        <v>46</v>
      </c>
      <c r="K25" s="132">
        <f t="shared" si="8"/>
        <v>8.784</v>
      </c>
      <c r="L25" s="132">
        <f t="shared" si="9"/>
        <v>13.96656</v>
      </c>
      <c r="M25" s="132">
        <f t="shared" si="10"/>
        <v>169.15056</v>
      </c>
      <c r="N25" s="132">
        <f t="shared" si="11"/>
        <v>39073.77936</v>
      </c>
      <c r="O25" s="132">
        <v>47.3</v>
      </c>
      <c r="P25" s="132">
        <v>67.725</v>
      </c>
      <c r="Q25" s="132">
        <v>64.5</v>
      </c>
      <c r="R25" s="132">
        <v>0.05</v>
      </c>
      <c r="S25" s="132">
        <v>30.1</v>
      </c>
      <c r="T25" s="132">
        <v>8.7075</v>
      </c>
      <c r="U25" s="132">
        <v>13.844925</v>
      </c>
      <c r="V25" s="132">
        <v>167.677425</v>
      </c>
      <c r="W25" s="132">
        <v>38733.485175</v>
      </c>
      <c r="X25" s="132">
        <v>60</v>
      </c>
      <c r="Y25" s="147">
        <v>62.1</v>
      </c>
      <c r="Z25" s="147">
        <v>54</v>
      </c>
      <c r="AA25" s="141">
        <v>0.15</v>
      </c>
      <c r="AB25" s="147">
        <v>22</v>
      </c>
      <c r="AC25" s="147">
        <v>18.733</v>
      </c>
      <c r="AD25" s="147">
        <v>14.65497</v>
      </c>
      <c r="AE25" s="147">
        <v>177.48797</v>
      </c>
      <c r="AF25" s="132">
        <v>40999.72107</v>
      </c>
      <c r="AG25" s="134">
        <v>63.45</v>
      </c>
      <c r="AH25" s="147">
        <v>82.225</v>
      </c>
      <c r="AI25" s="147">
        <v>74.75</v>
      </c>
      <c r="AJ25" s="141">
        <v>0.1</v>
      </c>
      <c r="AK25" s="147">
        <v>27.0334265486725</v>
      </c>
      <c r="AL25" s="147">
        <v>14.6802162566372</v>
      </c>
      <c r="AM25" s="147">
        <v>16.8649778524779</v>
      </c>
      <c r="AN25" s="147">
        <v>204.253620657788</v>
      </c>
      <c r="AO25" s="132">
        <v>47182.5863719489</v>
      </c>
      <c r="AP25" s="147">
        <v>75</v>
      </c>
      <c r="AQ25" s="147">
        <v>116.6</v>
      </c>
      <c r="AR25" s="147">
        <v>106</v>
      </c>
      <c r="AS25" s="141">
        <v>0.1</v>
      </c>
      <c r="AT25" s="147">
        <v>20</v>
      </c>
      <c r="AU25" s="147">
        <v>12.696</v>
      </c>
      <c r="AV25" s="147">
        <v>20.18664</v>
      </c>
      <c r="AW25" s="147">
        <v>244.48264</v>
      </c>
      <c r="AX25" s="132">
        <v>56475.48984</v>
      </c>
      <c r="AY25" s="123"/>
    </row>
    <row r="26" ht="76" customHeight="1" spans="1:51">
      <c r="A26" s="133">
        <v>19</v>
      </c>
      <c r="B26" s="134" t="s">
        <v>99</v>
      </c>
      <c r="C26" s="134" t="s">
        <v>103</v>
      </c>
      <c r="D26" s="134" t="s">
        <v>73</v>
      </c>
      <c r="E26" s="134">
        <f>4.66+4.57+2.76</f>
        <v>11.99</v>
      </c>
      <c r="F26" s="132">
        <v>75</v>
      </c>
      <c r="G26" s="132">
        <f t="shared" si="12"/>
        <v>121.8</v>
      </c>
      <c r="H26" s="132">
        <v>116</v>
      </c>
      <c r="I26" s="141">
        <v>0.05</v>
      </c>
      <c r="J26" s="132">
        <v>87</v>
      </c>
      <c r="K26" s="132">
        <f t="shared" si="8"/>
        <v>17.028</v>
      </c>
      <c r="L26" s="132">
        <f t="shared" si="9"/>
        <v>27.07452</v>
      </c>
      <c r="M26" s="132">
        <f t="shared" si="10"/>
        <v>327.90252</v>
      </c>
      <c r="N26" s="132">
        <f t="shared" si="11"/>
        <v>3931.5512148</v>
      </c>
      <c r="O26" s="132">
        <v>94.6</v>
      </c>
      <c r="P26" s="132">
        <v>212.205</v>
      </c>
      <c r="Q26" s="132">
        <v>202.1</v>
      </c>
      <c r="R26" s="132">
        <v>0.05</v>
      </c>
      <c r="S26" s="132">
        <v>82.56</v>
      </c>
      <c r="T26" s="132">
        <v>23.3619</v>
      </c>
      <c r="U26" s="132">
        <v>37.145421</v>
      </c>
      <c r="V26" s="145">
        <v>449.872321</v>
      </c>
      <c r="W26" s="132">
        <v>5393.96912879</v>
      </c>
      <c r="X26" s="147">
        <v>100</v>
      </c>
      <c r="Y26" s="147">
        <v>78.75</v>
      </c>
      <c r="Z26" s="147">
        <v>75</v>
      </c>
      <c r="AA26" s="141">
        <v>0.05</v>
      </c>
      <c r="AB26" s="147">
        <v>65</v>
      </c>
      <c r="AC26" s="147">
        <v>31.6875</v>
      </c>
      <c r="AD26" s="147">
        <v>24.789375</v>
      </c>
      <c r="AE26" s="147">
        <v>300.226875</v>
      </c>
      <c r="AF26" s="132">
        <v>3599.72023125</v>
      </c>
      <c r="AG26" s="147">
        <v>107.325</v>
      </c>
      <c r="AH26" s="147">
        <v>235.088495575221</v>
      </c>
      <c r="AI26" s="147">
        <v>223.893805309735</v>
      </c>
      <c r="AJ26" s="141">
        <v>0.05</v>
      </c>
      <c r="AK26" s="147">
        <v>103.12068051932</v>
      </c>
      <c r="AL26" s="147">
        <v>37.870404968036</v>
      </c>
      <c r="AM26" s="147">
        <v>43.5064122956319</v>
      </c>
      <c r="AN26" s="153">
        <v>526.910993358209</v>
      </c>
      <c r="AO26" s="132">
        <v>6317.66281036493</v>
      </c>
      <c r="AP26" s="147">
        <v>85</v>
      </c>
      <c r="AQ26" s="147">
        <v>288.4</v>
      </c>
      <c r="AR26" s="147">
        <v>280</v>
      </c>
      <c r="AS26" s="141">
        <v>0.03</v>
      </c>
      <c r="AT26" s="147">
        <v>45</v>
      </c>
      <c r="AU26" s="147">
        <v>25.104</v>
      </c>
      <c r="AV26" s="147">
        <v>39.91536</v>
      </c>
      <c r="AW26" s="153">
        <v>483.41936</v>
      </c>
      <c r="AX26" s="132">
        <v>5796.1981264</v>
      </c>
      <c r="AY26" s="123"/>
    </row>
    <row r="27" ht="44" customHeight="1" spans="1:51">
      <c r="A27" s="133">
        <v>20</v>
      </c>
      <c r="B27" s="134" t="s">
        <v>104</v>
      </c>
      <c r="C27" s="136" t="s">
        <v>105</v>
      </c>
      <c r="D27" s="134" t="s">
        <v>88</v>
      </c>
      <c r="E27" s="134">
        <v>28</v>
      </c>
      <c r="F27" s="132">
        <v>40</v>
      </c>
      <c r="G27" s="132">
        <f t="shared" si="12"/>
        <v>325</v>
      </c>
      <c r="H27" s="132">
        <v>325</v>
      </c>
      <c r="I27" s="141"/>
      <c r="J27" s="132">
        <v>10</v>
      </c>
      <c r="K27" s="132">
        <f t="shared" si="8"/>
        <v>22.5</v>
      </c>
      <c r="L27" s="132">
        <f t="shared" si="9"/>
        <v>35.775</v>
      </c>
      <c r="M27" s="145">
        <f t="shared" ref="M27:M35" si="13">F27+G27+J27+K27+L27</f>
        <v>433.275</v>
      </c>
      <c r="N27" s="132">
        <f t="shared" ref="N27:N35" si="14">M27*E27</f>
        <v>12131.7</v>
      </c>
      <c r="O27" s="132">
        <v>34.4</v>
      </c>
      <c r="P27" s="132">
        <v>108.36</v>
      </c>
      <c r="Q27" s="132">
        <v>108.36</v>
      </c>
      <c r="R27" s="132"/>
      <c r="S27" s="132">
        <v>17.2</v>
      </c>
      <c r="T27" s="132">
        <v>9.5976</v>
      </c>
      <c r="U27" s="132">
        <v>15.260184</v>
      </c>
      <c r="V27" s="132">
        <v>184.817784</v>
      </c>
      <c r="W27" s="132">
        <v>5174.897952</v>
      </c>
      <c r="X27" s="147">
        <v>0</v>
      </c>
      <c r="Y27" s="147">
        <v>300</v>
      </c>
      <c r="Z27" s="147">
        <v>300</v>
      </c>
      <c r="AA27" s="141"/>
      <c r="AB27" s="147">
        <v>0</v>
      </c>
      <c r="AC27" s="147">
        <v>39</v>
      </c>
      <c r="AD27" s="147">
        <v>30.51</v>
      </c>
      <c r="AE27" s="153">
        <v>369.51</v>
      </c>
      <c r="AF27" s="132">
        <v>10346.28</v>
      </c>
      <c r="AG27" s="147">
        <v>33.75</v>
      </c>
      <c r="AH27" s="147">
        <v>185.84</v>
      </c>
      <c r="AI27" s="147">
        <v>184</v>
      </c>
      <c r="AJ27" s="141">
        <v>0.01</v>
      </c>
      <c r="AK27" s="147">
        <v>3.5</v>
      </c>
      <c r="AL27" s="147">
        <v>18.96265</v>
      </c>
      <c r="AM27" s="147">
        <v>21.7847385</v>
      </c>
      <c r="AN27" s="147">
        <v>263.8373885</v>
      </c>
      <c r="AO27" s="132">
        <v>7387.446878</v>
      </c>
      <c r="AP27" s="147">
        <v>30</v>
      </c>
      <c r="AQ27" s="147">
        <v>120</v>
      </c>
      <c r="AR27" s="147">
        <v>120</v>
      </c>
      <c r="AS27" s="141">
        <v>0</v>
      </c>
      <c r="AT27" s="147">
        <v>20</v>
      </c>
      <c r="AU27" s="147">
        <v>10.2</v>
      </c>
      <c r="AV27" s="147">
        <v>16.218</v>
      </c>
      <c r="AW27" s="147">
        <v>196.418</v>
      </c>
      <c r="AX27" s="132">
        <v>5499.704</v>
      </c>
      <c r="AY27" s="123"/>
    </row>
    <row r="28" ht="32.4" spans="1:51">
      <c r="A28" s="133">
        <v>21</v>
      </c>
      <c r="B28" s="134" t="s">
        <v>104</v>
      </c>
      <c r="C28" s="136" t="s">
        <v>106</v>
      </c>
      <c r="D28" s="134" t="s">
        <v>88</v>
      </c>
      <c r="E28" s="134">
        <v>4</v>
      </c>
      <c r="F28" s="132">
        <v>40</v>
      </c>
      <c r="G28" s="132">
        <f t="shared" si="12"/>
        <v>536</v>
      </c>
      <c r="H28" s="132">
        <v>536</v>
      </c>
      <c r="I28" s="141"/>
      <c r="J28" s="132">
        <v>12</v>
      </c>
      <c r="K28" s="132">
        <f t="shared" si="8"/>
        <v>35.28</v>
      </c>
      <c r="L28" s="132">
        <f t="shared" si="9"/>
        <v>56.0952</v>
      </c>
      <c r="M28" s="145">
        <f t="shared" si="13"/>
        <v>679.3752</v>
      </c>
      <c r="N28" s="132">
        <f t="shared" si="14"/>
        <v>2717.5008</v>
      </c>
      <c r="O28" s="132">
        <v>34.4</v>
      </c>
      <c r="P28" s="132">
        <v>288.96</v>
      </c>
      <c r="Q28" s="132">
        <v>288.96</v>
      </c>
      <c r="R28" s="132"/>
      <c r="S28" s="132">
        <v>18.92</v>
      </c>
      <c r="T28" s="132">
        <v>20.5368</v>
      </c>
      <c r="U28" s="132">
        <v>32.653512</v>
      </c>
      <c r="V28" s="132">
        <v>395.470312</v>
      </c>
      <c r="W28" s="132">
        <v>1581.881248</v>
      </c>
      <c r="X28" s="147">
        <v>0</v>
      </c>
      <c r="Y28" s="147">
        <v>500</v>
      </c>
      <c r="Z28" s="147">
        <v>500</v>
      </c>
      <c r="AA28" s="141"/>
      <c r="AB28" s="147">
        <v>0</v>
      </c>
      <c r="AC28" s="147">
        <v>65</v>
      </c>
      <c r="AD28" s="147">
        <v>50.85</v>
      </c>
      <c r="AE28" s="147">
        <v>615.85</v>
      </c>
      <c r="AF28" s="132">
        <v>2463.4</v>
      </c>
      <c r="AG28" s="147">
        <v>33.75</v>
      </c>
      <c r="AH28" s="147">
        <v>743.36</v>
      </c>
      <c r="AI28" s="147">
        <v>736</v>
      </c>
      <c r="AJ28" s="141">
        <v>0.01</v>
      </c>
      <c r="AK28" s="147">
        <v>3.5</v>
      </c>
      <c r="AL28" s="147">
        <v>66.35185</v>
      </c>
      <c r="AM28" s="147">
        <v>76.2265665</v>
      </c>
      <c r="AN28" s="153">
        <v>923.1884165</v>
      </c>
      <c r="AO28" s="132">
        <v>3692.753666</v>
      </c>
      <c r="AP28" s="147">
        <v>60</v>
      </c>
      <c r="AQ28" s="147">
        <v>300</v>
      </c>
      <c r="AR28" s="147">
        <v>300</v>
      </c>
      <c r="AS28" s="141">
        <v>0</v>
      </c>
      <c r="AT28" s="147">
        <v>20</v>
      </c>
      <c r="AU28" s="147">
        <v>22.8</v>
      </c>
      <c r="AV28" s="147">
        <v>36.252</v>
      </c>
      <c r="AW28" s="147">
        <v>439.052</v>
      </c>
      <c r="AX28" s="132">
        <v>1756.208</v>
      </c>
      <c r="AY28" s="123"/>
    </row>
    <row r="29" ht="32.4" spans="1:51">
      <c r="A29" s="133">
        <v>22</v>
      </c>
      <c r="B29" s="134" t="s">
        <v>107</v>
      </c>
      <c r="C29" s="134" t="s">
        <v>108</v>
      </c>
      <c r="D29" s="134" t="s">
        <v>73</v>
      </c>
      <c r="E29" s="134">
        <v>3.13</v>
      </c>
      <c r="F29" s="132">
        <v>250</v>
      </c>
      <c r="G29" s="132">
        <f t="shared" si="12"/>
        <v>403.2</v>
      </c>
      <c r="H29" s="132">
        <v>384</v>
      </c>
      <c r="I29" s="141">
        <v>0.05</v>
      </c>
      <c r="J29" s="132">
        <v>75</v>
      </c>
      <c r="K29" s="132">
        <f t="shared" ref="K29:K35" si="15">(F29+G29+J29)*$K$5</f>
        <v>43.692</v>
      </c>
      <c r="L29" s="132">
        <f t="shared" ref="L29:L35" si="16">(F29+G29+J29+K29)*$L$5</f>
        <v>69.47028</v>
      </c>
      <c r="M29" s="145">
        <f t="shared" si="13"/>
        <v>841.36228</v>
      </c>
      <c r="N29" s="132">
        <f t="shared" si="14"/>
        <v>2633.4639364</v>
      </c>
      <c r="O29" s="132">
        <v>387</v>
      </c>
      <c r="P29" s="132">
        <v>252.84</v>
      </c>
      <c r="Q29" s="132">
        <v>240.8</v>
      </c>
      <c r="R29" s="132">
        <v>0.05</v>
      </c>
      <c r="S29" s="132">
        <v>39.56</v>
      </c>
      <c r="T29" s="132">
        <v>40.764</v>
      </c>
      <c r="U29" s="132">
        <v>64.81476</v>
      </c>
      <c r="V29" s="132">
        <v>784.97876</v>
      </c>
      <c r="W29" s="132">
        <v>2456.9835188</v>
      </c>
      <c r="X29" s="147">
        <v>250</v>
      </c>
      <c r="Y29" s="147">
        <v>330</v>
      </c>
      <c r="Z29" s="147">
        <v>300</v>
      </c>
      <c r="AA29" s="141">
        <v>0.1</v>
      </c>
      <c r="AB29" s="147">
        <v>60</v>
      </c>
      <c r="AC29" s="147">
        <v>83.2</v>
      </c>
      <c r="AD29" s="147">
        <v>65.088</v>
      </c>
      <c r="AE29" s="147">
        <v>788.288</v>
      </c>
      <c r="AF29" s="132">
        <v>2467.34144</v>
      </c>
      <c r="AG29" s="147">
        <v>534.6</v>
      </c>
      <c r="AH29" s="147">
        <v>658.35</v>
      </c>
      <c r="AI29" s="147">
        <v>627</v>
      </c>
      <c r="AJ29" s="141">
        <v>0.05</v>
      </c>
      <c r="AK29" s="147">
        <v>193.376654267932</v>
      </c>
      <c r="AL29" s="147">
        <v>117.837765612774</v>
      </c>
      <c r="AM29" s="147">
        <v>135.374797789264</v>
      </c>
      <c r="AN29" s="153">
        <v>1639.53921766997</v>
      </c>
      <c r="AO29" s="132">
        <v>5131.75775130701</v>
      </c>
      <c r="AP29" s="147">
        <v>279.069767441861</v>
      </c>
      <c r="AQ29" s="147">
        <v>391.4</v>
      </c>
      <c r="AR29" s="147">
        <v>380</v>
      </c>
      <c r="AS29" s="141">
        <v>0.03</v>
      </c>
      <c r="AT29" s="147">
        <v>45</v>
      </c>
      <c r="AU29" s="147">
        <v>42.9281860465117</v>
      </c>
      <c r="AV29" s="147">
        <v>68.2558158139535</v>
      </c>
      <c r="AW29" s="153">
        <v>826.653769302326</v>
      </c>
      <c r="AX29" s="132">
        <v>2587.42629791628</v>
      </c>
      <c r="AY29" s="123"/>
    </row>
    <row r="30" ht="21.6" spans="1:51">
      <c r="A30" s="133">
        <v>23</v>
      </c>
      <c r="B30" s="134" t="s">
        <v>109</v>
      </c>
      <c r="C30" s="136" t="s">
        <v>110</v>
      </c>
      <c r="D30" s="134" t="s">
        <v>73</v>
      </c>
      <c r="E30" s="136">
        <f>2.85+0.785*5.2</f>
        <v>6.932</v>
      </c>
      <c r="F30" s="132">
        <v>200</v>
      </c>
      <c r="G30" s="132">
        <f t="shared" si="12"/>
        <v>744.6</v>
      </c>
      <c r="H30" s="132">
        <v>730</v>
      </c>
      <c r="I30" s="141">
        <v>0.02</v>
      </c>
      <c r="J30" s="132">
        <v>90</v>
      </c>
      <c r="K30" s="132">
        <f t="shared" si="15"/>
        <v>62.076</v>
      </c>
      <c r="L30" s="132">
        <f t="shared" si="16"/>
        <v>98.70084</v>
      </c>
      <c r="M30" s="132">
        <f t="shared" si="13"/>
        <v>1195.37684</v>
      </c>
      <c r="N30" s="132">
        <f t="shared" si="14"/>
        <v>8286.35225488</v>
      </c>
      <c r="O30" s="132">
        <v>154.8</v>
      </c>
      <c r="P30" s="132">
        <v>807.798</v>
      </c>
      <c r="Q30" s="132">
        <v>799.8</v>
      </c>
      <c r="R30" s="132">
        <v>0.01</v>
      </c>
      <c r="S30" s="132">
        <v>12.9</v>
      </c>
      <c r="T30" s="132">
        <v>58.52988</v>
      </c>
      <c r="U30" s="132">
        <v>93.0625092</v>
      </c>
      <c r="V30" s="132">
        <v>1127.0903892</v>
      </c>
      <c r="W30" s="132">
        <v>7812.9905779344</v>
      </c>
      <c r="X30" s="147">
        <v>240</v>
      </c>
      <c r="Y30" s="147">
        <v>700</v>
      </c>
      <c r="Z30" s="147">
        <v>700</v>
      </c>
      <c r="AA30" s="141"/>
      <c r="AB30" s="147">
        <v>100</v>
      </c>
      <c r="AC30" s="147">
        <v>135.2</v>
      </c>
      <c r="AD30" s="147">
        <v>105.768</v>
      </c>
      <c r="AE30" s="153">
        <v>1280.968</v>
      </c>
      <c r="AF30" s="132">
        <v>8879.670176</v>
      </c>
      <c r="AG30" s="147">
        <v>162</v>
      </c>
      <c r="AH30" s="147">
        <v>2261.32743362832</v>
      </c>
      <c r="AI30" s="147">
        <v>2238.93805309735</v>
      </c>
      <c r="AJ30" s="141">
        <v>0.01</v>
      </c>
      <c r="AK30" s="147">
        <v>7</v>
      </c>
      <c r="AL30" s="147">
        <v>206.577831858407</v>
      </c>
      <c r="AM30" s="147">
        <v>237.321473893805</v>
      </c>
      <c r="AN30" s="147">
        <v>2874.22673938053</v>
      </c>
      <c r="AO30" s="132">
        <v>19924.1397573859</v>
      </c>
      <c r="AP30" s="147">
        <v>300</v>
      </c>
      <c r="AQ30" s="147">
        <v>800</v>
      </c>
      <c r="AR30" s="147">
        <v>800</v>
      </c>
      <c r="AS30" s="141">
        <v>0</v>
      </c>
      <c r="AT30" s="147">
        <v>180</v>
      </c>
      <c r="AU30" s="147">
        <v>76.8</v>
      </c>
      <c r="AV30" s="147">
        <v>122.112</v>
      </c>
      <c r="AW30" s="153">
        <v>1478.912</v>
      </c>
      <c r="AX30" s="132">
        <v>10251.817984</v>
      </c>
      <c r="AY30" s="123"/>
    </row>
    <row r="31" ht="54" spans="1:51">
      <c r="A31" s="133">
        <v>24</v>
      </c>
      <c r="B31" s="137" t="s">
        <v>111</v>
      </c>
      <c r="C31" s="137" t="s">
        <v>112</v>
      </c>
      <c r="D31" s="137" t="s">
        <v>73</v>
      </c>
      <c r="E31" s="137">
        <v>76.32</v>
      </c>
      <c r="F31" s="132">
        <v>180</v>
      </c>
      <c r="G31" s="135">
        <f t="shared" si="12"/>
        <v>546</v>
      </c>
      <c r="H31" s="135">
        <v>520</v>
      </c>
      <c r="I31" s="144">
        <v>0.05</v>
      </c>
      <c r="J31" s="135">
        <v>75</v>
      </c>
      <c r="K31" s="132">
        <f t="shared" si="15"/>
        <v>48.06</v>
      </c>
      <c r="L31" s="132">
        <f t="shared" si="16"/>
        <v>76.4154</v>
      </c>
      <c r="M31" s="132">
        <f t="shared" si="13"/>
        <v>925.4754</v>
      </c>
      <c r="N31" s="132">
        <f t="shared" si="14"/>
        <v>70632.282528</v>
      </c>
      <c r="O31" s="132">
        <v>81.7</v>
      </c>
      <c r="P31" s="132">
        <v>473</v>
      </c>
      <c r="Q31" s="132">
        <v>473</v>
      </c>
      <c r="R31" s="132"/>
      <c r="S31" s="132">
        <v>51.6</v>
      </c>
      <c r="T31" s="132">
        <v>36.378</v>
      </c>
      <c r="U31" s="132">
        <v>57.84102</v>
      </c>
      <c r="V31" s="132">
        <v>700.51902</v>
      </c>
      <c r="W31" s="132">
        <v>53463.6116064</v>
      </c>
      <c r="X31" s="147">
        <v>150</v>
      </c>
      <c r="Y31" s="147">
        <v>750</v>
      </c>
      <c r="Z31" s="151">
        <v>750</v>
      </c>
      <c r="AA31" s="144"/>
      <c r="AB31" s="151">
        <v>60</v>
      </c>
      <c r="AC31" s="147">
        <v>124.8</v>
      </c>
      <c r="AD31" s="147">
        <v>97.632</v>
      </c>
      <c r="AE31" s="153">
        <v>1182.432</v>
      </c>
      <c r="AF31" s="132">
        <v>90243.21024</v>
      </c>
      <c r="AG31" s="147">
        <v>162</v>
      </c>
      <c r="AH31" s="151">
        <v>760.628318584071</v>
      </c>
      <c r="AI31" s="151">
        <v>753.097345132743</v>
      </c>
      <c r="AJ31" s="144">
        <v>0.01</v>
      </c>
      <c r="AK31" s="151">
        <v>7</v>
      </c>
      <c r="AL31" s="147">
        <v>79.018407079646</v>
      </c>
      <c r="AM31" s="147">
        <v>90.7782053097345</v>
      </c>
      <c r="AN31" s="153">
        <v>1099.42493097345</v>
      </c>
      <c r="AO31" s="132">
        <v>83908.1107318938</v>
      </c>
      <c r="AP31" s="147">
        <v>350</v>
      </c>
      <c r="AQ31" s="156">
        <v>1000</v>
      </c>
      <c r="AR31" s="156">
        <v>1000</v>
      </c>
      <c r="AS31" s="157">
        <v>0</v>
      </c>
      <c r="AT31" s="156">
        <v>300</v>
      </c>
      <c r="AU31" s="147">
        <v>99</v>
      </c>
      <c r="AV31" s="147">
        <v>157.41</v>
      </c>
      <c r="AW31" s="153">
        <v>1906.41</v>
      </c>
      <c r="AX31" s="132">
        <v>145497.2112</v>
      </c>
      <c r="AY31" s="123"/>
    </row>
    <row r="32" ht="84" customHeight="1" spans="1:51">
      <c r="A32" s="133">
        <v>25</v>
      </c>
      <c r="B32" s="134" t="s">
        <v>113</v>
      </c>
      <c r="C32" s="134" t="s">
        <v>114</v>
      </c>
      <c r="D32" s="134" t="s">
        <v>73</v>
      </c>
      <c r="E32" s="134">
        <v>24.94</v>
      </c>
      <c r="F32" s="132">
        <v>125</v>
      </c>
      <c r="G32" s="132">
        <f t="shared" si="12"/>
        <v>204.75</v>
      </c>
      <c r="H32" s="132">
        <v>195</v>
      </c>
      <c r="I32" s="141">
        <v>0.05</v>
      </c>
      <c r="J32" s="132">
        <v>65</v>
      </c>
      <c r="K32" s="132">
        <f t="shared" si="15"/>
        <v>23.685</v>
      </c>
      <c r="L32" s="132">
        <f t="shared" si="16"/>
        <v>37.65915</v>
      </c>
      <c r="M32" s="132">
        <f t="shared" si="13"/>
        <v>456.09415</v>
      </c>
      <c r="N32" s="132">
        <f t="shared" si="14"/>
        <v>11374.988101</v>
      </c>
      <c r="O32" s="132">
        <v>90.3</v>
      </c>
      <c r="P32" s="132">
        <v>379.26</v>
      </c>
      <c r="Q32" s="132">
        <v>361.2</v>
      </c>
      <c r="R32" s="132">
        <v>0.05</v>
      </c>
      <c r="S32" s="132">
        <v>39.56</v>
      </c>
      <c r="T32" s="132">
        <v>30.5472</v>
      </c>
      <c r="U32" s="132">
        <v>48.570048</v>
      </c>
      <c r="V32" s="132">
        <v>588.237248</v>
      </c>
      <c r="W32" s="132">
        <v>14670.63696512</v>
      </c>
      <c r="X32" s="147">
        <v>120</v>
      </c>
      <c r="Y32" s="147">
        <v>660</v>
      </c>
      <c r="Z32" s="147">
        <v>600</v>
      </c>
      <c r="AA32" s="141">
        <v>0.1</v>
      </c>
      <c r="AB32" s="147">
        <v>60</v>
      </c>
      <c r="AC32" s="147">
        <v>109.2</v>
      </c>
      <c r="AD32" s="147">
        <v>85.428</v>
      </c>
      <c r="AE32" s="153">
        <v>1034.628</v>
      </c>
      <c r="AF32" s="132">
        <v>25803.62232</v>
      </c>
      <c r="AG32" s="147">
        <v>217.35</v>
      </c>
      <c r="AH32" s="147">
        <v>843.352101769911</v>
      </c>
      <c r="AI32" s="147">
        <v>803.192477876106</v>
      </c>
      <c r="AJ32" s="141">
        <v>0.05</v>
      </c>
      <c r="AK32" s="147">
        <v>91.2960697595327</v>
      </c>
      <c r="AL32" s="147">
        <v>97.9198445800027</v>
      </c>
      <c r="AM32" s="147">
        <v>112.49262144985</v>
      </c>
      <c r="AN32" s="153">
        <v>1362.4106375593</v>
      </c>
      <c r="AO32" s="132">
        <v>33978.5213007289</v>
      </c>
      <c r="AP32" s="147">
        <v>85</v>
      </c>
      <c r="AQ32" s="147">
        <v>442.9</v>
      </c>
      <c r="AR32" s="147">
        <v>430</v>
      </c>
      <c r="AS32" s="141">
        <v>0.03</v>
      </c>
      <c r="AT32" s="147">
        <v>53</v>
      </c>
      <c r="AU32" s="147">
        <v>34.854</v>
      </c>
      <c r="AV32" s="147">
        <v>55.41786</v>
      </c>
      <c r="AW32" s="147">
        <v>671.17186</v>
      </c>
      <c r="AX32" s="132">
        <v>16739.0261884</v>
      </c>
      <c r="AY32" s="123"/>
    </row>
    <row r="33" ht="54" spans="1:51">
      <c r="A33" s="133">
        <v>26</v>
      </c>
      <c r="B33" s="134" t="s">
        <v>115</v>
      </c>
      <c r="C33" s="134" t="s">
        <v>116</v>
      </c>
      <c r="D33" s="134" t="s">
        <v>73</v>
      </c>
      <c r="E33" s="134">
        <f>1.73+4.57</f>
        <v>6.3</v>
      </c>
      <c r="F33" s="132">
        <v>50</v>
      </c>
      <c r="G33" s="132">
        <f t="shared" si="12"/>
        <v>92.92</v>
      </c>
      <c r="H33" s="132">
        <v>92</v>
      </c>
      <c r="I33" s="141">
        <v>0.01</v>
      </c>
      <c r="J33" s="132">
        <v>15</v>
      </c>
      <c r="K33" s="132">
        <f t="shared" si="15"/>
        <v>9.4752</v>
      </c>
      <c r="L33" s="132">
        <f t="shared" si="16"/>
        <v>15.065568</v>
      </c>
      <c r="M33" s="132">
        <f t="shared" si="13"/>
        <v>182.460768</v>
      </c>
      <c r="N33" s="132">
        <f t="shared" si="14"/>
        <v>1149.5028384</v>
      </c>
      <c r="O33" s="132">
        <v>73.1</v>
      </c>
      <c r="P33" s="132">
        <v>113.95</v>
      </c>
      <c r="Q33" s="132">
        <v>107.5</v>
      </c>
      <c r="R33" s="132">
        <v>0.06</v>
      </c>
      <c r="S33" s="132">
        <v>47.3</v>
      </c>
      <c r="T33" s="132">
        <v>14.061</v>
      </c>
      <c r="U33" s="132">
        <v>22.35699</v>
      </c>
      <c r="V33" s="132">
        <v>270.76799</v>
      </c>
      <c r="W33" s="132">
        <v>1705.838337</v>
      </c>
      <c r="X33" s="147">
        <v>100</v>
      </c>
      <c r="Y33" s="147">
        <v>231</v>
      </c>
      <c r="Z33" s="147">
        <v>220</v>
      </c>
      <c r="AA33" s="141">
        <v>0.05</v>
      </c>
      <c r="AB33" s="147">
        <v>65</v>
      </c>
      <c r="AC33" s="147">
        <v>51.48</v>
      </c>
      <c r="AD33" s="147">
        <v>40.2732</v>
      </c>
      <c r="AE33" s="153">
        <v>487.7532</v>
      </c>
      <c r="AF33" s="132">
        <v>3072.84516</v>
      </c>
      <c r="AG33" s="147">
        <v>168.8</v>
      </c>
      <c r="AH33" s="147">
        <v>133.573008849558</v>
      </c>
      <c r="AI33" s="147">
        <v>127.212389380531</v>
      </c>
      <c r="AJ33" s="141">
        <v>0.05</v>
      </c>
      <c r="AK33" s="147">
        <v>229.359525581904</v>
      </c>
      <c r="AL33" s="147">
        <v>45.1972654266743</v>
      </c>
      <c r="AM33" s="147">
        <v>51.9236819872323</v>
      </c>
      <c r="AN33" s="153">
        <v>628.853481845368</v>
      </c>
      <c r="AO33" s="132">
        <v>3961.77693562582</v>
      </c>
      <c r="AP33" s="147">
        <v>125</v>
      </c>
      <c r="AQ33" s="147">
        <v>66.95</v>
      </c>
      <c r="AR33" s="147">
        <v>65</v>
      </c>
      <c r="AS33" s="141">
        <v>0.03</v>
      </c>
      <c r="AT33" s="147">
        <v>45</v>
      </c>
      <c r="AU33" s="147">
        <v>14.217</v>
      </c>
      <c r="AV33" s="147">
        <v>22.60503</v>
      </c>
      <c r="AW33" s="147">
        <v>273.77203</v>
      </c>
      <c r="AX33" s="132">
        <v>1724.763789</v>
      </c>
      <c r="AY33" s="123"/>
    </row>
    <row r="34" ht="54" spans="1:51">
      <c r="A34" s="133">
        <v>27</v>
      </c>
      <c r="B34" s="134" t="s">
        <v>115</v>
      </c>
      <c r="C34" s="134" t="s">
        <v>117</v>
      </c>
      <c r="D34" s="134" t="s">
        <v>73</v>
      </c>
      <c r="E34" s="134">
        <f>4.24+3.88</f>
        <v>8.12</v>
      </c>
      <c r="F34" s="132">
        <v>50</v>
      </c>
      <c r="G34" s="132">
        <f t="shared" ref="G34:G35" si="17">H34*(1+I34)</f>
        <v>92.92</v>
      </c>
      <c r="H34" s="132">
        <v>92</v>
      </c>
      <c r="I34" s="141">
        <v>0.01</v>
      </c>
      <c r="J34" s="132">
        <v>15</v>
      </c>
      <c r="K34" s="132">
        <f t="shared" ref="K34" si="18">(F34+G34+J34)*$K$5</f>
        <v>9.4752</v>
      </c>
      <c r="L34" s="132">
        <f t="shared" si="16"/>
        <v>15.065568</v>
      </c>
      <c r="M34" s="132">
        <f t="shared" si="13"/>
        <v>182.460768</v>
      </c>
      <c r="N34" s="132">
        <f t="shared" si="14"/>
        <v>1481.58143616</v>
      </c>
      <c r="O34" s="132">
        <v>73.1</v>
      </c>
      <c r="P34" s="132">
        <v>125.8008</v>
      </c>
      <c r="Q34" s="132">
        <v>118.68</v>
      </c>
      <c r="R34" s="132">
        <v>0.06</v>
      </c>
      <c r="S34" s="132">
        <v>47.3</v>
      </c>
      <c r="T34" s="132">
        <v>14.772048</v>
      </c>
      <c r="U34" s="132">
        <v>23.48755632</v>
      </c>
      <c r="V34" s="132">
        <v>284.46040432</v>
      </c>
      <c r="W34" s="132">
        <v>2309.8184830784</v>
      </c>
      <c r="X34" s="147">
        <v>100</v>
      </c>
      <c r="Y34" s="147">
        <v>231</v>
      </c>
      <c r="Z34" s="147">
        <v>220</v>
      </c>
      <c r="AA34" s="154">
        <v>0.05</v>
      </c>
      <c r="AB34" s="147">
        <v>65</v>
      </c>
      <c r="AC34" s="147">
        <v>51.48</v>
      </c>
      <c r="AD34" s="147">
        <v>40.2732</v>
      </c>
      <c r="AE34" s="153">
        <v>487.7532</v>
      </c>
      <c r="AF34" s="132">
        <v>3960.555984</v>
      </c>
      <c r="AG34" s="147">
        <v>78.3</v>
      </c>
      <c r="AH34" s="147">
        <v>133.573008849558</v>
      </c>
      <c r="AI34" s="147">
        <v>127.212389380531</v>
      </c>
      <c r="AJ34" s="141">
        <v>0.05</v>
      </c>
      <c r="AK34" s="147">
        <v>87.4683751394263</v>
      </c>
      <c r="AL34" s="147">
        <v>25.4440176390637</v>
      </c>
      <c r="AM34" s="147">
        <v>29.2306861465243</v>
      </c>
      <c r="AN34" s="147">
        <v>354.016087774572</v>
      </c>
      <c r="AO34" s="132">
        <v>2874.61063272953</v>
      </c>
      <c r="AP34" s="147">
        <v>125</v>
      </c>
      <c r="AQ34" s="147">
        <v>123.6</v>
      </c>
      <c r="AR34" s="147">
        <v>120</v>
      </c>
      <c r="AS34" s="141">
        <v>0.03</v>
      </c>
      <c r="AT34" s="147">
        <v>45</v>
      </c>
      <c r="AU34" s="147">
        <v>17.616</v>
      </c>
      <c r="AV34" s="147">
        <v>28.00944</v>
      </c>
      <c r="AW34" s="147">
        <v>339.22544</v>
      </c>
      <c r="AX34" s="132">
        <v>2754.5105728</v>
      </c>
      <c r="AY34" s="123"/>
    </row>
    <row r="35" ht="91" customHeight="1" spans="1:51">
      <c r="A35" s="133">
        <v>28</v>
      </c>
      <c r="B35" s="136" t="s">
        <v>118</v>
      </c>
      <c r="C35" s="136" t="s">
        <v>119</v>
      </c>
      <c r="D35" s="134" t="s">
        <v>73</v>
      </c>
      <c r="E35" s="134">
        <f>3.6*2.54</f>
        <v>9.144</v>
      </c>
      <c r="F35" s="132">
        <v>150</v>
      </c>
      <c r="G35" s="132">
        <f t="shared" si="17"/>
        <v>451.5</v>
      </c>
      <c r="H35" s="132">
        <v>430</v>
      </c>
      <c r="I35" s="141">
        <v>0.05</v>
      </c>
      <c r="J35" s="132">
        <v>79</v>
      </c>
      <c r="K35" s="132">
        <f t="shared" si="15"/>
        <v>40.83</v>
      </c>
      <c r="L35" s="132">
        <f t="shared" si="16"/>
        <v>64.9197</v>
      </c>
      <c r="M35" s="145">
        <f t="shared" si="13"/>
        <v>786.2497</v>
      </c>
      <c r="N35" s="132">
        <f t="shared" si="14"/>
        <v>7189.4672568</v>
      </c>
      <c r="O35" s="132">
        <v>81.7</v>
      </c>
      <c r="P35" s="132">
        <v>212.205</v>
      </c>
      <c r="Q35" s="132">
        <v>202.1</v>
      </c>
      <c r="R35" s="132">
        <v>0.05</v>
      </c>
      <c r="S35" s="132">
        <v>115.24</v>
      </c>
      <c r="T35" s="132">
        <v>24.5487</v>
      </c>
      <c r="U35" s="132">
        <v>39.032433</v>
      </c>
      <c r="V35" s="132">
        <v>472.726133</v>
      </c>
      <c r="W35" s="132">
        <v>4322.607760152</v>
      </c>
      <c r="X35" s="147">
        <v>80</v>
      </c>
      <c r="Y35" s="147">
        <v>800</v>
      </c>
      <c r="Z35" s="147">
        <v>800</v>
      </c>
      <c r="AA35" s="141"/>
      <c r="AB35" s="147">
        <v>65</v>
      </c>
      <c r="AC35" s="147">
        <v>122.85</v>
      </c>
      <c r="AD35" s="147">
        <v>96.1065</v>
      </c>
      <c r="AE35" s="153">
        <v>1163.9565</v>
      </c>
      <c r="AF35" s="132">
        <v>10643.218236</v>
      </c>
      <c r="AG35" s="147">
        <v>135</v>
      </c>
      <c r="AH35" s="147">
        <v>454.148230088496</v>
      </c>
      <c r="AI35" s="147">
        <v>432.522123893805</v>
      </c>
      <c r="AJ35" s="141">
        <v>0.05</v>
      </c>
      <c r="AK35" s="147">
        <v>114.430071960229</v>
      </c>
      <c r="AL35" s="147">
        <v>59.8041556741416</v>
      </c>
      <c r="AM35" s="147">
        <v>68.704421195058</v>
      </c>
      <c r="AN35" s="153">
        <v>832.086878917925</v>
      </c>
      <c r="AO35" s="132">
        <v>7608.6024208255</v>
      </c>
      <c r="AP35" s="147">
        <v>80</v>
      </c>
      <c r="AQ35" s="147">
        <v>170.625</v>
      </c>
      <c r="AR35" s="147">
        <v>162.5</v>
      </c>
      <c r="AS35" s="141">
        <v>0.05</v>
      </c>
      <c r="AT35" s="147">
        <v>65</v>
      </c>
      <c r="AU35" s="147">
        <v>18.9375</v>
      </c>
      <c r="AV35" s="147">
        <v>30.110625</v>
      </c>
      <c r="AW35" s="147">
        <v>364.673125</v>
      </c>
      <c r="AX35" s="132">
        <v>3334.571055</v>
      </c>
      <c r="AY35" s="123"/>
    </row>
    <row r="36" ht="21.6" spans="1:51">
      <c r="A36" s="133">
        <v>29</v>
      </c>
      <c r="B36" s="136" t="s">
        <v>120</v>
      </c>
      <c r="C36" s="136"/>
      <c r="D36" s="134"/>
      <c r="E36" s="134"/>
      <c r="F36" s="132"/>
      <c r="G36" s="132" t="s">
        <v>121</v>
      </c>
      <c r="H36" s="132"/>
      <c r="I36" s="141"/>
      <c r="J36" s="132"/>
      <c r="K36" s="132"/>
      <c r="L36" s="132"/>
      <c r="M36" s="132"/>
      <c r="N36" s="132">
        <f>N37+N42+N48</f>
        <v>143952.75929196</v>
      </c>
      <c r="O36" s="132">
        <v>0</v>
      </c>
      <c r="P36" s="132">
        <v>0</v>
      </c>
      <c r="Q36" s="132">
        <v>0</v>
      </c>
      <c r="R36" s="132"/>
      <c r="S36" s="132">
        <v>0</v>
      </c>
      <c r="T36" s="132"/>
      <c r="U36" s="132"/>
      <c r="V36" s="132"/>
      <c r="W36" s="132">
        <v>156475.904809251</v>
      </c>
      <c r="X36" s="147"/>
      <c r="Y36" s="147"/>
      <c r="Z36" s="147"/>
      <c r="AA36" s="141"/>
      <c r="AB36" s="147"/>
      <c r="AC36" s="147"/>
      <c r="AD36" s="147"/>
      <c r="AE36" s="147"/>
      <c r="AF36" s="132">
        <v>154414.289561512</v>
      </c>
      <c r="AG36" s="147"/>
      <c r="AH36" s="147"/>
      <c r="AI36" s="147"/>
      <c r="AJ36" s="141"/>
      <c r="AK36" s="147"/>
      <c r="AL36" s="147"/>
      <c r="AM36" s="147"/>
      <c r="AN36" s="147"/>
      <c r="AO36" s="132">
        <v>186616.661669493</v>
      </c>
      <c r="AP36" s="147"/>
      <c r="AQ36" s="156"/>
      <c r="AR36" s="147"/>
      <c r="AS36" s="141"/>
      <c r="AT36" s="147"/>
      <c r="AU36" s="147"/>
      <c r="AV36" s="147"/>
      <c r="AW36" s="147"/>
      <c r="AX36" s="132">
        <v>142050.579267343</v>
      </c>
      <c r="AY36" s="123"/>
    </row>
    <row r="37" spans="1:51">
      <c r="A37" s="133">
        <v>30</v>
      </c>
      <c r="B37" s="136" t="s">
        <v>122</v>
      </c>
      <c r="C37" s="134"/>
      <c r="D37" s="134"/>
      <c r="E37" s="134"/>
      <c r="F37" s="132"/>
      <c r="G37" s="132"/>
      <c r="H37" s="132"/>
      <c r="I37" s="141"/>
      <c r="J37" s="132"/>
      <c r="K37" s="132"/>
      <c r="L37" s="132"/>
      <c r="M37" s="132"/>
      <c r="N37" s="132">
        <f>SUM(N38:N41)</f>
        <v>19054.28734476</v>
      </c>
      <c r="O37" s="132">
        <v>0</v>
      </c>
      <c r="P37" s="132">
        <v>0</v>
      </c>
      <c r="Q37" s="132">
        <v>0</v>
      </c>
      <c r="R37" s="132"/>
      <c r="S37" s="132">
        <v>0</v>
      </c>
      <c r="T37" s="132"/>
      <c r="U37" s="132"/>
      <c r="V37" s="132"/>
      <c r="W37" s="132">
        <v>23327.061783388</v>
      </c>
      <c r="X37" s="147"/>
      <c r="Y37" s="147"/>
      <c r="Z37" s="147"/>
      <c r="AA37" s="141"/>
      <c r="AB37" s="147"/>
      <c r="AC37" s="147"/>
      <c r="AD37" s="147"/>
      <c r="AE37" s="147"/>
      <c r="AF37" s="132">
        <v>31789.491866875</v>
      </c>
      <c r="AG37" s="147"/>
      <c r="AH37" s="147"/>
      <c r="AI37" s="147"/>
      <c r="AJ37" s="141"/>
      <c r="AK37" s="147"/>
      <c r="AL37" s="147"/>
      <c r="AM37" s="147"/>
      <c r="AN37" s="147"/>
      <c r="AO37" s="132">
        <v>28239.385276357</v>
      </c>
      <c r="AP37" s="147"/>
      <c r="AQ37" s="156"/>
      <c r="AR37" s="147"/>
      <c r="AS37" s="141"/>
      <c r="AT37" s="147"/>
      <c r="AU37" s="147"/>
      <c r="AV37" s="147"/>
      <c r="AW37" s="147"/>
      <c r="AX37" s="132">
        <v>55746.88258384</v>
      </c>
      <c r="AY37" s="123"/>
    </row>
    <row r="38" ht="85" customHeight="1" spans="1:51">
      <c r="A38" s="133">
        <v>31</v>
      </c>
      <c r="B38" s="134" t="s">
        <v>71</v>
      </c>
      <c r="C38" s="136" t="s">
        <v>72</v>
      </c>
      <c r="D38" s="134" t="s">
        <v>73</v>
      </c>
      <c r="E38" s="134">
        <f>178.17/2</f>
        <v>89.085</v>
      </c>
      <c r="F38" s="132">
        <v>70</v>
      </c>
      <c r="G38" s="132">
        <f t="shared" ref="G38:G40" si="19">H38*(1+I38)</f>
        <v>52.5</v>
      </c>
      <c r="H38" s="132">
        <v>50</v>
      </c>
      <c r="I38" s="141">
        <v>0.05</v>
      </c>
      <c r="J38" s="132">
        <v>40</v>
      </c>
      <c r="K38" s="132">
        <f>(F38+G38+J38)*$K$5</f>
        <v>9.75</v>
      </c>
      <c r="L38" s="132">
        <f>(F38+G38+J38+K38)*$L$5</f>
        <v>15.5025</v>
      </c>
      <c r="M38" s="132">
        <f>F38+G38+J38+K38+L38</f>
        <v>187.7525</v>
      </c>
      <c r="N38" s="132">
        <f>M38*E38</f>
        <v>16725.9314625</v>
      </c>
      <c r="O38" s="132">
        <v>70.52</v>
      </c>
      <c r="P38" s="132">
        <v>86.602</v>
      </c>
      <c r="Q38" s="132">
        <v>81.7</v>
      </c>
      <c r="R38" s="132">
        <v>0.06</v>
      </c>
      <c r="S38" s="132">
        <v>30.1</v>
      </c>
      <c r="T38" s="132">
        <v>11.23332</v>
      </c>
      <c r="U38" s="132">
        <v>17.8609788</v>
      </c>
      <c r="V38" s="132">
        <v>216.3162988</v>
      </c>
      <c r="W38" s="132">
        <v>19270.537478598</v>
      </c>
      <c r="X38" s="147">
        <v>80</v>
      </c>
      <c r="Y38" s="147">
        <v>143.75</v>
      </c>
      <c r="Z38" s="147">
        <v>115</v>
      </c>
      <c r="AA38" s="141">
        <v>0.25</v>
      </c>
      <c r="AB38" s="147">
        <v>22</v>
      </c>
      <c r="AC38" s="147">
        <v>31.9475</v>
      </c>
      <c r="AD38" s="147">
        <v>24.992775</v>
      </c>
      <c r="AE38" s="153">
        <v>302.690275</v>
      </c>
      <c r="AF38" s="132">
        <v>26965.163148375</v>
      </c>
      <c r="AG38" s="147">
        <v>75.6</v>
      </c>
      <c r="AH38" s="147">
        <v>109.296</v>
      </c>
      <c r="AI38" s="147">
        <v>101.2</v>
      </c>
      <c r="AJ38" s="141">
        <v>0.08</v>
      </c>
      <c r="AK38" s="147">
        <v>32.034324254661</v>
      </c>
      <c r="AL38" s="147">
        <v>18.4390775616462</v>
      </c>
      <c r="AM38" s="147">
        <v>21.1832461634676</v>
      </c>
      <c r="AN38" s="147">
        <v>256.552647979775</v>
      </c>
      <c r="AO38" s="132">
        <v>22854.9926452782</v>
      </c>
      <c r="AP38" s="147">
        <v>95</v>
      </c>
      <c r="AQ38" s="147">
        <v>372</v>
      </c>
      <c r="AR38" s="147">
        <v>310</v>
      </c>
      <c r="AS38" s="141">
        <v>0.2</v>
      </c>
      <c r="AT38" s="147">
        <v>38</v>
      </c>
      <c r="AU38" s="147">
        <v>30.3</v>
      </c>
      <c r="AV38" s="147">
        <v>48.177</v>
      </c>
      <c r="AW38" s="153">
        <v>583.477</v>
      </c>
      <c r="AX38" s="132">
        <v>51979.048545</v>
      </c>
      <c r="AY38" s="123"/>
    </row>
    <row r="39" ht="75.6" spans="1:51">
      <c r="A39" s="133">
        <v>32</v>
      </c>
      <c r="B39" s="134" t="s">
        <v>71</v>
      </c>
      <c r="C39" s="136" t="s">
        <v>74</v>
      </c>
      <c r="D39" s="134" t="s">
        <v>73</v>
      </c>
      <c r="E39" s="134">
        <f>11.58/2</f>
        <v>5.79</v>
      </c>
      <c r="F39" s="132">
        <v>45</v>
      </c>
      <c r="G39" s="132">
        <f t="shared" si="19"/>
        <v>49.35</v>
      </c>
      <c r="H39" s="132">
        <v>47</v>
      </c>
      <c r="I39" s="141">
        <v>0.05</v>
      </c>
      <c r="J39" s="132">
        <v>40</v>
      </c>
      <c r="K39" s="132">
        <f>(F39+G39+J39)*$K$5</f>
        <v>8.061</v>
      </c>
      <c r="L39" s="132">
        <f>(F39+G39+J39+K39)*$L$5</f>
        <v>12.81699</v>
      </c>
      <c r="M39" s="132">
        <f>F39+G39+J39+K39+L39</f>
        <v>155.22799</v>
      </c>
      <c r="N39" s="132">
        <f>M39*E39</f>
        <v>898.7700621</v>
      </c>
      <c r="O39" s="132">
        <v>53.32</v>
      </c>
      <c r="P39" s="132">
        <v>67.725</v>
      </c>
      <c r="Q39" s="132">
        <v>64.5</v>
      </c>
      <c r="R39" s="132">
        <v>0.05</v>
      </c>
      <c r="S39" s="132">
        <v>30.1</v>
      </c>
      <c r="T39" s="132">
        <v>9.0687</v>
      </c>
      <c r="U39" s="132">
        <v>14.419233</v>
      </c>
      <c r="V39" s="132">
        <v>174.632933</v>
      </c>
      <c r="W39" s="132">
        <v>1011.12468207</v>
      </c>
      <c r="X39" s="147">
        <v>65</v>
      </c>
      <c r="Y39" s="147">
        <v>60.5</v>
      </c>
      <c r="Z39" s="147">
        <v>55</v>
      </c>
      <c r="AA39" s="141">
        <v>0.1</v>
      </c>
      <c r="AB39" s="147">
        <v>22</v>
      </c>
      <c r="AC39" s="147">
        <v>19.175</v>
      </c>
      <c r="AD39" s="147">
        <v>15.00075</v>
      </c>
      <c r="AE39" s="147">
        <v>181.67575</v>
      </c>
      <c r="AF39" s="132">
        <v>1051.9025925</v>
      </c>
      <c r="AG39" s="147">
        <v>64.8</v>
      </c>
      <c r="AH39" s="147">
        <v>80.73</v>
      </c>
      <c r="AI39" s="147">
        <v>74.75</v>
      </c>
      <c r="AJ39" s="141">
        <v>0.08</v>
      </c>
      <c r="AK39" s="147">
        <v>32.034324254661</v>
      </c>
      <c r="AL39" s="147">
        <v>15.0929675616462</v>
      </c>
      <c r="AM39" s="147">
        <v>17.3391562634676</v>
      </c>
      <c r="AN39" s="153">
        <v>209.996448079775</v>
      </c>
      <c r="AO39" s="132">
        <v>1215.8794343819</v>
      </c>
      <c r="AP39" s="147">
        <v>65</v>
      </c>
      <c r="AQ39" s="147">
        <v>121.9</v>
      </c>
      <c r="AR39" s="147">
        <v>106</v>
      </c>
      <c r="AS39" s="141">
        <v>0.15</v>
      </c>
      <c r="AT39" s="147">
        <v>38</v>
      </c>
      <c r="AU39" s="147">
        <v>13.494</v>
      </c>
      <c r="AV39" s="147">
        <v>21.45546</v>
      </c>
      <c r="AW39" s="153">
        <v>259.84946</v>
      </c>
      <c r="AX39" s="132">
        <v>1504.5283734</v>
      </c>
      <c r="AY39" s="123"/>
    </row>
    <row r="40" ht="86.4" spans="1:51">
      <c r="A40" s="133">
        <v>33</v>
      </c>
      <c r="B40" s="134" t="s">
        <v>71</v>
      </c>
      <c r="C40" s="136" t="s">
        <v>123</v>
      </c>
      <c r="D40" s="134" t="s">
        <v>73</v>
      </c>
      <c r="E40" s="134">
        <f>6.24/2</f>
        <v>3.12</v>
      </c>
      <c r="F40" s="132">
        <v>70</v>
      </c>
      <c r="G40" s="132">
        <f t="shared" si="19"/>
        <v>52.5</v>
      </c>
      <c r="H40" s="132">
        <v>50</v>
      </c>
      <c r="I40" s="141">
        <v>0.05</v>
      </c>
      <c r="J40" s="132">
        <v>40</v>
      </c>
      <c r="K40" s="132">
        <f>(E40+F40+I40+J40)*K5</f>
        <v>6.7902</v>
      </c>
      <c r="L40" s="132">
        <f>(F40+G40+J40+K40)*$L$5</f>
        <v>15.236118</v>
      </c>
      <c r="M40" s="132">
        <f>F40+G40+J40+K40+L40</f>
        <v>184.526318</v>
      </c>
      <c r="N40" s="132">
        <f>M40*E40</f>
        <v>575.72211216</v>
      </c>
      <c r="O40" s="132">
        <v>70.52</v>
      </c>
      <c r="P40" s="132">
        <v>86.602</v>
      </c>
      <c r="Q40" s="132">
        <v>81.7</v>
      </c>
      <c r="R40" s="132">
        <v>0.06</v>
      </c>
      <c r="S40" s="132">
        <v>30.1</v>
      </c>
      <c r="T40" s="132">
        <v>11.23332</v>
      </c>
      <c r="U40" s="132">
        <v>17.8609788</v>
      </c>
      <c r="V40" s="132">
        <v>216.3162988</v>
      </c>
      <c r="W40" s="132">
        <v>674.906852256</v>
      </c>
      <c r="X40" s="147">
        <v>90</v>
      </c>
      <c r="Y40" s="147">
        <v>175</v>
      </c>
      <c r="Z40" s="147">
        <v>140</v>
      </c>
      <c r="AA40" s="141">
        <v>0.25</v>
      </c>
      <c r="AB40" s="147">
        <v>22</v>
      </c>
      <c r="AC40" s="147">
        <v>37.31</v>
      </c>
      <c r="AD40" s="147">
        <v>29.1879</v>
      </c>
      <c r="AE40" s="153">
        <v>353.4979</v>
      </c>
      <c r="AF40" s="132">
        <v>1102.913448</v>
      </c>
      <c r="AG40" s="147">
        <v>75.6</v>
      </c>
      <c r="AH40" s="147">
        <v>109.296</v>
      </c>
      <c r="AI40" s="147">
        <v>101.2</v>
      </c>
      <c r="AJ40" s="141">
        <v>0.08</v>
      </c>
      <c r="AK40" s="147">
        <v>32.034324254661</v>
      </c>
      <c r="AL40" s="147">
        <v>18.4390775616462</v>
      </c>
      <c r="AM40" s="147">
        <v>21.1832461634676</v>
      </c>
      <c r="AN40" s="153">
        <v>256.552647979775</v>
      </c>
      <c r="AO40" s="132">
        <v>800.444261696897</v>
      </c>
      <c r="AP40" s="147">
        <v>95</v>
      </c>
      <c r="AQ40" s="147">
        <v>144</v>
      </c>
      <c r="AR40" s="147">
        <v>120</v>
      </c>
      <c r="AS40" s="141">
        <v>0.2</v>
      </c>
      <c r="AT40" s="147">
        <v>38</v>
      </c>
      <c r="AU40" s="147">
        <v>16.62</v>
      </c>
      <c r="AV40" s="147">
        <v>26.4258</v>
      </c>
      <c r="AW40" s="153">
        <v>320.0458</v>
      </c>
      <c r="AX40" s="132">
        <v>998.542896</v>
      </c>
      <c r="AY40" s="123"/>
    </row>
    <row r="41" ht="75.6" spans="1:51">
      <c r="A41" s="133">
        <v>34</v>
      </c>
      <c r="B41" s="134" t="s">
        <v>75</v>
      </c>
      <c r="C41" s="134" t="s">
        <v>76</v>
      </c>
      <c r="D41" s="134" t="s">
        <v>73</v>
      </c>
      <c r="E41" s="134">
        <f>9.04/2</f>
        <v>4.52</v>
      </c>
      <c r="F41" s="132">
        <v>69</v>
      </c>
      <c r="G41" s="132">
        <f t="shared" ref="G41" si="20">H41*(1+I41)</f>
        <v>52.5</v>
      </c>
      <c r="H41" s="132">
        <v>50</v>
      </c>
      <c r="I41" s="141">
        <v>0.05</v>
      </c>
      <c r="J41" s="132">
        <v>42</v>
      </c>
      <c r="K41" s="132">
        <f>(F41+G41+J41)*$K$5</f>
        <v>9.81</v>
      </c>
      <c r="L41" s="132">
        <f>(F41+G41+J41+K41)*$L$5</f>
        <v>15.5979</v>
      </c>
      <c r="M41" s="132">
        <f>F41+G41+J41+K41+L41</f>
        <v>188.9079</v>
      </c>
      <c r="N41" s="132">
        <f>M41*E41</f>
        <v>853.863708</v>
      </c>
      <c r="O41" s="132">
        <v>107.5</v>
      </c>
      <c r="P41" s="132">
        <v>300.828</v>
      </c>
      <c r="Q41" s="132">
        <v>283.8</v>
      </c>
      <c r="R41" s="132">
        <v>0.06</v>
      </c>
      <c r="S41" s="132">
        <v>45.58</v>
      </c>
      <c r="T41" s="132">
        <v>27.23448</v>
      </c>
      <c r="U41" s="132">
        <v>43.3028232</v>
      </c>
      <c r="V41" s="145">
        <v>524.4453032</v>
      </c>
      <c r="W41" s="132">
        <v>2370.492770464</v>
      </c>
      <c r="X41" s="147">
        <v>90</v>
      </c>
      <c r="Y41" s="147">
        <v>367.5</v>
      </c>
      <c r="Z41" s="147">
        <v>350</v>
      </c>
      <c r="AA41" s="141">
        <v>0.05</v>
      </c>
      <c r="AB41" s="147">
        <v>22</v>
      </c>
      <c r="AC41" s="147">
        <v>62.335</v>
      </c>
      <c r="AD41" s="147">
        <v>48.76515</v>
      </c>
      <c r="AE41" s="153">
        <v>590.60015</v>
      </c>
      <c r="AF41" s="132">
        <v>2669.512678</v>
      </c>
      <c r="AG41" s="147">
        <v>135</v>
      </c>
      <c r="AH41" s="147">
        <v>467.12389380531</v>
      </c>
      <c r="AI41" s="147">
        <v>457.964601769912</v>
      </c>
      <c r="AJ41" s="141">
        <v>0.02</v>
      </c>
      <c r="AK41" s="147">
        <v>27.9424778761062</v>
      </c>
      <c r="AL41" s="147">
        <v>53.5556415929204</v>
      </c>
      <c r="AM41" s="147">
        <v>61.5259811946903</v>
      </c>
      <c r="AN41" s="153">
        <v>745.147994469027</v>
      </c>
      <c r="AO41" s="132">
        <v>3368.068935</v>
      </c>
      <c r="AP41" s="147">
        <v>95</v>
      </c>
      <c r="AQ41" s="147">
        <v>109.18</v>
      </c>
      <c r="AR41" s="147">
        <v>106</v>
      </c>
      <c r="AS41" s="141">
        <v>0.03</v>
      </c>
      <c r="AT41" s="147">
        <v>38</v>
      </c>
      <c r="AU41" s="147">
        <v>14.5308</v>
      </c>
      <c r="AV41" s="147">
        <v>23.103972</v>
      </c>
      <c r="AW41" s="147">
        <v>279.814772</v>
      </c>
      <c r="AX41" s="132">
        <v>1264.76276944</v>
      </c>
      <c r="AY41" s="123"/>
    </row>
    <row r="42" spans="1:51">
      <c r="A42" s="133">
        <v>35</v>
      </c>
      <c r="B42" s="136" t="s">
        <v>122</v>
      </c>
      <c r="C42" s="134"/>
      <c r="D42" s="134"/>
      <c r="E42" s="134"/>
      <c r="F42" s="132"/>
      <c r="G42" s="132"/>
      <c r="H42" s="132"/>
      <c r="I42" s="141"/>
      <c r="J42" s="132"/>
      <c r="K42" s="132"/>
      <c r="L42" s="132"/>
      <c r="M42" s="132"/>
      <c r="N42" s="132">
        <f>SUM(N43:N47)</f>
        <v>28496.3996964</v>
      </c>
      <c r="O42" s="132">
        <v>0</v>
      </c>
      <c r="P42" s="132">
        <v>0</v>
      </c>
      <c r="Q42" s="132">
        <v>0</v>
      </c>
      <c r="R42" s="132"/>
      <c r="S42" s="132">
        <v>0</v>
      </c>
      <c r="T42" s="132"/>
      <c r="U42" s="132"/>
      <c r="V42" s="132"/>
      <c r="W42" s="132">
        <v>29817.0659766431</v>
      </c>
      <c r="X42" s="147"/>
      <c r="Y42" s="147"/>
      <c r="Z42" s="147"/>
      <c r="AA42" s="141"/>
      <c r="AB42" s="147"/>
      <c r="AC42" s="147"/>
      <c r="AD42" s="147"/>
      <c r="AE42" s="147"/>
      <c r="AF42" s="132">
        <v>28691.0404336875</v>
      </c>
      <c r="AG42" s="147"/>
      <c r="AH42" s="147"/>
      <c r="AI42" s="147"/>
      <c r="AJ42" s="141"/>
      <c r="AK42" s="147"/>
      <c r="AL42" s="147"/>
      <c r="AM42" s="147"/>
      <c r="AN42" s="147"/>
      <c r="AO42" s="132">
        <v>26923.1736346317</v>
      </c>
      <c r="AP42" s="147"/>
      <c r="AQ42" s="147"/>
      <c r="AR42" s="147"/>
      <c r="AS42" s="141"/>
      <c r="AT42" s="147"/>
      <c r="AU42" s="147"/>
      <c r="AV42" s="147"/>
      <c r="AW42" s="147"/>
      <c r="AX42" s="132">
        <v>27439.179089275</v>
      </c>
      <c r="AY42" s="123"/>
    </row>
    <row r="43" ht="97.2" spans="1:51">
      <c r="A43" s="133">
        <v>36</v>
      </c>
      <c r="B43" s="134" t="s">
        <v>78</v>
      </c>
      <c r="C43" s="134" t="s">
        <v>79</v>
      </c>
      <c r="D43" s="134" t="s">
        <v>73</v>
      </c>
      <c r="E43" s="134">
        <f>19.17/2</f>
        <v>9.585</v>
      </c>
      <c r="F43" s="132">
        <v>80</v>
      </c>
      <c r="G43" s="132">
        <f t="shared" ref="G43:G47" si="21">H43*(1+I43)</f>
        <v>79.8</v>
      </c>
      <c r="H43" s="132">
        <v>76</v>
      </c>
      <c r="I43" s="141">
        <v>0.05</v>
      </c>
      <c r="J43" s="132">
        <v>65</v>
      </c>
      <c r="K43" s="132">
        <f>(F43+G43+J43)*$K$5</f>
        <v>13.488</v>
      </c>
      <c r="L43" s="132">
        <f>(F43+G43+J43+K43)*$L$5</f>
        <v>21.44592</v>
      </c>
      <c r="M43" s="132">
        <f>F43+G43+J43+K43+L43</f>
        <v>259.73392</v>
      </c>
      <c r="N43" s="132">
        <f>M43*E43</f>
        <v>2489.5496232</v>
      </c>
      <c r="O43" s="132">
        <v>94.6</v>
      </c>
      <c r="P43" s="132">
        <v>194.145</v>
      </c>
      <c r="Q43" s="132">
        <v>184.9</v>
      </c>
      <c r="R43" s="132">
        <v>0.05</v>
      </c>
      <c r="S43" s="132">
        <v>85.57</v>
      </c>
      <c r="T43" s="132">
        <v>22.4589</v>
      </c>
      <c r="U43" s="132">
        <v>35.709651</v>
      </c>
      <c r="V43" s="132">
        <v>432.483551</v>
      </c>
      <c r="W43" s="132">
        <v>4145.354836335</v>
      </c>
      <c r="X43" s="147">
        <v>120</v>
      </c>
      <c r="Y43" s="147">
        <v>330</v>
      </c>
      <c r="Z43" s="147">
        <v>300</v>
      </c>
      <c r="AA43" s="141">
        <v>0.1</v>
      </c>
      <c r="AB43" s="147">
        <v>90</v>
      </c>
      <c r="AC43" s="147">
        <v>70.2</v>
      </c>
      <c r="AD43" s="147">
        <v>54.918</v>
      </c>
      <c r="AE43" s="153">
        <v>665.118</v>
      </c>
      <c r="AF43" s="132">
        <v>6375.15603</v>
      </c>
      <c r="AG43" s="147">
        <v>132.975</v>
      </c>
      <c r="AH43" s="147">
        <v>261.45</v>
      </c>
      <c r="AI43" s="147">
        <v>249</v>
      </c>
      <c r="AJ43" s="141">
        <v>0.05</v>
      </c>
      <c r="AK43" s="147">
        <v>90.4475298057188</v>
      </c>
      <c r="AL43" s="147">
        <v>41.2141650334861</v>
      </c>
      <c r="AM43" s="147">
        <v>47.3478025355284</v>
      </c>
      <c r="AN43" s="153">
        <v>573.434497374733</v>
      </c>
      <c r="AO43" s="132">
        <v>5496.36965733682</v>
      </c>
      <c r="AP43" s="147">
        <v>85</v>
      </c>
      <c r="AQ43" s="147">
        <v>288.4</v>
      </c>
      <c r="AR43" s="147">
        <v>280</v>
      </c>
      <c r="AS43" s="141">
        <v>0.03</v>
      </c>
      <c r="AT43" s="147">
        <v>60</v>
      </c>
      <c r="AU43" s="147">
        <v>26.004</v>
      </c>
      <c r="AV43" s="147">
        <v>41.34636</v>
      </c>
      <c r="AW43" s="153">
        <v>500.75036</v>
      </c>
      <c r="AX43" s="132">
        <v>4799.6922006</v>
      </c>
      <c r="AY43" s="123"/>
    </row>
    <row r="44" ht="97.2" spans="1:51">
      <c r="A44" s="133">
        <v>37</v>
      </c>
      <c r="B44" s="134" t="s">
        <v>78</v>
      </c>
      <c r="C44" s="134" t="s">
        <v>124</v>
      </c>
      <c r="D44" s="134" t="s">
        <v>73</v>
      </c>
      <c r="E44" s="134">
        <f>18.86/2</f>
        <v>9.43</v>
      </c>
      <c r="F44" s="132">
        <v>80</v>
      </c>
      <c r="G44" s="132">
        <f t="shared" ref="G44" si="22">H44*(1+I44)</f>
        <v>79.8</v>
      </c>
      <c r="H44" s="132">
        <v>76</v>
      </c>
      <c r="I44" s="141">
        <v>0.05</v>
      </c>
      <c r="J44" s="132">
        <v>65</v>
      </c>
      <c r="K44" s="132">
        <f>(F44+G44+J44)*$K$5</f>
        <v>13.488</v>
      </c>
      <c r="L44" s="132">
        <f>(F44+G44+J44+K44)*$L$5</f>
        <v>21.44592</v>
      </c>
      <c r="M44" s="132">
        <f>F44+G44+J44+K44+L44</f>
        <v>259.73392</v>
      </c>
      <c r="N44" s="132">
        <f>M44*E44</f>
        <v>2449.2908656</v>
      </c>
      <c r="O44" s="132">
        <v>94.6</v>
      </c>
      <c r="P44" s="132">
        <v>162.54</v>
      </c>
      <c r="Q44" s="132">
        <v>154.8</v>
      </c>
      <c r="R44" s="132">
        <v>0.05</v>
      </c>
      <c r="S44" s="132">
        <v>68.8</v>
      </c>
      <c r="T44" s="132">
        <v>19.5564</v>
      </c>
      <c r="U44" s="132">
        <v>31.094676</v>
      </c>
      <c r="V44" s="132">
        <v>376.591076</v>
      </c>
      <c r="W44" s="132">
        <v>3551.25384668</v>
      </c>
      <c r="X44" s="147">
        <v>120</v>
      </c>
      <c r="Y44" s="147">
        <v>110</v>
      </c>
      <c r="Z44" s="147">
        <v>100</v>
      </c>
      <c r="AA44" s="141">
        <v>0.1</v>
      </c>
      <c r="AB44" s="147">
        <v>90</v>
      </c>
      <c r="AC44" s="147">
        <v>41.6</v>
      </c>
      <c r="AD44" s="147">
        <v>32.544</v>
      </c>
      <c r="AE44" s="153">
        <v>394.144</v>
      </c>
      <c r="AF44" s="132">
        <v>3716.77792</v>
      </c>
      <c r="AG44" s="147">
        <v>118.125</v>
      </c>
      <c r="AH44" s="147">
        <v>235.088495575221</v>
      </c>
      <c r="AI44" s="147">
        <v>223.893805309735</v>
      </c>
      <c r="AJ44" s="141">
        <v>0.05</v>
      </c>
      <c r="AK44" s="147">
        <v>93.2475298057188</v>
      </c>
      <c r="AL44" s="147">
        <v>37.9491871573799</v>
      </c>
      <c r="AM44" s="147">
        <v>43.5969191284488</v>
      </c>
      <c r="AN44" s="153">
        <v>528.007131666769</v>
      </c>
      <c r="AO44" s="132">
        <v>4979.10725161763</v>
      </c>
      <c r="AP44" s="147">
        <v>85</v>
      </c>
      <c r="AQ44" s="147">
        <v>138</v>
      </c>
      <c r="AR44" s="147">
        <v>120</v>
      </c>
      <c r="AS44" s="141">
        <v>0.15</v>
      </c>
      <c r="AT44" s="147">
        <v>60</v>
      </c>
      <c r="AU44" s="147">
        <v>16.98</v>
      </c>
      <c r="AV44" s="147">
        <v>26.9982</v>
      </c>
      <c r="AW44" s="147">
        <v>326.9782</v>
      </c>
      <c r="AX44" s="132">
        <v>3083.404426</v>
      </c>
      <c r="AY44" s="123"/>
    </row>
    <row r="45" ht="118.8" spans="1:51">
      <c r="A45" s="133">
        <v>38</v>
      </c>
      <c r="B45" s="134" t="s">
        <v>81</v>
      </c>
      <c r="C45" s="134" t="s">
        <v>82</v>
      </c>
      <c r="D45" s="134" t="s">
        <v>73</v>
      </c>
      <c r="E45" s="134">
        <f>149.43/2</f>
        <v>74.715</v>
      </c>
      <c r="F45" s="132">
        <v>80</v>
      </c>
      <c r="G45" s="132">
        <f t="shared" si="21"/>
        <v>16.8</v>
      </c>
      <c r="H45" s="132">
        <v>16</v>
      </c>
      <c r="I45" s="141">
        <v>0.05</v>
      </c>
      <c r="J45" s="132">
        <v>60</v>
      </c>
      <c r="K45" s="132">
        <f>(F45+G45+J45)*$K$5</f>
        <v>9.408</v>
      </c>
      <c r="L45" s="132">
        <f>(F45+G45+J45+K45)*$L$5</f>
        <v>14.95872</v>
      </c>
      <c r="M45" s="132">
        <f>F45+G45+J45+K45+L45</f>
        <v>181.16672</v>
      </c>
      <c r="N45" s="132">
        <f>M45*E45</f>
        <v>13535.8714848</v>
      </c>
      <c r="O45" s="132">
        <v>81.7</v>
      </c>
      <c r="P45" s="132">
        <v>72.8721</v>
      </c>
      <c r="Q45" s="132">
        <v>69.402</v>
      </c>
      <c r="R45" s="132">
        <v>0.05</v>
      </c>
      <c r="S45" s="132">
        <v>30.1</v>
      </c>
      <c r="T45" s="132">
        <v>11.080326</v>
      </c>
      <c r="U45" s="132">
        <v>17.61771834</v>
      </c>
      <c r="V45" s="145">
        <v>213.37014434</v>
      </c>
      <c r="W45" s="132">
        <v>15941.9503343631</v>
      </c>
      <c r="X45" s="147">
        <v>78</v>
      </c>
      <c r="Y45" s="147">
        <v>26.25</v>
      </c>
      <c r="Z45" s="147">
        <v>20</v>
      </c>
      <c r="AA45" s="141">
        <v>0.05</v>
      </c>
      <c r="AB45" s="147">
        <v>35</v>
      </c>
      <c r="AC45" s="147">
        <v>18.1025</v>
      </c>
      <c r="AD45" s="147">
        <v>14.161725</v>
      </c>
      <c r="AE45" s="147">
        <v>171.514225</v>
      </c>
      <c r="AF45" s="132">
        <v>12814.685320875</v>
      </c>
      <c r="AG45" s="147">
        <v>56.7</v>
      </c>
      <c r="AH45" s="147">
        <v>0</v>
      </c>
      <c r="AI45" s="147"/>
      <c r="AJ45" s="141"/>
      <c r="AK45" s="147">
        <v>63.5941537149829</v>
      </c>
      <c r="AL45" s="147">
        <v>10.2250030657735</v>
      </c>
      <c r="AM45" s="147">
        <v>11.7467241102681</v>
      </c>
      <c r="AN45" s="147">
        <v>142.265880891025</v>
      </c>
      <c r="AO45" s="132">
        <v>10629.3952907729</v>
      </c>
      <c r="AP45" s="147">
        <v>85</v>
      </c>
      <c r="AQ45" s="147">
        <v>26.933</v>
      </c>
      <c r="AR45" s="147">
        <v>23.42</v>
      </c>
      <c r="AS45" s="141">
        <v>0.15</v>
      </c>
      <c r="AT45" s="147">
        <v>45</v>
      </c>
      <c r="AU45" s="147">
        <v>9.41598</v>
      </c>
      <c r="AV45" s="147">
        <v>14.9714082</v>
      </c>
      <c r="AW45" s="147">
        <v>181.3203882</v>
      </c>
      <c r="AX45" s="132">
        <v>13547.352804363</v>
      </c>
      <c r="AY45" s="123"/>
    </row>
    <row r="46" ht="118.8" spans="1:51">
      <c r="A46" s="133">
        <v>39</v>
      </c>
      <c r="B46" s="136" t="s">
        <v>83</v>
      </c>
      <c r="C46" s="136" t="s">
        <v>82</v>
      </c>
      <c r="D46" s="134" t="s">
        <v>73</v>
      </c>
      <c r="E46" s="134">
        <f>36.63/2</f>
        <v>18.315</v>
      </c>
      <c r="F46" s="132">
        <v>75</v>
      </c>
      <c r="G46" s="132">
        <f t="shared" si="21"/>
        <v>16.8</v>
      </c>
      <c r="H46" s="132">
        <v>16</v>
      </c>
      <c r="I46" s="141">
        <v>0.05</v>
      </c>
      <c r="J46" s="132">
        <v>60</v>
      </c>
      <c r="K46" s="132">
        <f>(F46+G46+J46)*$K$5</f>
        <v>9.108</v>
      </c>
      <c r="L46" s="132">
        <f>(F46+G46+J46+K46)*$L$5</f>
        <v>14.48172</v>
      </c>
      <c r="M46" s="132">
        <f>F46+G46+J46+K46+L46</f>
        <v>175.38972</v>
      </c>
      <c r="N46" s="132">
        <f>M46*E46</f>
        <v>3212.2627218</v>
      </c>
      <c r="O46" s="132">
        <v>73.1</v>
      </c>
      <c r="P46" s="132">
        <v>27.09</v>
      </c>
      <c r="Q46" s="132">
        <v>25.8</v>
      </c>
      <c r="R46" s="132">
        <v>0.05</v>
      </c>
      <c r="S46" s="132">
        <v>30.1</v>
      </c>
      <c r="T46" s="132">
        <v>7.8174</v>
      </c>
      <c r="U46" s="132">
        <v>12.429666</v>
      </c>
      <c r="V46" s="132">
        <v>150.537066</v>
      </c>
      <c r="W46" s="132">
        <v>2757.08636379</v>
      </c>
      <c r="X46" s="147">
        <v>70</v>
      </c>
      <c r="Y46" s="147">
        <v>26.25</v>
      </c>
      <c r="Z46" s="147">
        <v>20</v>
      </c>
      <c r="AA46" s="141">
        <v>0.05</v>
      </c>
      <c r="AB46" s="147">
        <v>30</v>
      </c>
      <c r="AC46" s="147">
        <v>16.4125</v>
      </c>
      <c r="AD46" s="147">
        <v>12.839625</v>
      </c>
      <c r="AE46" s="147">
        <v>155.502125</v>
      </c>
      <c r="AF46" s="132">
        <v>2848.021419375</v>
      </c>
      <c r="AG46" s="147">
        <v>37.8</v>
      </c>
      <c r="AH46" s="147">
        <v>0</v>
      </c>
      <c r="AI46" s="147"/>
      <c r="AJ46" s="141"/>
      <c r="AK46" s="147">
        <v>50.7920353982301</v>
      </c>
      <c r="AL46" s="147">
        <v>7.53032300884956</v>
      </c>
      <c r="AM46" s="147">
        <v>8.65101225663717</v>
      </c>
      <c r="AN46" s="147">
        <v>104.773370663717</v>
      </c>
      <c r="AO46" s="132">
        <v>1918.92428370597</v>
      </c>
      <c r="AP46" s="147">
        <v>65</v>
      </c>
      <c r="AQ46" s="147">
        <v>25.762</v>
      </c>
      <c r="AR46" s="147">
        <v>23.42</v>
      </c>
      <c r="AS46" s="147">
        <v>0.1</v>
      </c>
      <c r="AT46" s="147">
        <v>35</v>
      </c>
      <c r="AU46" s="147">
        <v>7.54572</v>
      </c>
      <c r="AV46" s="147">
        <v>11.9976948</v>
      </c>
      <c r="AW46" s="147">
        <v>145.3054148</v>
      </c>
      <c r="AX46" s="132">
        <v>2661.268672062</v>
      </c>
      <c r="AY46" s="123"/>
    </row>
    <row r="47" ht="54" spans="1:51">
      <c r="A47" s="133">
        <v>40</v>
      </c>
      <c r="B47" s="136" t="s">
        <v>84</v>
      </c>
      <c r="C47" s="136" t="s">
        <v>85</v>
      </c>
      <c r="D47" s="134" t="s">
        <v>73</v>
      </c>
      <c r="E47" s="134">
        <f>202.25/2</f>
        <v>101.125</v>
      </c>
      <c r="F47" s="132">
        <v>35</v>
      </c>
      <c r="G47" s="132">
        <f t="shared" si="21"/>
        <v>14.28</v>
      </c>
      <c r="H47" s="132">
        <v>14</v>
      </c>
      <c r="I47" s="144">
        <v>0.02</v>
      </c>
      <c r="J47" s="132">
        <v>9</v>
      </c>
      <c r="K47" s="132">
        <f>(F47+G47+J47)*$K$5</f>
        <v>3.4968</v>
      </c>
      <c r="L47" s="132">
        <f>(F47+G47+J47+K47)*$L$5</f>
        <v>5.559912</v>
      </c>
      <c r="M47" s="145">
        <f>F47+G47+J47+K47+L47</f>
        <v>67.336712</v>
      </c>
      <c r="N47" s="132">
        <f>M47*E47</f>
        <v>6809.425001</v>
      </c>
      <c r="O47" s="132">
        <v>21.5</v>
      </c>
      <c r="P47" s="132">
        <v>4.343</v>
      </c>
      <c r="Q47" s="132">
        <v>4.3</v>
      </c>
      <c r="R47" s="132">
        <v>0.01</v>
      </c>
      <c r="S47" s="132">
        <v>3.44</v>
      </c>
      <c r="T47" s="132">
        <v>1.75698</v>
      </c>
      <c r="U47" s="132">
        <v>2.7935982</v>
      </c>
      <c r="V47" s="132">
        <v>33.8335782</v>
      </c>
      <c r="W47" s="132">
        <v>3421.420595475</v>
      </c>
      <c r="X47" s="147">
        <v>18.5</v>
      </c>
      <c r="Y47" s="147">
        <v>2.575</v>
      </c>
      <c r="Z47" s="147">
        <v>2.5</v>
      </c>
      <c r="AA47" s="141">
        <v>0.03</v>
      </c>
      <c r="AB47" s="147">
        <v>2.5</v>
      </c>
      <c r="AC47" s="147">
        <v>3.06475</v>
      </c>
      <c r="AD47" s="147">
        <v>2.3975775</v>
      </c>
      <c r="AE47" s="147">
        <v>29.0373275</v>
      </c>
      <c r="AF47" s="132">
        <v>2936.3997434375</v>
      </c>
      <c r="AG47" s="147">
        <v>27</v>
      </c>
      <c r="AH47" s="147">
        <v>2.94985250737463</v>
      </c>
      <c r="AI47" s="147">
        <v>2.80938334035679</v>
      </c>
      <c r="AJ47" s="141">
        <v>0.05</v>
      </c>
      <c r="AK47" s="147">
        <v>2.65486725663717</v>
      </c>
      <c r="AL47" s="147">
        <v>2.771401179941</v>
      </c>
      <c r="AM47" s="147">
        <v>3.18385088495575</v>
      </c>
      <c r="AN47" s="147">
        <v>38.5599718289086</v>
      </c>
      <c r="AO47" s="132">
        <v>3899.37715119838</v>
      </c>
      <c r="AP47" s="147">
        <v>20</v>
      </c>
      <c r="AQ47" s="147">
        <v>3.15</v>
      </c>
      <c r="AR47" s="147">
        <v>3</v>
      </c>
      <c r="AS47" s="141">
        <v>0.05</v>
      </c>
      <c r="AT47" s="147">
        <v>5.5</v>
      </c>
      <c r="AU47" s="147">
        <v>1.719</v>
      </c>
      <c r="AV47" s="147">
        <v>2.73321</v>
      </c>
      <c r="AW47" s="147">
        <v>33.10221</v>
      </c>
      <c r="AX47" s="132">
        <v>3347.46098625</v>
      </c>
      <c r="AY47" s="123"/>
    </row>
    <row r="48" spans="1:51">
      <c r="A48" s="133">
        <v>41</v>
      </c>
      <c r="B48" s="136" t="s">
        <v>122</v>
      </c>
      <c r="C48" s="134"/>
      <c r="D48" s="134"/>
      <c r="E48" s="134"/>
      <c r="F48" s="132"/>
      <c r="G48" s="135"/>
      <c r="H48" s="132"/>
      <c r="I48" s="141"/>
      <c r="J48" s="132"/>
      <c r="K48" s="132"/>
      <c r="L48" s="132"/>
      <c r="M48" s="132"/>
      <c r="N48" s="132">
        <f>SUM(N49:N59)</f>
        <v>96402.0722508</v>
      </c>
      <c r="O48" s="132">
        <v>0</v>
      </c>
      <c r="P48" s="132">
        <v>0</v>
      </c>
      <c r="Q48" s="132">
        <v>0</v>
      </c>
      <c r="R48" s="132"/>
      <c r="S48" s="132">
        <v>0</v>
      </c>
      <c r="T48" s="132"/>
      <c r="U48" s="132"/>
      <c r="V48" s="132"/>
      <c r="W48" s="132">
        <v>103331.77704922</v>
      </c>
      <c r="X48" s="147"/>
      <c r="Y48" s="151"/>
      <c r="Z48" s="147"/>
      <c r="AA48" s="141"/>
      <c r="AB48" s="147"/>
      <c r="AC48" s="147"/>
      <c r="AD48" s="147"/>
      <c r="AE48" s="147"/>
      <c r="AF48" s="132">
        <v>93933.75726095</v>
      </c>
      <c r="AG48" s="147"/>
      <c r="AH48" s="151"/>
      <c r="AI48" s="147"/>
      <c r="AJ48" s="141"/>
      <c r="AK48" s="147"/>
      <c r="AL48" s="147"/>
      <c r="AM48" s="147"/>
      <c r="AN48" s="147"/>
      <c r="AO48" s="132">
        <v>131454.102758504</v>
      </c>
      <c r="AP48" s="147"/>
      <c r="AQ48" s="156"/>
      <c r="AR48" s="147"/>
      <c r="AS48" s="141"/>
      <c r="AT48" s="147"/>
      <c r="AU48" s="147"/>
      <c r="AV48" s="147"/>
      <c r="AW48" s="147"/>
      <c r="AX48" s="132">
        <v>58864.5175942279</v>
      </c>
      <c r="AY48" s="123"/>
    </row>
    <row r="49" ht="114" customHeight="1" spans="1:51">
      <c r="A49" s="133">
        <v>42</v>
      </c>
      <c r="B49" s="134" t="s">
        <v>101</v>
      </c>
      <c r="C49" s="136" t="s">
        <v>102</v>
      </c>
      <c r="D49" s="134" t="s">
        <v>73</v>
      </c>
      <c r="E49" s="134">
        <f>44.52/2</f>
        <v>22.26</v>
      </c>
      <c r="F49" s="132">
        <v>50</v>
      </c>
      <c r="G49" s="132">
        <f t="shared" ref="G49" si="23">H49*(1+I49)</f>
        <v>50.4</v>
      </c>
      <c r="H49" s="132">
        <v>48</v>
      </c>
      <c r="I49" s="141">
        <v>0.05</v>
      </c>
      <c r="J49" s="132">
        <v>46</v>
      </c>
      <c r="K49" s="132">
        <f t="shared" ref="K49:K59" si="24">(F49+G49+J49)*$K$5</f>
        <v>8.784</v>
      </c>
      <c r="L49" s="132">
        <f t="shared" ref="L49:L59" si="25">(F49+G49+J49+K49)*$L$5</f>
        <v>13.96656</v>
      </c>
      <c r="M49" s="132">
        <f t="shared" ref="M49:M59" si="26">F49+G49+J49+K49+L49</f>
        <v>169.15056</v>
      </c>
      <c r="N49" s="132">
        <f t="shared" ref="N49:N59" si="27">M49*E49</f>
        <v>3765.2914656</v>
      </c>
      <c r="O49" s="132">
        <v>47.3</v>
      </c>
      <c r="P49" s="132">
        <v>68.37</v>
      </c>
      <c r="Q49" s="132">
        <v>64.5</v>
      </c>
      <c r="R49" s="132">
        <v>0.06</v>
      </c>
      <c r="S49" s="132">
        <v>30.1</v>
      </c>
      <c r="T49" s="132">
        <v>8.7462</v>
      </c>
      <c r="U49" s="132">
        <v>13.906458</v>
      </c>
      <c r="V49" s="132">
        <v>168.422658</v>
      </c>
      <c r="W49" s="132">
        <v>3749.08836708</v>
      </c>
      <c r="X49" s="134">
        <v>60</v>
      </c>
      <c r="Y49" s="147">
        <v>62.1</v>
      </c>
      <c r="Z49" s="147">
        <v>54</v>
      </c>
      <c r="AA49" s="141">
        <v>0.15</v>
      </c>
      <c r="AB49" s="147">
        <v>22</v>
      </c>
      <c r="AC49" s="147">
        <v>18.733</v>
      </c>
      <c r="AD49" s="147">
        <v>14.65497</v>
      </c>
      <c r="AE49" s="147">
        <v>177.48797</v>
      </c>
      <c r="AF49" s="132">
        <v>3950.8822122</v>
      </c>
      <c r="AG49" s="134">
        <v>63.45</v>
      </c>
      <c r="AH49" s="147">
        <v>82.225</v>
      </c>
      <c r="AI49" s="147">
        <v>74.75</v>
      </c>
      <c r="AJ49" s="141">
        <v>0.1</v>
      </c>
      <c r="AK49" s="147">
        <v>27.0334265486725</v>
      </c>
      <c r="AL49" s="147">
        <v>14.6802162566372</v>
      </c>
      <c r="AM49" s="147">
        <v>16.8649778524779</v>
      </c>
      <c r="AN49" s="153">
        <v>204.253620657788</v>
      </c>
      <c r="AO49" s="132">
        <v>4546.68559584235</v>
      </c>
      <c r="AP49" s="147">
        <v>75</v>
      </c>
      <c r="AQ49" s="147">
        <v>116.6</v>
      </c>
      <c r="AR49" s="147">
        <v>106</v>
      </c>
      <c r="AS49" s="141">
        <v>0.1</v>
      </c>
      <c r="AT49" s="147">
        <v>20</v>
      </c>
      <c r="AU49" s="147">
        <v>12.696</v>
      </c>
      <c r="AV49" s="147">
        <v>20.18664</v>
      </c>
      <c r="AW49" s="153">
        <v>244.48264</v>
      </c>
      <c r="AX49" s="132">
        <v>5442.1835664</v>
      </c>
      <c r="AY49" s="123"/>
    </row>
    <row r="50" ht="54" spans="1:51">
      <c r="A50" s="133">
        <v>43</v>
      </c>
      <c r="B50" s="134" t="s">
        <v>99</v>
      </c>
      <c r="C50" s="134" t="s">
        <v>125</v>
      </c>
      <c r="D50" s="134" t="s">
        <v>73</v>
      </c>
      <c r="E50" s="134">
        <f>32.65/2</f>
        <v>16.325</v>
      </c>
      <c r="F50" s="132">
        <v>80</v>
      </c>
      <c r="G50" s="132">
        <f t="shared" ref="G50:G56" si="28">H50*(1+I50)</f>
        <v>142.8</v>
      </c>
      <c r="H50" s="132">
        <v>136</v>
      </c>
      <c r="I50" s="141">
        <v>0.05</v>
      </c>
      <c r="J50" s="132">
        <v>87</v>
      </c>
      <c r="K50" s="132">
        <f t="shared" si="24"/>
        <v>18.588</v>
      </c>
      <c r="L50" s="132">
        <f t="shared" si="25"/>
        <v>29.55492</v>
      </c>
      <c r="M50" s="132">
        <f t="shared" si="26"/>
        <v>357.94292</v>
      </c>
      <c r="N50" s="132">
        <f t="shared" si="27"/>
        <v>5843.418169</v>
      </c>
      <c r="O50" s="132">
        <v>94.6</v>
      </c>
      <c r="P50" s="132">
        <v>162.54</v>
      </c>
      <c r="Q50" s="132">
        <v>154.8</v>
      </c>
      <c r="R50" s="132">
        <v>0.05</v>
      </c>
      <c r="S50" s="132">
        <v>82.56</v>
      </c>
      <c r="T50" s="132">
        <v>20.382</v>
      </c>
      <c r="U50" s="132">
        <v>32.40738</v>
      </c>
      <c r="V50" s="145">
        <v>392.48938</v>
      </c>
      <c r="W50" s="132">
        <v>6407.3891285</v>
      </c>
      <c r="X50" s="147">
        <v>100</v>
      </c>
      <c r="Y50" s="147">
        <v>121</v>
      </c>
      <c r="Z50" s="147">
        <v>110</v>
      </c>
      <c r="AA50" s="141">
        <v>0.1</v>
      </c>
      <c r="AB50" s="147">
        <v>65</v>
      </c>
      <c r="AC50" s="147">
        <v>37.18</v>
      </c>
      <c r="AD50" s="147">
        <v>29.0862</v>
      </c>
      <c r="AE50" s="153">
        <v>352.2662</v>
      </c>
      <c r="AF50" s="132">
        <v>5750.745715</v>
      </c>
      <c r="AG50" s="147">
        <v>107.325</v>
      </c>
      <c r="AH50" s="147">
        <v>235.088495575221</v>
      </c>
      <c r="AI50" s="147">
        <v>223.893805309735</v>
      </c>
      <c r="AJ50" s="141">
        <v>0.05</v>
      </c>
      <c r="AK50" s="147">
        <v>103.12068051932</v>
      </c>
      <c r="AL50" s="147">
        <v>37.870404968036</v>
      </c>
      <c r="AM50" s="147">
        <v>43.5064122956319</v>
      </c>
      <c r="AN50" s="153">
        <v>526.910993358209</v>
      </c>
      <c r="AO50" s="132">
        <v>8601.82196657276</v>
      </c>
      <c r="AP50" s="147">
        <v>45</v>
      </c>
      <c r="AQ50" s="147">
        <v>66</v>
      </c>
      <c r="AR50" s="147">
        <v>60</v>
      </c>
      <c r="AS50" s="141">
        <v>0.1</v>
      </c>
      <c r="AT50" s="147">
        <v>20</v>
      </c>
      <c r="AU50" s="147">
        <v>7.86</v>
      </c>
      <c r="AV50" s="147">
        <v>12.4974</v>
      </c>
      <c r="AW50" s="147">
        <v>151.3574</v>
      </c>
      <c r="AX50" s="132">
        <v>2470.909555</v>
      </c>
      <c r="AY50" s="123"/>
    </row>
    <row r="51" ht="54" spans="1:51">
      <c r="A51" s="133">
        <v>44</v>
      </c>
      <c r="B51" s="134" t="s">
        <v>99</v>
      </c>
      <c r="C51" s="134" t="s">
        <v>126</v>
      </c>
      <c r="D51" s="134" t="s">
        <v>73</v>
      </c>
      <c r="E51" s="134">
        <f>147.6/2</f>
        <v>73.8</v>
      </c>
      <c r="F51" s="132">
        <v>80</v>
      </c>
      <c r="G51" s="132">
        <f t="shared" si="28"/>
        <v>142.8</v>
      </c>
      <c r="H51" s="132">
        <v>136</v>
      </c>
      <c r="I51" s="141">
        <v>0.05</v>
      </c>
      <c r="J51" s="132">
        <v>87</v>
      </c>
      <c r="K51" s="132">
        <f t="shared" si="24"/>
        <v>18.588</v>
      </c>
      <c r="L51" s="132">
        <f t="shared" si="25"/>
        <v>29.55492</v>
      </c>
      <c r="M51" s="132">
        <f t="shared" si="26"/>
        <v>357.94292</v>
      </c>
      <c r="N51" s="132">
        <f t="shared" si="27"/>
        <v>26416.187496</v>
      </c>
      <c r="O51" s="132">
        <v>94.6</v>
      </c>
      <c r="P51" s="132">
        <v>162.54</v>
      </c>
      <c r="Q51" s="132">
        <v>154.8</v>
      </c>
      <c r="R51" s="132">
        <v>0.05</v>
      </c>
      <c r="S51" s="132">
        <v>82.56</v>
      </c>
      <c r="T51" s="132">
        <v>20.382</v>
      </c>
      <c r="U51" s="132">
        <v>32.40738</v>
      </c>
      <c r="V51" s="145">
        <v>392.48938</v>
      </c>
      <c r="W51" s="132">
        <v>28965.716244</v>
      </c>
      <c r="X51" s="147">
        <v>100</v>
      </c>
      <c r="Y51" s="147">
        <v>121</v>
      </c>
      <c r="Z51" s="147">
        <v>75</v>
      </c>
      <c r="AA51" s="141">
        <v>0.1</v>
      </c>
      <c r="AB51" s="147">
        <v>65</v>
      </c>
      <c r="AC51" s="147">
        <v>37.18</v>
      </c>
      <c r="AD51" s="147">
        <v>29.0862</v>
      </c>
      <c r="AE51" s="153">
        <v>352.2662</v>
      </c>
      <c r="AF51" s="132">
        <v>25997.24556</v>
      </c>
      <c r="AG51" s="147">
        <v>107.325</v>
      </c>
      <c r="AH51" s="147">
        <v>235.088495575221</v>
      </c>
      <c r="AI51" s="147">
        <v>223.893805309735</v>
      </c>
      <c r="AJ51" s="141">
        <v>0.05</v>
      </c>
      <c r="AK51" s="147">
        <v>103.12068051932</v>
      </c>
      <c r="AL51" s="147">
        <v>37.870404968036</v>
      </c>
      <c r="AM51" s="147">
        <v>43.5064122956319</v>
      </c>
      <c r="AN51" s="153">
        <v>526.910993358209</v>
      </c>
      <c r="AO51" s="132">
        <v>38886.0313098358</v>
      </c>
      <c r="AP51" s="147">
        <v>45</v>
      </c>
      <c r="AQ51" s="147">
        <v>66</v>
      </c>
      <c r="AR51" s="147">
        <v>60</v>
      </c>
      <c r="AS51" s="141">
        <v>0.1</v>
      </c>
      <c r="AT51" s="147">
        <v>20</v>
      </c>
      <c r="AU51" s="147">
        <v>7.86</v>
      </c>
      <c r="AV51" s="147">
        <v>12.4974</v>
      </c>
      <c r="AW51" s="147">
        <v>151.3574</v>
      </c>
      <c r="AX51" s="132">
        <v>11170.17612</v>
      </c>
      <c r="AY51" s="123"/>
    </row>
    <row r="52" ht="54" spans="1:51">
      <c r="A52" s="133">
        <v>45</v>
      </c>
      <c r="B52" s="134" t="s">
        <v>99</v>
      </c>
      <c r="C52" s="134" t="s">
        <v>127</v>
      </c>
      <c r="D52" s="134" t="s">
        <v>73</v>
      </c>
      <c r="E52" s="134">
        <f>72.21/2</f>
        <v>36.105</v>
      </c>
      <c r="F52" s="132">
        <v>80</v>
      </c>
      <c r="G52" s="132">
        <f t="shared" si="28"/>
        <v>142.8</v>
      </c>
      <c r="H52" s="132">
        <v>136</v>
      </c>
      <c r="I52" s="141">
        <v>0.05</v>
      </c>
      <c r="J52" s="132">
        <v>87</v>
      </c>
      <c r="K52" s="132">
        <f t="shared" si="24"/>
        <v>18.588</v>
      </c>
      <c r="L52" s="132">
        <f t="shared" si="25"/>
        <v>29.55492</v>
      </c>
      <c r="M52" s="132">
        <f t="shared" si="26"/>
        <v>357.94292</v>
      </c>
      <c r="N52" s="132">
        <f t="shared" si="27"/>
        <v>12923.5291266</v>
      </c>
      <c r="O52" s="132">
        <v>94.6</v>
      </c>
      <c r="P52" s="132">
        <v>162.54</v>
      </c>
      <c r="Q52" s="132">
        <v>154.8</v>
      </c>
      <c r="R52" s="132">
        <v>0.05</v>
      </c>
      <c r="S52" s="132">
        <v>82.56</v>
      </c>
      <c r="T52" s="132">
        <v>20.382</v>
      </c>
      <c r="U52" s="132">
        <v>32.40738</v>
      </c>
      <c r="V52" s="145">
        <v>392.48938</v>
      </c>
      <c r="W52" s="132">
        <v>14170.8290649</v>
      </c>
      <c r="X52" s="148">
        <v>100</v>
      </c>
      <c r="Y52" s="147">
        <v>121</v>
      </c>
      <c r="Z52" s="147">
        <v>110</v>
      </c>
      <c r="AA52" s="141">
        <v>0.1</v>
      </c>
      <c r="AB52" s="147">
        <v>65</v>
      </c>
      <c r="AC52" s="147">
        <v>37.18</v>
      </c>
      <c r="AD52" s="147">
        <v>29.0862</v>
      </c>
      <c r="AE52" s="153">
        <v>352.2662</v>
      </c>
      <c r="AF52" s="132">
        <v>12718.571151</v>
      </c>
      <c r="AG52" s="148">
        <v>107.325</v>
      </c>
      <c r="AH52" s="147">
        <v>235.088495575221</v>
      </c>
      <c r="AI52" s="147">
        <v>223.893805309735</v>
      </c>
      <c r="AJ52" s="141">
        <v>0.05</v>
      </c>
      <c r="AK52" s="147">
        <v>103.12068051932</v>
      </c>
      <c r="AL52" s="147">
        <v>37.870404968036</v>
      </c>
      <c r="AM52" s="147">
        <v>43.5064122956319</v>
      </c>
      <c r="AN52" s="153">
        <v>526.910993358209</v>
      </c>
      <c r="AO52" s="132">
        <v>19024.1214151981</v>
      </c>
      <c r="AP52" s="147">
        <v>45</v>
      </c>
      <c r="AQ52" s="147">
        <v>66</v>
      </c>
      <c r="AR52" s="147">
        <v>60</v>
      </c>
      <c r="AS52" s="141">
        <v>0.1</v>
      </c>
      <c r="AT52" s="147">
        <v>20</v>
      </c>
      <c r="AU52" s="147">
        <v>7.86</v>
      </c>
      <c r="AV52" s="147">
        <v>12.4974</v>
      </c>
      <c r="AW52" s="147">
        <v>151.3574</v>
      </c>
      <c r="AX52" s="132">
        <v>5464.758927</v>
      </c>
      <c r="AY52" s="123"/>
    </row>
    <row r="53" ht="54" spans="1:51">
      <c r="A53" s="133">
        <v>46</v>
      </c>
      <c r="B53" s="137" t="s">
        <v>99</v>
      </c>
      <c r="C53" s="137" t="s">
        <v>128</v>
      </c>
      <c r="D53" s="137" t="s">
        <v>73</v>
      </c>
      <c r="E53" s="137">
        <f>153.89/2</f>
        <v>76.945</v>
      </c>
      <c r="F53" s="132">
        <v>75</v>
      </c>
      <c r="G53" s="135">
        <f t="shared" si="28"/>
        <v>121.8</v>
      </c>
      <c r="H53" s="132">
        <v>116</v>
      </c>
      <c r="I53" s="141">
        <v>0.05</v>
      </c>
      <c r="J53" s="132">
        <v>87</v>
      </c>
      <c r="K53" s="132">
        <f t="shared" si="24"/>
        <v>17.028</v>
      </c>
      <c r="L53" s="132">
        <f t="shared" si="25"/>
        <v>27.07452</v>
      </c>
      <c r="M53" s="132">
        <f t="shared" si="26"/>
        <v>327.90252</v>
      </c>
      <c r="N53" s="132">
        <f t="shared" si="27"/>
        <v>25230.4594014</v>
      </c>
      <c r="O53" s="132">
        <v>94.6</v>
      </c>
      <c r="P53" s="132">
        <v>162.54</v>
      </c>
      <c r="Q53" s="132">
        <v>154.8</v>
      </c>
      <c r="R53" s="132">
        <v>0.05</v>
      </c>
      <c r="S53" s="132">
        <v>82.56</v>
      </c>
      <c r="T53" s="132">
        <v>20.382</v>
      </c>
      <c r="U53" s="132">
        <v>32.40738</v>
      </c>
      <c r="V53" s="145">
        <v>392.48938</v>
      </c>
      <c r="W53" s="132">
        <v>30200.0953441</v>
      </c>
      <c r="X53" s="149">
        <v>100</v>
      </c>
      <c r="Y53" s="151">
        <v>82.5</v>
      </c>
      <c r="Z53" s="151">
        <v>75</v>
      </c>
      <c r="AA53" s="144">
        <v>0.1</v>
      </c>
      <c r="AB53" s="151">
        <v>65</v>
      </c>
      <c r="AC53" s="147">
        <v>32.175</v>
      </c>
      <c r="AD53" s="147">
        <v>25.17075</v>
      </c>
      <c r="AE53" s="147">
        <v>304.84575</v>
      </c>
      <c r="AF53" s="132">
        <v>23456.35623375</v>
      </c>
      <c r="AG53" s="149">
        <v>107.325</v>
      </c>
      <c r="AH53" s="151">
        <v>235.088495575221</v>
      </c>
      <c r="AI53" s="151">
        <v>223.893805309735</v>
      </c>
      <c r="AJ53" s="144">
        <v>0.05</v>
      </c>
      <c r="AK53" s="151">
        <v>103.12068051932</v>
      </c>
      <c r="AL53" s="147">
        <v>37.870404968036</v>
      </c>
      <c r="AM53" s="147">
        <v>43.5064122956319</v>
      </c>
      <c r="AN53" s="153">
        <v>526.910993358209</v>
      </c>
      <c r="AO53" s="132">
        <v>40543.1663839474</v>
      </c>
      <c r="AP53" s="147">
        <v>45</v>
      </c>
      <c r="AQ53" s="156">
        <v>66</v>
      </c>
      <c r="AR53" s="147">
        <v>60</v>
      </c>
      <c r="AS53" s="157">
        <v>0.1</v>
      </c>
      <c r="AT53" s="147">
        <v>20</v>
      </c>
      <c r="AU53" s="147">
        <v>7.86</v>
      </c>
      <c r="AV53" s="147">
        <v>12.4974</v>
      </c>
      <c r="AW53" s="147">
        <v>151.3574</v>
      </c>
      <c r="AX53" s="132">
        <v>11646.195143</v>
      </c>
      <c r="AY53" s="123"/>
    </row>
    <row r="54" ht="54" spans="1:51">
      <c r="A54" s="133">
        <v>47</v>
      </c>
      <c r="B54" s="134" t="s">
        <v>99</v>
      </c>
      <c r="C54" s="134" t="s">
        <v>103</v>
      </c>
      <c r="D54" s="134" t="s">
        <v>73</v>
      </c>
      <c r="E54" s="134">
        <f>32.2/2</f>
        <v>16.1</v>
      </c>
      <c r="F54" s="132">
        <v>75</v>
      </c>
      <c r="G54" s="132">
        <f t="shared" si="28"/>
        <v>121.8</v>
      </c>
      <c r="H54" s="132">
        <v>116</v>
      </c>
      <c r="I54" s="141">
        <v>0.05</v>
      </c>
      <c r="J54" s="132">
        <v>87</v>
      </c>
      <c r="K54" s="132">
        <f t="shared" si="24"/>
        <v>17.028</v>
      </c>
      <c r="L54" s="132">
        <f t="shared" si="25"/>
        <v>27.07452</v>
      </c>
      <c r="M54" s="132">
        <f t="shared" si="26"/>
        <v>327.90252</v>
      </c>
      <c r="N54" s="132">
        <f t="shared" si="27"/>
        <v>5279.230572</v>
      </c>
      <c r="O54" s="132">
        <v>94.6</v>
      </c>
      <c r="P54" s="132">
        <v>212.205</v>
      </c>
      <c r="Q54" s="132">
        <v>202.1</v>
      </c>
      <c r="R54" s="132">
        <v>0.05</v>
      </c>
      <c r="S54" s="132">
        <v>82.56</v>
      </c>
      <c r="T54" s="132">
        <v>23.3619</v>
      </c>
      <c r="U54" s="132">
        <v>37.145421</v>
      </c>
      <c r="V54" s="145">
        <v>449.872321</v>
      </c>
      <c r="W54" s="132">
        <v>7242.9443681</v>
      </c>
      <c r="X54" s="147">
        <v>100</v>
      </c>
      <c r="Y54" s="147">
        <v>82.5</v>
      </c>
      <c r="Z54" s="147">
        <v>75</v>
      </c>
      <c r="AA54" s="141">
        <v>0.1</v>
      </c>
      <c r="AB54" s="147">
        <v>65</v>
      </c>
      <c r="AC54" s="147">
        <v>32.175</v>
      </c>
      <c r="AD54" s="147">
        <v>25.17075</v>
      </c>
      <c r="AE54" s="147">
        <v>304.84575</v>
      </c>
      <c r="AF54" s="132">
        <v>4908.016575</v>
      </c>
      <c r="AG54" s="147">
        <v>107.325</v>
      </c>
      <c r="AH54" s="147">
        <v>235.088495575221</v>
      </c>
      <c r="AI54" s="147">
        <v>223.893805309735</v>
      </c>
      <c r="AJ54" s="141">
        <v>0.05</v>
      </c>
      <c r="AK54" s="147">
        <v>103.12068051932</v>
      </c>
      <c r="AL54" s="147">
        <v>37.870404968036</v>
      </c>
      <c r="AM54" s="147">
        <v>43.5064122956319</v>
      </c>
      <c r="AN54" s="153">
        <v>526.910993358209</v>
      </c>
      <c r="AO54" s="132">
        <v>8483.26699306717</v>
      </c>
      <c r="AP54" s="147">
        <v>85</v>
      </c>
      <c r="AQ54" s="147">
        <v>288.4</v>
      </c>
      <c r="AR54" s="147">
        <v>280</v>
      </c>
      <c r="AS54" s="141">
        <v>0.03</v>
      </c>
      <c r="AT54" s="147">
        <v>45</v>
      </c>
      <c r="AU54" s="147">
        <v>25.104</v>
      </c>
      <c r="AV54" s="147">
        <v>39.91536</v>
      </c>
      <c r="AW54" s="153">
        <v>483.41936</v>
      </c>
      <c r="AX54" s="132">
        <v>7783.051696</v>
      </c>
      <c r="AY54" s="123"/>
    </row>
    <row r="55" ht="54" spans="1:51">
      <c r="A55" s="133">
        <v>48</v>
      </c>
      <c r="B55" s="134" t="s">
        <v>99</v>
      </c>
      <c r="C55" s="134" t="s">
        <v>100</v>
      </c>
      <c r="D55" s="134" t="s">
        <v>73</v>
      </c>
      <c r="E55" s="134">
        <f>8.76/2</f>
        <v>4.38</v>
      </c>
      <c r="F55" s="132">
        <v>70</v>
      </c>
      <c r="G55" s="132">
        <f t="shared" si="28"/>
        <v>78.75</v>
      </c>
      <c r="H55" s="132">
        <v>75</v>
      </c>
      <c r="I55" s="141">
        <v>0.05</v>
      </c>
      <c r="J55" s="132">
        <v>47</v>
      </c>
      <c r="K55" s="132">
        <f t="shared" si="24"/>
        <v>11.745</v>
      </c>
      <c r="L55" s="132">
        <f t="shared" si="25"/>
        <v>18.67455</v>
      </c>
      <c r="M55" s="132">
        <f t="shared" si="26"/>
        <v>226.16955</v>
      </c>
      <c r="N55" s="132">
        <f t="shared" si="27"/>
        <v>990.622629</v>
      </c>
      <c r="O55" s="132">
        <v>81.7</v>
      </c>
      <c r="P55" s="132">
        <v>194.145</v>
      </c>
      <c r="Q55" s="132">
        <v>184.9</v>
      </c>
      <c r="R55" s="132">
        <v>0.05</v>
      </c>
      <c r="S55" s="132">
        <v>51.6</v>
      </c>
      <c r="T55" s="132">
        <v>19.6467</v>
      </c>
      <c r="U55" s="132">
        <v>31.238253</v>
      </c>
      <c r="V55" s="132">
        <v>378.329953</v>
      </c>
      <c r="W55" s="132">
        <v>1657.08519414</v>
      </c>
      <c r="X55" s="147">
        <v>120</v>
      </c>
      <c r="Y55" s="147">
        <v>330</v>
      </c>
      <c r="Z55" s="147">
        <v>300</v>
      </c>
      <c r="AA55" s="141">
        <v>0.1</v>
      </c>
      <c r="AB55" s="147">
        <v>65</v>
      </c>
      <c r="AC55" s="147">
        <v>66.95</v>
      </c>
      <c r="AD55" s="147">
        <v>52.3755</v>
      </c>
      <c r="AE55" s="153">
        <v>634.3255</v>
      </c>
      <c r="AF55" s="132">
        <v>2778.34569</v>
      </c>
      <c r="AG55" s="147">
        <v>112.05</v>
      </c>
      <c r="AH55" s="147">
        <v>261.45</v>
      </c>
      <c r="AI55" s="147">
        <v>249</v>
      </c>
      <c r="AJ55" s="141">
        <v>0.05</v>
      </c>
      <c r="AK55" s="147">
        <v>81.2160697595327</v>
      </c>
      <c r="AL55" s="147">
        <v>38.6508659295603</v>
      </c>
      <c r="AM55" s="147">
        <v>44.4030242120184</v>
      </c>
      <c r="AN55" s="153">
        <v>537.769959901111</v>
      </c>
      <c r="AO55" s="132">
        <v>2355.43242436687</v>
      </c>
      <c r="AP55" s="147">
        <v>85</v>
      </c>
      <c r="AQ55" s="147">
        <v>288.4</v>
      </c>
      <c r="AR55" s="147">
        <v>280</v>
      </c>
      <c r="AS55" s="141">
        <v>0.03</v>
      </c>
      <c r="AT55" s="147">
        <v>53</v>
      </c>
      <c r="AU55" s="147">
        <v>25.584</v>
      </c>
      <c r="AV55" s="147">
        <v>40.67856</v>
      </c>
      <c r="AW55" s="153">
        <v>492.66256</v>
      </c>
      <c r="AX55" s="132">
        <v>2157.8620128</v>
      </c>
      <c r="AY55" s="123"/>
    </row>
    <row r="56" ht="21.6" spans="1:51">
      <c r="A56" s="133">
        <v>49</v>
      </c>
      <c r="B56" s="134" t="s">
        <v>129</v>
      </c>
      <c r="C56" s="134" t="s">
        <v>130</v>
      </c>
      <c r="D56" s="134" t="s">
        <v>88</v>
      </c>
      <c r="E56" s="134">
        <v>12</v>
      </c>
      <c r="F56" s="132">
        <v>60</v>
      </c>
      <c r="G56" s="132">
        <f t="shared" si="28"/>
        <v>685</v>
      </c>
      <c r="H56" s="132">
        <v>685</v>
      </c>
      <c r="I56" s="141"/>
      <c r="J56" s="132">
        <v>15</v>
      </c>
      <c r="K56" s="132">
        <f t="shared" si="24"/>
        <v>45.6</v>
      </c>
      <c r="L56" s="132">
        <f t="shared" si="25"/>
        <v>72.504</v>
      </c>
      <c r="M56" s="145">
        <f t="shared" si="26"/>
        <v>878.104</v>
      </c>
      <c r="N56" s="132">
        <f t="shared" si="27"/>
        <v>10537.248</v>
      </c>
      <c r="O56" s="132">
        <v>120.4</v>
      </c>
      <c r="P56" s="132">
        <v>394.74</v>
      </c>
      <c r="Q56" s="132">
        <v>387</v>
      </c>
      <c r="R56" s="132">
        <v>0.02</v>
      </c>
      <c r="S56" s="132">
        <v>21.5</v>
      </c>
      <c r="T56" s="132">
        <v>32.1984</v>
      </c>
      <c r="U56" s="132">
        <v>51.195456</v>
      </c>
      <c r="V56" s="132">
        <v>620.033856</v>
      </c>
      <c r="W56" s="132">
        <v>7440.406272</v>
      </c>
      <c r="X56" s="147">
        <v>0</v>
      </c>
      <c r="Y56" s="147">
        <v>650</v>
      </c>
      <c r="Z56" s="147">
        <v>600</v>
      </c>
      <c r="AA56" s="141"/>
      <c r="AB56" s="147">
        <v>0</v>
      </c>
      <c r="AC56" s="147">
        <v>84.5</v>
      </c>
      <c r="AD56" s="147">
        <v>66.105</v>
      </c>
      <c r="AE56" s="147">
        <v>800.605</v>
      </c>
      <c r="AF56" s="132">
        <v>9607.26</v>
      </c>
      <c r="AG56" s="147">
        <v>81</v>
      </c>
      <c r="AH56" s="147">
        <v>77.0907079646018</v>
      </c>
      <c r="AI56" s="147">
        <v>76.3274336283186</v>
      </c>
      <c r="AJ56" s="141">
        <v>0.01</v>
      </c>
      <c r="AK56" s="147">
        <v>7</v>
      </c>
      <c r="AL56" s="147">
        <v>14.0327101769912</v>
      </c>
      <c r="AM56" s="147">
        <v>16.1211076327434</v>
      </c>
      <c r="AN56" s="147">
        <v>195.244525774336</v>
      </c>
      <c r="AO56" s="132">
        <v>2342.93430929204</v>
      </c>
      <c r="AP56" s="147">
        <v>45</v>
      </c>
      <c r="AQ56" s="147">
        <v>600</v>
      </c>
      <c r="AR56" s="147">
        <v>600</v>
      </c>
      <c r="AS56" s="141">
        <v>0</v>
      </c>
      <c r="AT56" s="147">
        <v>5</v>
      </c>
      <c r="AU56" s="147">
        <v>39</v>
      </c>
      <c r="AV56" s="147">
        <v>62.01</v>
      </c>
      <c r="AW56" s="147">
        <v>751.01</v>
      </c>
      <c r="AX56" s="132">
        <v>9012.12</v>
      </c>
      <c r="AY56" s="123"/>
    </row>
    <row r="57" ht="32.4" spans="1:51">
      <c r="A57" s="133">
        <v>50</v>
      </c>
      <c r="B57" s="137" t="s">
        <v>104</v>
      </c>
      <c r="C57" s="136" t="s">
        <v>105</v>
      </c>
      <c r="D57" s="137" t="s">
        <v>88</v>
      </c>
      <c r="E57" s="137">
        <f>552/46/2</f>
        <v>6</v>
      </c>
      <c r="F57" s="132">
        <v>40</v>
      </c>
      <c r="G57" s="132">
        <f t="shared" ref="G57:G59" si="29">H57*(1+I57)</f>
        <v>325</v>
      </c>
      <c r="H57" s="132">
        <v>325</v>
      </c>
      <c r="I57" s="141"/>
      <c r="J57" s="132">
        <v>10</v>
      </c>
      <c r="K57" s="132">
        <f t="shared" si="24"/>
        <v>22.5</v>
      </c>
      <c r="L57" s="132">
        <f t="shared" si="25"/>
        <v>35.775</v>
      </c>
      <c r="M57" s="145">
        <f t="shared" si="26"/>
        <v>433.275</v>
      </c>
      <c r="N57" s="132">
        <f t="shared" si="27"/>
        <v>2599.65</v>
      </c>
      <c r="O57" s="132">
        <v>34.4</v>
      </c>
      <c r="P57" s="132">
        <v>108.36</v>
      </c>
      <c r="Q57" s="132">
        <v>108.36</v>
      </c>
      <c r="R57" s="132"/>
      <c r="S57" s="132">
        <v>17.2</v>
      </c>
      <c r="T57" s="132">
        <v>9.5976</v>
      </c>
      <c r="U57" s="132">
        <v>15.260184</v>
      </c>
      <c r="V57" s="132">
        <v>184.817784</v>
      </c>
      <c r="W57" s="132">
        <v>1108.906704</v>
      </c>
      <c r="X57" s="147">
        <v>0</v>
      </c>
      <c r="Y57" s="151">
        <v>300</v>
      </c>
      <c r="Z57" s="147">
        <v>300</v>
      </c>
      <c r="AA57" s="141"/>
      <c r="AB57" s="151">
        <v>0</v>
      </c>
      <c r="AC57" s="147">
        <v>39</v>
      </c>
      <c r="AD57" s="147">
        <v>30.51</v>
      </c>
      <c r="AE57" s="147">
        <v>369.51</v>
      </c>
      <c r="AF57" s="132">
        <v>2217.06</v>
      </c>
      <c r="AG57" s="147">
        <v>33.75</v>
      </c>
      <c r="AH57" s="151">
        <v>185.84</v>
      </c>
      <c r="AI57" s="147">
        <v>184</v>
      </c>
      <c r="AJ57" s="141">
        <v>0.01</v>
      </c>
      <c r="AK57" s="151">
        <v>3.5</v>
      </c>
      <c r="AL57" s="147">
        <v>18.96265</v>
      </c>
      <c r="AM57" s="147">
        <v>21.7847385</v>
      </c>
      <c r="AN57" s="147">
        <v>263.8373885</v>
      </c>
      <c r="AO57" s="132">
        <v>1583.024331</v>
      </c>
      <c r="AP57" s="147">
        <v>30</v>
      </c>
      <c r="AQ57" s="156">
        <v>120</v>
      </c>
      <c r="AR57" s="147">
        <v>120</v>
      </c>
      <c r="AS57" s="141">
        <v>0</v>
      </c>
      <c r="AT57" s="156">
        <v>20</v>
      </c>
      <c r="AU57" s="147">
        <v>10.2</v>
      </c>
      <c r="AV57" s="147">
        <v>16.218</v>
      </c>
      <c r="AW57" s="147">
        <v>196.418</v>
      </c>
      <c r="AX57" s="132">
        <v>1178.508</v>
      </c>
      <c r="AY57" s="123"/>
    </row>
    <row r="58" ht="32.4" spans="1:51">
      <c r="A58" s="133">
        <v>51</v>
      </c>
      <c r="B58" s="137" t="s">
        <v>104</v>
      </c>
      <c r="C58" s="136" t="s">
        <v>106</v>
      </c>
      <c r="D58" s="137" t="s">
        <v>88</v>
      </c>
      <c r="E58" s="137">
        <v>1</v>
      </c>
      <c r="F58" s="132">
        <v>40</v>
      </c>
      <c r="G58" s="132">
        <f t="shared" si="29"/>
        <v>536</v>
      </c>
      <c r="H58" s="132">
        <v>536</v>
      </c>
      <c r="I58" s="141"/>
      <c r="J58" s="132">
        <v>12</v>
      </c>
      <c r="K58" s="132">
        <f t="shared" si="24"/>
        <v>35.28</v>
      </c>
      <c r="L58" s="132">
        <f t="shared" si="25"/>
        <v>56.0952</v>
      </c>
      <c r="M58" s="145">
        <f t="shared" si="26"/>
        <v>679.3752</v>
      </c>
      <c r="N58" s="132">
        <f t="shared" si="27"/>
        <v>679.3752</v>
      </c>
      <c r="O58" s="132">
        <v>34.4</v>
      </c>
      <c r="P58" s="132">
        <v>288.96</v>
      </c>
      <c r="Q58" s="132">
        <v>288.96</v>
      </c>
      <c r="R58" s="132"/>
      <c r="S58" s="132">
        <v>18.92</v>
      </c>
      <c r="T58" s="132">
        <v>20.5368</v>
      </c>
      <c r="U58" s="132">
        <v>32.653512</v>
      </c>
      <c r="V58" s="132">
        <v>395.470312</v>
      </c>
      <c r="W58" s="132">
        <v>395.470312</v>
      </c>
      <c r="X58" s="147">
        <v>0</v>
      </c>
      <c r="Y58" s="151">
        <v>500</v>
      </c>
      <c r="Z58" s="151">
        <v>500</v>
      </c>
      <c r="AA58" s="144"/>
      <c r="AB58" s="151">
        <v>0</v>
      </c>
      <c r="AC58" s="147">
        <v>65</v>
      </c>
      <c r="AD58" s="147">
        <v>50.85</v>
      </c>
      <c r="AE58" s="147">
        <v>615.85</v>
      </c>
      <c r="AF58" s="132">
        <v>615.85</v>
      </c>
      <c r="AG58" s="147">
        <v>33.75</v>
      </c>
      <c r="AH58" s="151">
        <v>743.36</v>
      </c>
      <c r="AI58" s="151">
        <v>736</v>
      </c>
      <c r="AJ58" s="144">
        <v>0.01</v>
      </c>
      <c r="AK58" s="151">
        <v>3.5</v>
      </c>
      <c r="AL58" s="147">
        <v>66.35185</v>
      </c>
      <c r="AM58" s="147">
        <v>76.2265665</v>
      </c>
      <c r="AN58" s="153">
        <v>923.1884165</v>
      </c>
      <c r="AO58" s="132">
        <v>923.1884165</v>
      </c>
      <c r="AP58" s="147">
        <v>60</v>
      </c>
      <c r="AQ58" s="156">
        <v>300</v>
      </c>
      <c r="AR58" s="156">
        <v>300</v>
      </c>
      <c r="AS58" s="157">
        <v>0</v>
      </c>
      <c r="AT58" s="156">
        <v>20</v>
      </c>
      <c r="AU58" s="147">
        <v>22.8</v>
      </c>
      <c r="AV58" s="147">
        <v>36.252</v>
      </c>
      <c r="AW58" s="147">
        <v>439.052</v>
      </c>
      <c r="AX58" s="132">
        <v>439.052</v>
      </c>
      <c r="AY58" s="123"/>
    </row>
    <row r="59" ht="32.4" spans="1:51">
      <c r="A59" s="133">
        <v>52</v>
      </c>
      <c r="B59" s="134" t="s">
        <v>107</v>
      </c>
      <c r="C59" s="134" t="s">
        <v>108</v>
      </c>
      <c r="D59" s="134" t="s">
        <v>73</v>
      </c>
      <c r="E59" s="134">
        <f>5.08/2</f>
        <v>2.54</v>
      </c>
      <c r="F59" s="132">
        <v>250</v>
      </c>
      <c r="G59" s="132">
        <f t="shared" si="29"/>
        <v>403.2</v>
      </c>
      <c r="H59" s="132">
        <v>384</v>
      </c>
      <c r="I59" s="141">
        <v>0.05</v>
      </c>
      <c r="J59" s="132">
        <v>75</v>
      </c>
      <c r="K59" s="132">
        <f t="shared" si="24"/>
        <v>43.692</v>
      </c>
      <c r="L59" s="132">
        <f t="shared" si="25"/>
        <v>69.47028</v>
      </c>
      <c r="M59" s="145">
        <f t="shared" si="26"/>
        <v>841.36228</v>
      </c>
      <c r="N59" s="132">
        <f t="shared" si="27"/>
        <v>2137.0601912</v>
      </c>
      <c r="O59" s="132">
        <v>387</v>
      </c>
      <c r="P59" s="132">
        <v>252.84</v>
      </c>
      <c r="Q59" s="132">
        <v>240.8</v>
      </c>
      <c r="R59" s="132">
        <v>0.05</v>
      </c>
      <c r="S59" s="132">
        <v>39.56</v>
      </c>
      <c r="T59" s="132">
        <v>40.764</v>
      </c>
      <c r="U59" s="132">
        <v>64.81476</v>
      </c>
      <c r="V59" s="132">
        <v>784.97876</v>
      </c>
      <c r="W59" s="132">
        <v>1993.8460504</v>
      </c>
      <c r="X59" s="147">
        <v>140</v>
      </c>
      <c r="Y59" s="147">
        <v>378</v>
      </c>
      <c r="Z59" s="147">
        <v>360</v>
      </c>
      <c r="AA59" s="141">
        <v>0.05</v>
      </c>
      <c r="AB59" s="147">
        <v>100</v>
      </c>
      <c r="AC59" s="147">
        <v>80.34</v>
      </c>
      <c r="AD59" s="147">
        <v>62.8506</v>
      </c>
      <c r="AE59" s="147">
        <v>761.1906</v>
      </c>
      <c r="AF59" s="132">
        <v>1933.424124</v>
      </c>
      <c r="AG59" s="147">
        <v>534.6</v>
      </c>
      <c r="AH59" s="147">
        <v>658.35</v>
      </c>
      <c r="AI59" s="147">
        <v>627</v>
      </c>
      <c r="AJ59" s="141">
        <v>0.05</v>
      </c>
      <c r="AK59" s="147">
        <v>193.376654267932</v>
      </c>
      <c r="AL59" s="147">
        <v>117.837765612774</v>
      </c>
      <c r="AM59" s="147">
        <v>135.374797789264</v>
      </c>
      <c r="AN59" s="153">
        <v>1639.53921766997</v>
      </c>
      <c r="AO59" s="132">
        <v>4164.42961288172</v>
      </c>
      <c r="AP59" s="147">
        <v>279.069767441861</v>
      </c>
      <c r="AQ59" s="156">
        <v>391.4</v>
      </c>
      <c r="AR59" s="147">
        <v>380</v>
      </c>
      <c r="AS59" s="147">
        <v>0.03</v>
      </c>
      <c r="AT59" s="147">
        <v>45</v>
      </c>
      <c r="AU59" s="147">
        <v>42.9281860465117</v>
      </c>
      <c r="AV59" s="147">
        <v>68.2558158139535</v>
      </c>
      <c r="AW59" s="153">
        <v>826.653769302326</v>
      </c>
      <c r="AX59" s="132">
        <v>2099.70057402791</v>
      </c>
      <c r="AY59" s="123"/>
    </row>
    <row r="60" ht="16.15" customHeight="1" spans="1:50">
      <c r="A60" s="131"/>
      <c r="B60" s="134"/>
      <c r="C60" s="138" t="s">
        <v>131</v>
      </c>
      <c r="D60" s="134"/>
      <c r="E60" s="134"/>
      <c r="F60" s="132"/>
      <c r="G60" s="132"/>
      <c r="H60" s="132"/>
      <c r="I60" s="141"/>
      <c r="J60" s="132"/>
      <c r="K60" s="132"/>
      <c r="L60" s="132"/>
      <c r="M60" s="132"/>
      <c r="N60" s="140">
        <f>N6+N36</f>
        <v>636622.4072088</v>
      </c>
      <c r="O60" s="140"/>
      <c r="P60" s="140"/>
      <c r="Q60" s="140"/>
      <c r="R60" s="140"/>
      <c r="S60" s="140"/>
      <c r="T60" s="140"/>
      <c r="U60" s="140"/>
      <c r="V60" s="140"/>
      <c r="W60" s="140">
        <v>673695.085735978</v>
      </c>
      <c r="X60" s="134"/>
      <c r="Y60" s="134"/>
      <c r="Z60" s="134"/>
      <c r="AA60" s="155"/>
      <c r="AB60" s="134"/>
      <c r="AC60" s="134"/>
      <c r="AD60" s="134"/>
      <c r="AE60" s="134"/>
      <c r="AF60" s="140">
        <v>788415.969780938</v>
      </c>
      <c r="AG60" s="134"/>
      <c r="AH60" s="134"/>
      <c r="AI60" s="134"/>
      <c r="AJ60" s="155"/>
      <c r="AK60" s="134"/>
      <c r="AL60" s="134"/>
      <c r="AM60" s="134"/>
      <c r="AN60" s="134"/>
      <c r="AO60" s="140">
        <v>863931.829997395</v>
      </c>
      <c r="AP60" s="147"/>
      <c r="AQ60" s="156"/>
      <c r="AR60" s="147"/>
      <c r="AS60" s="147"/>
      <c r="AT60" s="147"/>
      <c r="AU60" s="134"/>
      <c r="AV60" s="134"/>
      <c r="AW60" s="134"/>
      <c r="AX60" s="140">
        <f>AX36+AX6</f>
        <v>843639.573673131</v>
      </c>
    </row>
    <row r="61" ht="36" customHeight="1" spans="1:49">
      <c r="A61" s="82" t="s">
        <v>132</v>
      </c>
      <c r="B61" s="83" t="s">
        <v>133</v>
      </c>
      <c r="C61" s="83"/>
      <c r="D61" s="83"/>
      <c r="E61" s="83"/>
      <c r="F61" s="83"/>
      <c r="G61" s="83"/>
      <c r="H61" s="83"/>
      <c r="I61" s="146"/>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row>
    <row r="68" spans="3:3">
      <c r="C68" s="158"/>
    </row>
  </sheetData>
  <sheetProtection formatCells="0" formatColumns="0" formatRows="0" insertRows="0" insertColumns="0" insertHyperlinks="0" deleteColumns="0" deleteRows="0" sort="0" autoFilter="0" pivotTables="0"/>
  <autoFilter ref="A5:AW61">
    <extLst/>
  </autoFilter>
  <mergeCells count="37">
    <mergeCell ref="A1:AW1"/>
    <mergeCell ref="F2:N2"/>
    <mergeCell ref="O2:W2"/>
    <mergeCell ref="X2:AF2"/>
    <mergeCell ref="AG2:AO2"/>
    <mergeCell ref="AP2:AX2"/>
    <mergeCell ref="F3:L3"/>
    <mergeCell ref="O3:U3"/>
    <mergeCell ref="X3:AD3"/>
    <mergeCell ref="AG3:AM3"/>
    <mergeCell ref="AP3:AV3"/>
    <mergeCell ref="B61:AW61"/>
    <mergeCell ref="A3:A5"/>
    <mergeCell ref="B3:B5"/>
    <mergeCell ref="C3:C5"/>
    <mergeCell ref="D3:D5"/>
    <mergeCell ref="E3:E5"/>
    <mergeCell ref="F4:F5"/>
    <mergeCell ref="J4:J5"/>
    <mergeCell ref="M3:M5"/>
    <mergeCell ref="N3:N5"/>
    <mergeCell ref="O4:O5"/>
    <mergeCell ref="S4:S5"/>
    <mergeCell ref="V3:V5"/>
    <mergeCell ref="W3:W5"/>
    <mergeCell ref="X4:X5"/>
    <mergeCell ref="AB4:AB5"/>
    <mergeCell ref="AE3:AE5"/>
    <mergeCell ref="AF3:AF5"/>
    <mergeCell ref="AG4:AG5"/>
    <mergeCell ref="AK4:AK5"/>
    <mergeCell ref="AN3:AN5"/>
    <mergeCell ref="AO3:AO5"/>
    <mergeCell ref="AP4:AP5"/>
    <mergeCell ref="AT4:AT5"/>
    <mergeCell ref="AW3:AW5"/>
    <mergeCell ref="AX3:AX5"/>
  </mergeCells>
  <pageMargins left="0.751388888888889" right="0.66875" top="0.786805555555556" bottom="0.66875" header="0.5" footer="0.5"/>
  <pageSetup paperSize="9" scale="1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3888888888889" defaultRowHeight="13.2"/>
  <cols>
    <col min="1" max="1" width="8" style="107" customWidth="1"/>
    <col min="2" max="2" width="27.1388888888889" style="108"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109" t="s">
        <v>134</v>
      </c>
      <c r="B1" s="110"/>
      <c r="C1" s="109"/>
      <c r="D1" s="109"/>
      <c r="E1" s="109"/>
      <c r="F1" s="109"/>
      <c r="G1" s="109"/>
      <c r="I1" s="122" t="s">
        <v>135</v>
      </c>
      <c r="J1" s="110"/>
      <c r="K1" s="109"/>
      <c r="L1" s="109"/>
      <c r="M1" s="109"/>
      <c r="N1" s="109"/>
      <c r="O1" s="109"/>
      <c r="Q1" s="122" t="s">
        <v>136</v>
      </c>
      <c r="R1" s="110"/>
      <c r="S1" s="109"/>
      <c r="T1" s="109"/>
      <c r="U1" s="109"/>
      <c r="V1" s="109"/>
      <c r="W1" s="109"/>
      <c r="Y1" s="122" t="s">
        <v>137</v>
      </c>
      <c r="Z1" s="110"/>
      <c r="AA1" s="109"/>
      <c r="AB1" s="109"/>
      <c r="AC1" s="109"/>
      <c r="AD1" s="109"/>
      <c r="AE1" s="109"/>
    </row>
    <row r="2" s="105" customFormat="1" ht="38.1" customHeight="1" spans="1:31">
      <c r="A2" s="111" t="s">
        <v>53</v>
      </c>
      <c r="B2" s="112" t="s">
        <v>24</v>
      </c>
      <c r="C2" s="111" t="s">
        <v>25</v>
      </c>
      <c r="D2" s="111" t="s">
        <v>138</v>
      </c>
      <c r="E2" s="111" t="s">
        <v>139</v>
      </c>
      <c r="F2" s="111" t="s">
        <v>131</v>
      </c>
      <c r="G2" s="111" t="s">
        <v>140</v>
      </c>
      <c r="I2" s="111" t="s">
        <v>53</v>
      </c>
      <c r="J2" s="112" t="s">
        <v>24</v>
      </c>
      <c r="K2" s="111" t="s">
        <v>25</v>
      </c>
      <c r="L2" s="111" t="s">
        <v>138</v>
      </c>
      <c r="M2" s="111" t="s">
        <v>139</v>
      </c>
      <c r="N2" s="111" t="s">
        <v>131</v>
      </c>
      <c r="O2" s="111" t="s">
        <v>140</v>
      </c>
      <c r="Q2" s="111" t="s">
        <v>53</v>
      </c>
      <c r="R2" s="112" t="s">
        <v>24</v>
      </c>
      <c r="S2" s="111" t="s">
        <v>25</v>
      </c>
      <c r="T2" s="111" t="s">
        <v>138</v>
      </c>
      <c r="U2" s="111" t="s">
        <v>139</v>
      </c>
      <c r="V2" s="111" t="s">
        <v>131</v>
      </c>
      <c r="W2" s="111" t="s">
        <v>140</v>
      </c>
      <c r="Y2" s="111" t="s">
        <v>53</v>
      </c>
      <c r="Z2" s="112" t="s">
        <v>24</v>
      </c>
      <c r="AA2" s="111" t="s">
        <v>25</v>
      </c>
      <c r="AB2" s="111" t="s">
        <v>138</v>
      </c>
      <c r="AC2" s="111" t="s">
        <v>139</v>
      </c>
      <c r="AD2" s="111" t="s">
        <v>131</v>
      </c>
      <c r="AE2" s="111" t="s">
        <v>140</v>
      </c>
    </row>
    <row r="3" s="106" customFormat="1" ht="38.1" customHeight="1" spans="1:31">
      <c r="A3" s="111"/>
      <c r="B3" s="113" t="s">
        <v>141</v>
      </c>
      <c r="C3" s="114"/>
      <c r="D3" s="114"/>
      <c r="E3" s="114"/>
      <c r="F3" s="114"/>
      <c r="G3" s="114"/>
      <c r="I3" s="111"/>
      <c r="J3" s="113" t="s">
        <v>141</v>
      </c>
      <c r="K3" s="114"/>
      <c r="L3" s="114"/>
      <c r="M3" s="114"/>
      <c r="N3" s="114"/>
      <c r="O3" s="114"/>
      <c r="Q3" s="111"/>
      <c r="R3" s="113" t="s">
        <v>141</v>
      </c>
      <c r="S3" s="114"/>
      <c r="T3" s="114"/>
      <c r="U3" s="114"/>
      <c r="V3" s="114"/>
      <c r="W3" s="114"/>
      <c r="Y3" s="111"/>
      <c r="Z3" s="113" t="s">
        <v>141</v>
      </c>
      <c r="AA3" s="114"/>
      <c r="AB3" s="114"/>
      <c r="AC3" s="114"/>
      <c r="AD3" s="114"/>
      <c r="AE3" s="114"/>
    </row>
    <row r="4" ht="48.95" customHeight="1" spans="1:31">
      <c r="A4" s="115">
        <v>1</v>
      </c>
      <c r="B4" s="116" t="s">
        <v>142</v>
      </c>
      <c r="C4" s="117" t="s">
        <v>143</v>
      </c>
      <c r="D4" s="118">
        <v>2</v>
      </c>
      <c r="E4" s="118"/>
      <c r="F4" s="118"/>
      <c r="G4" s="118"/>
      <c r="I4" s="115">
        <v>1</v>
      </c>
      <c r="J4" s="116" t="s">
        <v>142</v>
      </c>
      <c r="K4" s="117" t="s">
        <v>143</v>
      </c>
      <c r="L4" s="118">
        <v>2</v>
      </c>
      <c r="M4" s="118"/>
      <c r="N4" s="118"/>
      <c r="O4" s="118"/>
      <c r="Q4" s="115">
        <v>1</v>
      </c>
      <c r="R4" s="116" t="s">
        <v>142</v>
      </c>
      <c r="S4" s="117" t="s">
        <v>143</v>
      </c>
      <c r="T4" s="118">
        <v>2</v>
      </c>
      <c r="U4" s="118"/>
      <c r="V4" s="118"/>
      <c r="W4" s="118"/>
      <c r="Y4" s="115">
        <v>1</v>
      </c>
      <c r="Z4" s="116" t="s">
        <v>142</v>
      </c>
      <c r="AA4" s="117" t="s">
        <v>143</v>
      </c>
      <c r="AB4" s="118">
        <v>2</v>
      </c>
      <c r="AC4" s="118"/>
      <c r="AD4" s="118"/>
      <c r="AE4" s="118"/>
    </row>
    <row r="5" ht="48.95" customHeight="1" spans="1:31">
      <c r="A5" s="115">
        <v>3</v>
      </c>
      <c r="B5" s="119" t="s">
        <v>144</v>
      </c>
      <c r="C5" s="118" t="s">
        <v>145</v>
      </c>
      <c r="D5" s="118">
        <f>5.17*2</f>
        <v>10.34</v>
      </c>
      <c r="E5" s="118">
        <v>30.62</v>
      </c>
      <c r="F5" s="118">
        <f>E5*D5</f>
        <v>316.6108</v>
      </c>
      <c r="G5" s="118"/>
      <c r="I5" s="115">
        <v>3</v>
      </c>
      <c r="J5" s="119" t="s">
        <v>144</v>
      </c>
      <c r="K5" s="118" t="s">
        <v>145</v>
      </c>
      <c r="L5" s="118">
        <f>5.17*2</f>
        <v>10.34</v>
      </c>
      <c r="M5" s="118">
        <v>30.62</v>
      </c>
      <c r="N5" s="118">
        <f>M5*L5</f>
        <v>316.6108</v>
      </c>
      <c r="O5" s="118"/>
      <c r="Q5" s="115">
        <v>3</v>
      </c>
      <c r="R5" s="119" t="s">
        <v>144</v>
      </c>
      <c r="S5" s="118" t="s">
        <v>145</v>
      </c>
      <c r="T5" s="118">
        <f>5.17*2</f>
        <v>10.34</v>
      </c>
      <c r="U5" s="118">
        <v>30.62</v>
      </c>
      <c r="V5" s="118">
        <f>U5*T5</f>
        <v>316.6108</v>
      </c>
      <c r="W5" s="118"/>
      <c r="Y5" s="115">
        <v>3</v>
      </c>
      <c r="Z5" s="119" t="s">
        <v>144</v>
      </c>
      <c r="AA5" s="118" t="s">
        <v>145</v>
      </c>
      <c r="AB5" s="118">
        <f>5.17*2</f>
        <v>10.34</v>
      </c>
      <c r="AC5" s="118">
        <v>30.62</v>
      </c>
      <c r="AD5" s="118">
        <f>AC5*AB5</f>
        <v>316.6108</v>
      </c>
      <c r="AE5" s="118"/>
    </row>
    <row r="6" ht="48.95" customHeight="1" spans="1:31">
      <c r="A6" s="115">
        <v>4</v>
      </c>
      <c r="B6" s="119" t="s">
        <v>146</v>
      </c>
      <c r="C6" s="118" t="s">
        <v>145</v>
      </c>
      <c r="D6" s="118">
        <f>5.17*8</f>
        <v>41.36</v>
      </c>
      <c r="E6" s="118">
        <v>8</v>
      </c>
      <c r="F6" s="118">
        <f>E6*D6</f>
        <v>330.88</v>
      </c>
      <c r="G6" s="118"/>
      <c r="I6" s="115">
        <v>4</v>
      </c>
      <c r="J6" s="119" t="s">
        <v>146</v>
      </c>
      <c r="K6" s="118" t="s">
        <v>145</v>
      </c>
      <c r="L6" s="118">
        <f>5.17*8</f>
        <v>41.36</v>
      </c>
      <c r="M6" s="118">
        <v>8</v>
      </c>
      <c r="N6" s="118">
        <f>M6*L6</f>
        <v>330.88</v>
      </c>
      <c r="O6" s="118"/>
      <c r="Q6" s="115">
        <v>4</v>
      </c>
      <c r="R6" s="119" t="s">
        <v>146</v>
      </c>
      <c r="S6" s="118" t="s">
        <v>145</v>
      </c>
      <c r="T6" s="118">
        <f>5.17*8</f>
        <v>41.36</v>
      </c>
      <c r="U6" s="118">
        <v>8</v>
      </c>
      <c r="V6" s="118">
        <f>U6*T6</f>
        <v>330.88</v>
      </c>
      <c r="W6" s="118"/>
      <c r="Y6" s="115">
        <v>4</v>
      </c>
      <c r="Z6" s="119" t="s">
        <v>146</v>
      </c>
      <c r="AA6" s="118" t="s">
        <v>145</v>
      </c>
      <c r="AB6" s="118">
        <f>5.17*8</f>
        <v>41.36</v>
      </c>
      <c r="AC6" s="118">
        <v>8</v>
      </c>
      <c r="AD6" s="118">
        <f>AC6*AB6</f>
        <v>330.88</v>
      </c>
      <c r="AE6" s="118"/>
    </row>
    <row r="7" ht="48.95" customHeight="1" spans="1:31">
      <c r="A7" s="115">
        <v>5</v>
      </c>
      <c r="B7" s="119" t="s">
        <v>147</v>
      </c>
      <c r="C7" s="118" t="s">
        <v>145</v>
      </c>
      <c r="D7" s="118">
        <f>(0.575+0.495+0.858+0.11+0.19+0.787+0.148+0.148+0.475+0.675+0.495+0.855)*6</f>
        <v>34.866</v>
      </c>
      <c r="E7" s="118">
        <v>3.06</v>
      </c>
      <c r="F7" s="118">
        <f t="shared" ref="F7:F21" si="0">E7*D7</f>
        <v>106.68996</v>
      </c>
      <c r="G7" s="118"/>
      <c r="I7" s="115">
        <v>5</v>
      </c>
      <c r="J7" s="119" t="s">
        <v>147</v>
      </c>
      <c r="K7" s="118" t="s">
        <v>145</v>
      </c>
      <c r="L7" s="118">
        <f>(0.575+0.495+0.858+0.11+0.19+0.787+0.148+0.148+0.475+0.675+0.495+0.855)*6</f>
        <v>34.866</v>
      </c>
      <c r="M7" s="118">
        <v>3.06</v>
      </c>
      <c r="N7" s="118">
        <f t="shared" ref="N7:N16" si="1">M7*L7</f>
        <v>106.68996</v>
      </c>
      <c r="O7" s="118"/>
      <c r="Q7" s="115">
        <v>5</v>
      </c>
      <c r="R7" s="119" t="s">
        <v>147</v>
      </c>
      <c r="S7" s="118" t="s">
        <v>145</v>
      </c>
      <c r="T7" s="118">
        <f>(0.575+0.495+0.858+0.11+0.19+0.787+0.148+0.148+0.475+0.675+0.495+0.855)*6</f>
        <v>34.866</v>
      </c>
      <c r="U7" s="118">
        <v>3.06</v>
      </c>
      <c r="V7" s="118">
        <f t="shared" ref="V7:V16" si="2">U7*T7</f>
        <v>106.68996</v>
      </c>
      <c r="W7" s="118"/>
      <c r="Y7" s="115">
        <v>5</v>
      </c>
      <c r="Z7" s="119" t="s">
        <v>147</v>
      </c>
      <c r="AA7" s="118" t="s">
        <v>145</v>
      </c>
      <c r="AB7" s="118">
        <f>(0.575+0.495+0.858+0.11+0.19+0.787+0.148+0.148+0.475+0.675+0.495+0.855)*6</f>
        <v>34.866</v>
      </c>
      <c r="AC7" s="118">
        <v>3.06</v>
      </c>
      <c r="AD7" s="118">
        <f t="shared" ref="AD7:AD16" si="3">AC7*AB7</f>
        <v>106.68996</v>
      </c>
      <c r="AE7" s="118"/>
    </row>
    <row r="8" ht="48.95" customHeight="1" spans="1:31">
      <c r="A8" s="115">
        <v>6</v>
      </c>
      <c r="B8" s="119" t="s">
        <v>148</v>
      </c>
      <c r="C8" s="118" t="s">
        <v>145</v>
      </c>
      <c r="D8" s="118">
        <f>(0.185*2+0.085*2+0.11*2+0.135+0.11*2+0.185*2+0.085*2+0.135)*6</f>
        <v>10.74</v>
      </c>
      <c r="E8" s="118">
        <v>10</v>
      </c>
      <c r="F8" s="118">
        <f t="shared" si="0"/>
        <v>107.4</v>
      </c>
      <c r="G8" s="118"/>
      <c r="I8" s="115">
        <v>6</v>
      </c>
      <c r="J8" s="119" t="s">
        <v>148</v>
      </c>
      <c r="K8" s="118" t="s">
        <v>145</v>
      </c>
      <c r="L8" s="118">
        <f>(0.185*2+0.085*2+0.11*2+0.135+0.11*2+0.185*2+0.085*2+0.135)*6</f>
        <v>10.74</v>
      </c>
      <c r="M8" s="118">
        <v>10</v>
      </c>
      <c r="N8" s="118">
        <f t="shared" si="1"/>
        <v>107.4</v>
      </c>
      <c r="O8" s="118"/>
      <c r="Q8" s="115">
        <v>6</v>
      </c>
      <c r="R8" s="119" t="s">
        <v>148</v>
      </c>
      <c r="S8" s="118" t="s">
        <v>145</v>
      </c>
      <c r="T8" s="118">
        <f>(0.185*2+0.085*2+0.11*2+0.135+0.11*2+0.185*2+0.085*2+0.135)*6</f>
        <v>10.74</v>
      </c>
      <c r="U8" s="118">
        <v>10</v>
      </c>
      <c r="V8" s="118">
        <f t="shared" si="2"/>
        <v>107.4</v>
      </c>
      <c r="W8" s="118"/>
      <c r="Y8" s="115">
        <v>6</v>
      </c>
      <c r="Z8" s="119" t="s">
        <v>148</v>
      </c>
      <c r="AA8" s="118" t="s">
        <v>145</v>
      </c>
      <c r="AB8" s="118">
        <f>(0.185*2+0.085*2+0.11*2+0.135+0.11*2+0.185*2+0.085*2+0.135)*6</f>
        <v>10.74</v>
      </c>
      <c r="AC8" s="118">
        <v>10</v>
      </c>
      <c r="AD8" s="118">
        <f t="shared" si="3"/>
        <v>107.4</v>
      </c>
      <c r="AE8" s="118"/>
    </row>
    <row r="9" ht="78" customHeight="1" spans="1:31">
      <c r="A9" s="115">
        <v>7</v>
      </c>
      <c r="B9" s="116" t="s">
        <v>149</v>
      </c>
      <c r="C9" s="117" t="s">
        <v>143</v>
      </c>
      <c r="D9" s="118">
        <f>6*6</f>
        <v>36</v>
      </c>
      <c r="E9" s="118"/>
      <c r="F9" s="118">
        <f t="shared" si="0"/>
        <v>0</v>
      </c>
      <c r="G9" s="118"/>
      <c r="I9" s="115">
        <v>7</v>
      </c>
      <c r="J9" s="116" t="s">
        <v>149</v>
      </c>
      <c r="K9" s="117" t="s">
        <v>143</v>
      </c>
      <c r="L9" s="118">
        <f>6*6</f>
        <v>36</v>
      </c>
      <c r="M9" s="118"/>
      <c r="N9" s="118">
        <f t="shared" si="1"/>
        <v>0</v>
      </c>
      <c r="O9" s="118"/>
      <c r="Q9" s="115">
        <v>7</v>
      </c>
      <c r="R9" s="116" t="s">
        <v>149</v>
      </c>
      <c r="S9" s="117" t="s">
        <v>143</v>
      </c>
      <c r="T9" s="118">
        <f>6*6</f>
        <v>36</v>
      </c>
      <c r="U9" s="118"/>
      <c r="V9" s="118">
        <f t="shared" si="2"/>
        <v>0</v>
      </c>
      <c r="W9" s="118"/>
      <c r="Y9" s="115">
        <v>7</v>
      </c>
      <c r="Z9" s="116" t="s">
        <v>149</v>
      </c>
      <c r="AA9" s="117" t="s">
        <v>143</v>
      </c>
      <c r="AB9" s="118">
        <f>6*6</f>
        <v>36</v>
      </c>
      <c r="AC9" s="118"/>
      <c r="AD9" s="118">
        <f t="shared" si="3"/>
        <v>0</v>
      </c>
      <c r="AE9" s="118"/>
    </row>
    <row r="10" ht="78" customHeight="1" spans="1:31">
      <c r="A10" s="115"/>
      <c r="B10" s="116" t="s">
        <v>150</v>
      </c>
      <c r="C10" s="117"/>
      <c r="D10" s="118">
        <f>0.21*7</f>
        <v>1.47</v>
      </c>
      <c r="E10" s="118">
        <v>3.06</v>
      </c>
      <c r="F10" s="118">
        <f t="shared" si="0"/>
        <v>4.4982</v>
      </c>
      <c r="G10" s="118"/>
      <c r="I10" s="115"/>
      <c r="J10" s="116" t="s">
        <v>150</v>
      </c>
      <c r="K10" s="117"/>
      <c r="L10" s="118">
        <f>0.21*7</f>
        <v>1.47</v>
      </c>
      <c r="M10" s="118">
        <v>3.06</v>
      </c>
      <c r="N10" s="118">
        <f t="shared" si="1"/>
        <v>4.4982</v>
      </c>
      <c r="O10" s="118"/>
      <c r="Q10" s="115"/>
      <c r="R10" s="116" t="s">
        <v>150</v>
      </c>
      <c r="S10" s="117"/>
      <c r="T10" s="118">
        <f>0.21*7</f>
        <v>1.47</v>
      </c>
      <c r="U10" s="118">
        <v>3.06</v>
      </c>
      <c r="V10" s="118">
        <f t="shared" si="2"/>
        <v>4.4982</v>
      </c>
      <c r="W10" s="118"/>
      <c r="Y10" s="115"/>
      <c r="Z10" s="116" t="s">
        <v>150</v>
      </c>
      <c r="AA10" s="117"/>
      <c r="AB10" s="118">
        <f>0.21*7</f>
        <v>1.47</v>
      </c>
      <c r="AC10" s="118">
        <v>3.06</v>
      </c>
      <c r="AD10" s="118">
        <f t="shared" si="3"/>
        <v>4.4982</v>
      </c>
      <c r="AE10" s="118"/>
    </row>
    <row r="11" ht="42" customHeight="1" spans="1:31">
      <c r="A11" s="115"/>
      <c r="B11" s="120" t="s">
        <v>151</v>
      </c>
      <c r="C11" s="117"/>
      <c r="D11" s="118"/>
      <c r="E11" s="118"/>
      <c r="F11" s="118">
        <f t="shared" si="0"/>
        <v>0</v>
      </c>
      <c r="G11" s="118"/>
      <c r="I11" s="115"/>
      <c r="J11" s="120" t="s">
        <v>151</v>
      </c>
      <c r="K11" s="117"/>
      <c r="L11" s="118"/>
      <c r="M11" s="118"/>
      <c r="N11" s="118">
        <f t="shared" si="1"/>
        <v>0</v>
      </c>
      <c r="O11" s="118"/>
      <c r="Q11" s="115"/>
      <c r="R11" s="120" t="s">
        <v>151</v>
      </c>
      <c r="S11" s="117"/>
      <c r="T11" s="118"/>
      <c r="U11" s="118"/>
      <c r="V11" s="118">
        <f t="shared" si="2"/>
        <v>0</v>
      </c>
      <c r="W11" s="118"/>
      <c r="Y11" s="115"/>
      <c r="Z11" s="120" t="s">
        <v>151</v>
      </c>
      <c r="AA11" s="117"/>
      <c r="AB11" s="118"/>
      <c r="AC11" s="118"/>
      <c r="AD11" s="118">
        <f t="shared" si="3"/>
        <v>0</v>
      </c>
      <c r="AE11" s="118"/>
    </row>
    <row r="12" ht="48.95" customHeight="1" spans="1:31">
      <c r="A12" s="115">
        <v>1</v>
      </c>
      <c r="B12" s="119" t="s">
        <v>147</v>
      </c>
      <c r="C12" s="118" t="s">
        <v>145</v>
      </c>
      <c r="D12" s="118">
        <f>(0.547+0.156+0.686+1.112+1.137)*2+1.13*4+(0.547+0.156+0.686)*3*2+(1.55+1.7+1.055)*3</f>
        <v>33.045</v>
      </c>
      <c r="E12" s="118"/>
      <c r="F12" s="118">
        <f t="shared" si="0"/>
        <v>0</v>
      </c>
      <c r="G12" s="118"/>
      <c r="I12" s="115">
        <v>1</v>
      </c>
      <c r="J12" s="119" t="s">
        <v>147</v>
      </c>
      <c r="K12" s="118" t="s">
        <v>145</v>
      </c>
      <c r="L12" s="118">
        <f>(0.547+0.156+0.686+1.112+1.137)*2+1.13*4+(0.547+0.156+0.686)*3*2+(1.55+1.7+1.055)*3</f>
        <v>33.045</v>
      </c>
      <c r="M12" s="118">
        <f>M10</f>
        <v>3.06</v>
      </c>
      <c r="N12" s="118">
        <f t="shared" si="1"/>
        <v>101.1177</v>
      </c>
      <c r="O12" s="118"/>
      <c r="Q12" s="115">
        <v>1</v>
      </c>
      <c r="R12" s="119" t="s">
        <v>147</v>
      </c>
      <c r="S12" s="118" t="s">
        <v>145</v>
      </c>
      <c r="T12" s="118">
        <f>(0.547+0.156+0.686+1.112+1.137)*2+1.13*4+(0.547+0.156+0.686)*3*2+(1.55+1.7+1.055)*3</f>
        <v>33.045</v>
      </c>
      <c r="U12" s="118">
        <f>U10</f>
        <v>3.06</v>
      </c>
      <c r="V12" s="118">
        <f t="shared" si="2"/>
        <v>101.1177</v>
      </c>
      <c r="W12" s="118"/>
      <c r="Y12" s="115">
        <v>1</v>
      </c>
      <c r="Z12" s="119" t="s">
        <v>147</v>
      </c>
      <c r="AA12" s="118" t="s">
        <v>145</v>
      </c>
      <c r="AB12" s="118">
        <f>(0.547+0.156+0.686+1.112)*2+(0.547+0.156+0.686)*3*2+(1.55+1.055)*3</f>
        <v>21.151</v>
      </c>
      <c r="AC12" s="118">
        <f>AC10</f>
        <v>3.06</v>
      </c>
      <c r="AD12" s="118">
        <f t="shared" si="3"/>
        <v>64.72206</v>
      </c>
      <c r="AE12" s="118"/>
    </row>
    <row r="13" ht="48.95" customHeight="1" spans="1:31">
      <c r="A13" s="115"/>
      <c r="B13" s="116" t="s">
        <v>152</v>
      </c>
      <c r="C13" s="117" t="s">
        <v>143</v>
      </c>
      <c r="D13" s="118">
        <f>3*2</f>
        <v>6</v>
      </c>
      <c r="E13" s="118"/>
      <c r="F13" s="118">
        <f t="shared" si="0"/>
        <v>0</v>
      </c>
      <c r="G13" s="118"/>
      <c r="I13" s="115"/>
      <c r="J13" s="116" t="s">
        <v>152</v>
      </c>
      <c r="K13" s="117" t="s">
        <v>143</v>
      </c>
      <c r="L13" s="118">
        <f>3*2</f>
        <v>6</v>
      </c>
      <c r="M13" s="118"/>
      <c r="N13" s="118">
        <f t="shared" si="1"/>
        <v>0</v>
      </c>
      <c r="O13" s="118"/>
      <c r="Q13" s="115"/>
      <c r="R13" s="116" t="s">
        <v>152</v>
      </c>
      <c r="S13" s="117" t="s">
        <v>143</v>
      </c>
      <c r="T13" s="118">
        <f>3*2</f>
        <v>6</v>
      </c>
      <c r="U13" s="118"/>
      <c r="V13" s="118">
        <f t="shared" si="2"/>
        <v>0</v>
      </c>
      <c r="W13" s="118"/>
      <c r="Y13" s="115"/>
      <c r="Z13" s="116" t="s">
        <v>152</v>
      </c>
      <c r="AA13" s="117" t="s">
        <v>143</v>
      </c>
      <c r="AB13" s="118">
        <f>3*2</f>
        <v>6</v>
      </c>
      <c r="AC13" s="118"/>
      <c r="AD13" s="118">
        <f t="shared" si="3"/>
        <v>0</v>
      </c>
      <c r="AE13" s="118"/>
    </row>
    <row r="14" ht="48.95" customHeight="1" spans="1:31">
      <c r="A14" s="115"/>
      <c r="B14" s="120" t="s">
        <v>153</v>
      </c>
      <c r="C14" s="118"/>
      <c r="D14" s="118"/>
      <c r="E14" s="118"/>
      <c r="F14" s="118">
        <f t="shared" si="0"/>
        <v>0</v>
      </c>
      <c r="G14" s="118"/>
      <c r="I14" s="115"/>
      <c r="J14" s="120" t="s">
        <v>153</v>
      </c>
      <c r="K14" s="118"/>
      <c r="L14" s="118"/>
      <c r="M14" s="118"/>
      <c r="N14" s="118">
        <f t="shared" si="1"/>
        <v>0</v>
      </c>
      <c r="O14" s="118"/>
      <c r="Q14" s="115"/>
      <c r="R14" s="120" t="s">
        <v>153</v>
      </c>
      <c r="S14" s="118"/>
      <c r="T14" s="118"/>
      <c r="U14" s="118"/>
      <c r="V14" s="118">
        <f t="shared" si="2"/>
        <v>0</v>
      </c>
      <c r="W14" s="118"/>
      <c r="Y14" s="115"/>
      <c r="Z14" s="120" t="s">
        <v>153</v>
      </c>
      <c r="AA14" s="118"/>
      <c r="AB14" s="118"/>
      <c r="AC14" s="118"/>
      <c r="AD14" s="118">
        <f t="shared" si="3"/>
        <v>0</v>
      </c>
      <c r="AE14" s="118"/>
    </row>
    <row r="15" ht="48.95" customHeight="1" spans="1:31">
      <c r="A15" s="115"/>
      <c r="B15" s="119" t="s">
        <v>147</v>
      </c>
      <c r="C15" s="118" t="s">
        <v>145</v>
      </c>
      <c r="D15" s="118">
        <f>(0.543+0.156+0.686+1.112+1.133*2+0.296*3)*3+3.98*3+(1.55+1.7+1.055)*3</f>
        <v>41.808</v>
      </c>
      <c r="E15" s="118">
        <v>3.06</v>
      </c>
      <c r="F15" s="118">
        <f t="shared" si="0"/>
        <v>127.93248</v>
      </c>
      <c r="G15" s="118"/>
      <c r="I15" s="115"/>
      <c r="J15" s="119" t="s">
        <v>147</v>
      </c>
      <c r="K15" s="118" t="s">
        <v>145</v>
      </c>
      <c r="L15" s="118">
        <f>(0.543+0.156+0.686+1.112+1.133*2+0.296*3)*3+3.98*3+(1.55+1.7+1.055)*3</f>
        <v>41.808</v>
      </c>
      <c r="M15" s="118">
        <v>3.06</v>
      </c>
      <c r="N15" s="118">
        <f t="shared" si="1"/>
        <v>127.93248</v>
      </c>
      <c r="O15" s="118"/>
      <c r="Q15" s="115"/>
      <c r="R15" s="119" t="s">
        <v>147</v>
      </c>
      <c r="S15" s="118" t="s">
        <v>145</v>
      </c>
      <c r="T15" s="118">
        <f>(0.543+0.156+0.686+1.112+1.133*2+0.296*3)*3+3.98*3+(1.55+1.7+1.055)*3</f>
        <v>41.808</v>
      </c>
      <c r="U15" s="118">
        <v>3.06</v>
      </c>
      <c r="V15" s="118">
        <f t="shared" si="2"/>
        <v>127.93248</v>
      </c>
      <c r="W15" s="118"/>
      <c r="Y15" s="115"/>
      <c r="Z15" s="119" t="s">
        <v>147</v>
      </c>
      <c r="AA15" s="118" t="s">
        <v>145</v>
      </c>
      <c r="AB15" s="118">
        <f>(0.543+0.156+0.686+1.112+1.133*2+0.296*3)*3+3.98*3+(1.55+1.7+1.055)*3</f>
        <v>41.808</v>
      </c>
      <c r="AC15" s="118">
        <v>3.06</v>
      </c>
      <c r="AD15" s="118">
        <f t="shared" si="3"/>
        <v>127.93248</v>
      </c>
      <c r="AE15" s="118"/>
    </row>
    <row r="16" ht="48.95" customHeight="1" spans="1:31">
      <c r="A16" s="115"/>
      <c r="B16" s="116" t="s">
        <v>154</v>
      </c>
      <c r="C16" s="117" t="s">
        <v>143</v>
      </c>
      <c r="D16" s="118">
        <f>5*3</f>
        <v>15</v>
      </c>
      <c r="E16" s="118"/>
      <c r="F16" s="118">
        <f t="shared" si="0"/>
        <v>0</v>
      </c>
      <c r="G16" s="118"/>
      <c r="I16" s="115"/>
      <c r="J16" s="116" t="s">
        <v>154</v>
      </c>
      <c r="K16" s="117" t="s">
        <v>143</v>
      </c>
      <c r="L16" s="118">
        <f>5*3</f>
        <v>15</v>
      </c>
      <c r="M16" s="118"/>
      <c r="N16" s="118">
        <f t="shared" si="1"/>
        <v>0</v>
      </c>
      <c r="O16" s="118"/>
      <c r="Q16" s="115"/>
      <c r="R16" s="116" t="s">
        <v>154</v>
      </c>
      <c r="S16" s="117" t="s">
        <v>143</v>
      </c>
      <c r="T16" s="118">
        <f>5*3</f>
        <v>15</v>
      </c>
      <c r="U16" s="118"/>
      <c r="V16" s="118">
        <f t="shared" si="2"/>
        <v>0</v>
      </c>
      <c r="W16" s="118"/>
      <c r="Y16" s="115"/>
      <c r="Z16" s="116" t="s">
        <v>154</v>
      </c>
      <c r="AA16" s="117" t="s">
        <v>143</v>
      </c>
      <c r="AB16" s="118">
        <f>5*3</f>
        <v>15</v>
      </c>
      <c r="AC16" s="118"/>
      <c r="AD16" s="118">
        <f t="shared" si="3"/>
        <v>0</v>
      </c>
      <c r="AE16" s="118"/>
    </row>
    <row r="17" ht="48.95" customHeight="1" spans="1:31">
      <c r="A17" s="115"/>
      <c r="B17" s="121" t="s">
        <v>155</v>
      </c>
      <c r="C17" s="118"/>
      <c r="D17" s="118"/>
      <c r="E17" s="118"/>
      <c r="F17" s="118">
        <f t="shared" si="0"/>
        <v>0</v>
      </c>
      <c r="G17" s="118"/>
      <c r="I17" s="115"/>
      <c r="J17" s="121"/>
      <c r="K17" s="118"/>
      <c r="L17" s="118"/>
      <c r="M17" s="118"/>
      <c r="N17" s="118"/>
      <c r="O17" s="118"/>
      <c r="Q17" s="115"/>
      <c r="R17" s="121"/>
      <c r="S17" s="118"/>
      <c r="T17" s="118"/>
      <c r="U17" s="118"/>
      <c r="V17" s="118"/>
      <c r="W17" s="118"/>
      <c r="Y17" s="115"/>
      <c r="Z17" s="121"/>
      <c r="AA17" s="118"/>
      <c r="AB17" s="118"/>
      <c r="AC17" s="118"/>
      <c r="AD17" s="118"/>
      <c r="AE17" s="118"/>
    </row>
    <row r="18" ht="48.95" customHeight="1" spans="1:31">
      <c r="A18" s="115">
        <v>1</v>
      </c>
      <c r="B18" s="116" t="s">
        <v>156</v>
      </c>
      <c r="C18" s="118" t="s">
        <v>145</v>
      </c>
      <c r="D18" s="118">
        <f>2.55*4*2</f>
        <v>20.4</v>
      </c>
      <c r="E18" s="118">
        <v>10.21</v>
      </c>
      <c r="F18" s="118">
        <f t="shared" si="0"/>
        <v>208.284</v>
      </c>
      <c r="G18" s="118"/>
      <c r="I18" s="115"/>
      <c r="J18" s="116"/>
      <c r="K18" s="118"/>
      <c r="L18" s="118"/>
      <c r="M18" s="118"/>
      <c r="N18" s="118"/>
      <c r="O18" s="118"/>
      <c r="Q18" s="115"/>
      <c r="R18" s="116"/>
      <c r="S18" s="118"/>
      <c r="T18" s="118"/>
      <c r="U18" s="118"/>
      <c r="V18" s="118"/>
      <c r="W18" s="118"/>
      <c r="Y18" s="115"/>
      <c r="Z18" s="116"/>
      <c r="AA18" s="118"/>
      <c r="AB18" s="118"/>
      <c r="AC18" s="118"/>
      <c r="AD18" s="118"/>
      <c r="AE18" s="118"/>
    </row>
    <row r="19" ht="48.95" customHeight="1" spans="1:31">
      <c r="A19" s="115">
        <v>2</v>
      </c>
      <c r="B19" s="116" t="s">
        <v>157</v>
      </c>
      <c r="C19" s="118"/>
      <c r="D19" s="118">
        <f>3.568*3*2+2.55*4+0.17*6*4</f>
        <v>35.688</v>
      </c>
      <c r="E19" s="118">
        <v>3.06</v>
      </c>
      <c r="F19" s="118">
        <f t="shared" si="0"/>
        <v>109.20528</v>
      </c>
      <c r="G19" s="118"/>
      <c r="I19" s="115"/>
      <c r="J19" s="116"/>
      <c r="K19" s="118"/>
      <c r="L19" s="118"/>
      <c r="M19" s="118"/>
      <c r="N19" s="118"/>
      <c r="O19" s="118"/>
      <c r="Q19" s="115"/>
      <c r="R19" s="116"/>
      <c r="S19" s="118"/>
      <c r="T19" s="118"/>
      <c r="U19" s="118"/>
      <c r="V19" s="118"/>
      <c r="W19" s="118"/>
      <c r="Y19" s="115"/>
      <c r="Z19" s="116"/>
      <c r="AA19" s="118"/>
      <c r="AB19" s="118"/>
      <c r="AC19" s="118"/>
      <c r="AD19" s="118"/>
      <c r="AE19" s="118"/>
    </row>
    <row r="20" ht="93" customHeight="1" spans="1:31">
      <c r="A20" s="115">
        <v>3</v>
      </c>
      <c r="B20" s="116" t="s">
        <v>158</v>
      </c>
      <c r="C20" s="117" t="s">
        <v>143</v>
      </c>
      <c r="D20" s="118">
        <f>4*2+2</f>
        <v>10</v>
      </c>
      <c r="E20" s="118"/>
      <c r="F20" s="118">
        <f t="shared" si="0"/>
        <v>0</v>
      </c>
      <c r="G20" s="118"/>
      <c r="I20" s="115"/>
      <c r="J20" s="116"/>
      <c r="K20" s="117"/>
      <c r="L20" s="118"/>
      <c r="M20" s="118"/>
      <c r="N20" s="118"/>
      <c r="O20" s="118"/>
      <c r="Q20" s="115"/>
      <c r="R20" s="116"/>
      <c r="S20" s="117"/>
      <c r="T20" s="118"/>
      <c r="U20" s="118"/>
      <c r="V20" s="118"/>
      <c r="W20" s="118"/>
      <c r="Y20" s="115"/>
      <c r="Z20" s="116"/>
      <c r="AA20" s="117"/>
      <c r="AB20" s="118"/>
      <c r="AC20" s="118"/>
      <c r="AD20" s="118"/>
      <c r="AE20" s="118"/>
    </row>
    <row r="21" ht="44.1" customHeight="1" spans="1:31">
      <c r="A21" s="115"/>
      <c r="B21" s="119" t="s">
        <v>159</v>
      </c>
      <c r="C21" s="118" t="s">
        <v>145</v>
      </c>
      <c r="D21" s="118">
        <f>(23.77-6)*2</f>
        <v>35.54</v>
      </c>
      <c r="E21" s="118">
        <v>0.89</v>
      </c>
      <c r="F21" s="118">
        <f t="shared" si="0"/>
        <v>31.6306</v>
      </c>
      <c r="G21" s="118"/>
      <c r="I21" s="115"/>
      <c r="J21" s="119"/>
      <c r="K21" s="118"/>
      <c r="L21" s="118"/>
      <c r="M21" s="118"/>
      <c r="N21" s="118"/>
      <c r="O21" s="118"/>
      <c r="Q21" s="115"/>
      <c r="R21" s="119"/>
      <c r="S21" s="118"/>
      <c r="T21" s="118"/>
      <c r="U21" s="118"/>
      <c r="V21" s="118"/>
      <c r="W21" s="118"/>
      <c r="Y21" s="115"/>
      <c r="Z21" s="119"/>
      <c r="AA21" s="118"/>
      <c r="AB21" s="118"/>
      <c r="AC21" s="118"/>
      <c r="AD21" s="118"/>
      <c r="AE21" s="118"/>
    </row>
    <row r="22" ht="26.1" customHeight="1" spans="1:31">
      <c r="A22" s="115"/>
      <c r="B22" s="121" t="s">
        <v>131</v>
      </c>
      <c r="C22" s="118" t="s">
        <v>160</v>
      </c>
      <c r="D22" s="118"/>
      <c r="E22" s="118"/>
      <c r="F22" s="118">
        <f>SUM(F3:F21)</f>
        <v>1343.13132</v>
      </c>
      <c r="G22" s="118"/>
      <c r="I22" s="115"/>
      <c r="J22" s="121" t="s">
        <v>131</v>
      </c>
      <c r="K22" s="118" t="s">
        <v>160</v>
      </c>
      <c r="L22" s="118"/>
      <c r="M22" s="118"/>
      <c r="N22" s="118">
        <f>SUM(N3:N21)</f>
        <v>1095.12914</v>
      </c>
      <c r="O22" s="118"/>
      <c r="Q22" s="115"/>
      <c r="R22" s="121" t="s">
        <v>131</v>
      </c>
      <c r="S22" s="118" t="s">
        <v>160</v>
      </c>
      <c r="T22" s="118"/>
      <c r="U22" s="118"/>
      <c r="V22" s="118">
        <f>SUM(V3:V21)</f>
        <v>1095.12914</v>
      </c>
      <c r="W22" s="118"/>
      <c r="Y22" s="115"/>
      <c r="Z22" s="121" t="s">
        <v>131</v>
      </c>
      <c r="AA22" s="118" t="s">
        <v>160</v>
      </c>
      <c r="AB22" s="118"/>
      <c r="AC22" s="118"/>
      <c r="AD22" s="118">
        <f>SUM(AD3:AD21)</f>
        <v>1058.7335</v>
      </c>
      <c r="AE22" s="118"/>
    </row>
    <row r="26" ht="11.1" customHeight="1"/>
    <row r="27" hidden="1"/>
  </sheetData>
  <sheetProtection formatCells="0" formatColumns="0" formatRows="0" insertRows="0" insertColumns="0" insertHyperlinks="0" deleteColumns="0" deleteRows="0" sort="0" autoFilter="0" pivotTables="0"/>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C82"/>
  <sheetViews>
    <sheetView view="pageBreakPreview" zoomScale="115" zoomScaleNormal="80" workbookViewId="0">
      <pane ySplit="8" topLeftCell="A79" activePane="bottomLeft" state="frozen"/>
      <selection/>
      <selection pane="bottomLeft" activeCell="BD54" sqref="BD54"/>
    </sheetView>
  </sheetViews>
  <sheetFormatPr defaultColWidth="18.5740740740741" defaultRowHeight="10.8"/>
  <cols>
    <col min="1" max="1" width="4.71296296296296" style="1" customWidth="1"/>
    <col min="2" max="2" width="15.3888888888889" style="1" customWidth="1"/>
    <col min="3" max="3" width="33.1388888888889" style="1" customWidth="1"/>
    <col min="4" max="4" width="5.71296296296296" style="1" customWidth="1"/>
    <col min="5" max="5" width="12.1759259259259" style="1" customWidth="1"/>
    <col min="6" max="6" width="7.33333333333333" style="2" hidden="1" customWidth="1"/>
    <col min="7" max="7" width="11.1111111111111" style="2" hidden="1" customWidth="1"/>
    <col min="8" max="8" width="7.66666666666667" style="2" hidden="1" customWidth="1"/>
    <col min="9" max="9" width="9.05555555555556" style="3" hidden="1" customWidth="1"/>
    <col min="10" max="10" width="8.66666666666667" style="2" hidden="1" customWidth="1"/>
    <col min="11" max="11" width="9.55555555555556" style="2" hidden="1" customWidth="1"/>
    <col min="12" max="12" width="8.11111111111111" style="2" hidden="1" customWidth="1"/>
    <col min="13" max="13" width="11.5555555555556" style="2" customWidth="1"/>
    <col min="14" max="14" width="15.0185185185185" style="2" customWidth="1"/>
    <col min="15" max="15" width="11.8888888888889" style="4" hidden="1" customWidth="1"/>
    <col min="16" max="18" width="9.56481481481481" style="5" hidden="1" customWidth="1"/>
    <col min="19" max="19" width="9.56481481481481" style="6" hidden="1" customWidth="1"/>
    <col min="20" max="22" width="9.56481481481481" style="5" hidden="1" customWidth="1"/>
    <col min="23" max="23" width="9.56481481481481" style="5" customWidth="1"/>
    <col min="24" max="24" width="13.1574074074074" style="5" customWidth="1"/>
    <col min="25" max="25" width="15.1481481481481" style="5" hidden="1" customWidth="1"/>
    <col min="26" max="26" width="7.28703703703704" style="7" hidden="1" customWidth="1"/>
    <col min="27" max="27" width="11.0833333333333" style="7" hidden="1" customWidth="1"/>
    <col min="28" max="28" width="7.74074074074074" style="7" hidden="1" customWidth="1"/>
    <col min="29" max="29" width="7.44444444444444" style="8" hidden="1" customWidth="1"/>
    <col min="30" max="30" width="8.69444444444444" style="7" hidden="1" customWidth="1"/>
    <col min="31" max="31" width="9.57407407407407" style="7" hidden="1" customWidth="1"/>
    <col min="32" max="32" width="8.13888888888889" style="7" hidden="1" customWidth="1"/>
    <col min="33" max="33" width="10.3148148148148" style="7" customWidth="1"/>
    <col min="34" max="34" width="16.0185185185185" style="7" customWidth="1"/>
    <col min="35" max="35" width="10.4351851851852" style="7" hidden="1" customWidth="1"/>
    <col min="36" max="42" width="9" style="9" hidden="1" customWidth="1"/>
    <col min="43" max="43" width="12.0462962962963" style="9" customWidth="1"/>
    <col min="44" max="44" width="13.1111111111111" style="9" customWidth="1"/>
    <col min="45" max="45" width="9" style="9" hidden="1" customWidth="1"/>
    <col min="46" max="46" width="9" style="10" hidden="1" customWidth="1"/>
    <col min="47" max="47" width="13.75" style="10" hidden="1" customWidth="1"/>
    <col min="48" max="48" width="13.0277777777778" style="10" hidden="1" customWidth="1"/>
    <col min="49" max="50" width="9" style="10" hidden="1" customWidth="1"/>
    <col min="51" max="51" width="12.1388888888889" style="10" hidden="1" customWidth="1"/>
    <col min="52" max="52" width="10.8981481481481" style="10" hidden="1" customWidth="1"/>
    <col min="53" max="53" width="15.3518518518519" style="10" customWidth="1"/>
    <col min="54" max="54" width="16.962962962963" style="10" customWidth="1"/>
    <col min="55" max="55" width="9" style="10"/>
    <col min="56" max="16384" width="18.5740740740741" style="1"/>
  </cols>
  <sheetData>
    <row r="1" ht="25.8" spans="1:55">
      <c r="A1" s="11" t="s">
        <v>161</v>
      </c>
      <c r="B1" s="12"/>
      <c r="C1" s="12"/>
      <c r="D1" s="12"/>
      <c r="E1" s="12"/>
      <c r="F1" s="13" t="s">
        <v>26</v>
      </c>
      <c r="G1" s="13"/>
      <c r="H1" s="13"/>
      <c r="I1" s="13"/>
      <c r="J1" s="13"/>
      <c r="K1" s="13"/>
      <c r="L1" s="13"/>
      <c r="M1" s="13"/>
      <c r="N1" s="13"/>
      <c r="O1" s="13"/>
      <c r="P1" s="30" t="s">
        <v>27</v>
      </c>
      <c r="Q1" s="30"/>
      <c r="R1" s="30"/>
      <c r="S1" s="30"/>
      <c r="T1" s="30"/>
      <c r="U1" s="30"/>
      <c r="V1" s="30"/>
      <c r="W1" s="30"/>
      <c r="X1" s="30"/>
      <c r="Y1" s="30"/>
      <c r="Z1" s="49" t="s">
        <v>28</v>
      </c>
      <c r="AA1" s="49"/>
      <c r="AB1" s="49"/>
      <c r="AC1" s="49"/>
      <c r="AD1" s="49"/>
      <c r="AE1" s="49"/>
      <c r="AF1" s="49"/>
      <c r="AG1" s="49"/>
      <c r="AH1" s="49"/>
      <c r="AI1" s="49"/>
      <c r="AJ1" s="59" t="s">
        <v>29</v>
      </c>
      <c r="AK1" s="59"/>
      <c r="AL1" s="59"/>
      <c r="AM1" s="59"/>
      <c r="AN1" s="59"/>
      <c r="AO1" s="59"/>
      <c r="AP1" s="59"/>
      <c r="AQ1" s="59"/>
      <c r="AR1" s="59"/>
      <c r="AS1" s="59"/>
      <c r="AT1" s="67" t="s">
        <v>30</v>
      </c>
      <c r="AU1" s="67"/>
      <c r="AV1" s="67"/>
      <c r="AW1" s="67"/>
      <c r="AX1" s="67"/>
      <c r="AY1" s="67"/>
      <c r="AZ1" s="67"/>
      <c r="BA1" s="67"/>
      <c r="BB1" s="67"/>
      <c r="BC1" s="67"/>
    </row>
    <row r="2" ht="12" spans="1:55">
      <c r="A2" s="14" t="s">
        <v>51</v>
      </c>
      <c r="B2" s="15"/>
      <c r="C2" s="15"/>
      <c r="D2" s="16"/>
      <c r="E2" s="16"/>
      <c r="F2" s="17"/>
      <c r="G2" s="18"/>
      <c r="H2" s="18"/>
      <c r="I2" s="31"/>
      <c r="J2" s="18"/>
      <c r="K2" s="18"/>
      <c r="L2" s="18"/>
      <c r="M2" s="18"/>
      <c r="N2" s="18"/>
      <c r="O2" s="17"/>
      <c r="P2" s="32"/>
      <c r="Q2" s="41"/>
      <c r="R2" s="41"/>
      <c r="S2" s="42"/>
      <c r="T2" s="41"/>
      <c r="U2" s="41"/>
      <c r="V2" s="41"/>
      <c r="W2" s="41"/>
      <c r="X2" s="41"/>
      <c r="Y2" s="41"/>
      <c r="Z2" s="50"/>
      <c r="AA2" s="50"/>
      <c r="AB2" s="50"/>
      <c r="AC2" s="51"/>
      <c r="AD2" s="50"/>
      <c r="AE2" s="50"/>
      <c r="AF2" s="50"/>
      <c r="AG2" s="50"/>
      <c r="AH2" s="50"/>
      <c r="AI2" s="50"/>
      <c r="AJ2" s="60"/>
      <c r="AK2" s="61"/>
      <c r="AL2" s="61"/>
      <c r="AM2" s="62"/>
      <c r="AN2" s="61"/>
      <c r="AO2" s="61"/>
      <c r="AP2" s="61"/>
      <c r="AQ2" s="61"/>
      <c r="AR2" s="61"/>
      <c r="AS2" s="61"/>
      <c r="AT2" s="68"/>
      <c r="AU2" s="69"/>
      <c r="AV2" s="69"/>
      <c r="AW2" s="72"/>
      <c r="AX2" s="69"/>
      <c r="AY2" s="69"/>
      <c r="AZ2" s="69"/>
      <c r="BA2" s="69"/>
      <c r="BB2" s="69"/>
      <c r="BC2" s="69"/>
    </row>
    <row r="3" ht="14.4" spans="1:55">
      <c r="A3" s="19" t="s">
        <v>53</v>
      </c>
      <c r="B3" s="20" t="s">
        <v>54</v>
      </c>
      <c r="C3" s="20" t="s">
        <v>55</v>
      </c>
      <c r="D3" s="20" t="s">
        <v>25</v>
      </c>
      <c r="E3" s="21" t="s">
        <v>56</v>
      </c>
      <c r="F3" s="22" t="s">
        <v>57</v>
      </c>
      <c r="G3" s="22"/>
      <c r="H3" s="22"/>
      <c r="I3" s="33"/>
      <c r="J3" s="22"/>
      <c r="K3" s="22"/>
      <c r="L3" s="22"/>
      <c r="M3" s="22" t="s">
        <v>58</v>
      </c>
      <c r="N3" s="22" t="s">
        <v>59</v>
      </c>
      <c r="O3" s="22" t="s">
        <v>162</v>
      </c>
      <c r="P3" s="34" t="s">
        <v>57</v>
      </c>
      <c r="Q3" s="43"/>
      <c r="R3" s="43"/>
      <c r="S3" s="44"/>
      <c r="T3" s="43"/>
      <c r="U3" s="43"/>
      <c r="V3" s="43"/>
      <c r="W3" s="43" t="s">
        <v>58</v>
      </c>
      <c r="X3" s="43" t="s">
        <v>59</v>
      </c>
      <c r="Y3" s="43" t="s">
        <v>162</v>
      </c>
      <c r="Z3" s="52" t="s">
        <v>57</v>
      </c>
      <c r="AA3" s="52"/>
      <c r="AB3" s="52"/>
      <c r="AC3" s="53"/>
      <c r="AD3" s="52"/>
      <c r="AE3" s="52"/>
      <c r="AF3" s="52"/>
      <c r="AG3" s="52" t="s">
        <v>58</v>
      </c>
      <c r="AH3" s="52" t="s">
        <v>59</v>
      </c>
      <c r="AI3" s="52" t="s">
        <v>162</v>
      </c>
      <c r="AJ3" s="63" t="s">
        <v>57</v>
      </c>
      <c r="AK3" s="63"/>
      <c r="AL3" s="63"/>
      <c r="AM3" s="64"/>
      <c r="AN3" s="63"/>
      <c r="AO3" s="63"/>
      <c r="AP3" s="63"/>
      <c r="AQ3" s="63" t="s">
        <v>58</v>
      </c>
      <c r="AR3" s="63" t="s">
        <v>59</v>
      </c>
      <c r="AS3" s="63" t="s">
        <v>162</v>
      </c>
      <c r="AT3" s="70" t="s">
        <v>57</v>
      </c>
      <c r="AU3" s="70"/>
      <c r="AV3" s="70"/>
      <c r="AW3" s="73"/>
      <c r="AX3" s="70"/>
      <c r="AY3" s="70"/>
      <c r="AZ3" s="70"/>
      <c r="BA3" s="70" t="s">
        <v>58</v>
      </c>
      <c r="BB3" s="70" t="s">
        <v>59</v>
      </c>
      <c r="BC3" s="70" t="s">
        <v>162</v>
      </c>
    </row>
    <row r="4" ht="72" spans="1:55">
      <c r="A4" s="19"/>
      <c r="B4" s="20"/>
      <c r="C4" s="20"/>
      <c r="D4" s="20"/>
      <c r="E4" s="21"/>
      <c r="F4" s="22" t="s">
        <v>60</v>
      </c>
      <c r="G4" s="22" t="s">
        <v>61</v>
      </c>
      <c r="H4" s="22" t="s">
        <v>62</v>
      </c>
      <c r="I4" s="33" t="s">
        <v>63</v>
      </c>
      <c r="J4" s="22" t="s">
        <v>64</v>
      </c>
      <c r="K4" s="22" t="s">
        <v>65</v>
      </c>
      <c r="L4" s="22" t="s">
        <v>66</v>
      </c>
      <c r="M4" s="22"/>
      <c r="N4" s="22"/>
      <c r="O4" s="22"/>
      <c r="P4" s="34" t="s">
        <v>60</v>
      </c>
      <c r="Q4" s="43" t="s">
        <v>61</v>
      </c>
      <c r="R4" s="43" t="s">
        <v>62</v>
      </c>
      <c r="S4" s="44" t="s">
        <v>63</v>
      </c>
      <c r="T4" s="43" t="s">
        <v>64</v>
      </c>
      <c r="U4" s="43" t="s">
        <v>65</v>
      </c>
      <c r="V4" s="43" t="s">
        <v>66</v>
      </c>
      <c r="W4" s="43"/>
      <c r="X4" s="43"/>
      <c r="Y4" s="43"/>
      <c r="Z4" s="52" t="s">
        <v>60</v>
      </c>
      <c r="AA4" s="52" t="s">
        <v>61</v>
      </c>
      <c r="AB4" s="52" t="s">
        <v>62</v>
      </c>
      <c r="AC4" s="53" t="s">
        <v>63</v>
      </c>
      <c r="AD4" s="52" t="s">
        <v>64</v>
      </c>
      <c r="AE4" s="52" t="s">
        <v>65</v>
      </c>
      <c r="AF4" s="52" t="s">
        <v>66</v>
      </c>
      <c r="AG4" s="52"/>
      <c r="AH4" s="52"/>
      <c r="AI4" s="52"/>
      <c r="AJ4" s="63" t="s">
        <v>60</v>
      </c>
      <c r="AK4" s="63" t="s">
        <v>61</v>
      </c>
      <c r="AL4" s="63" t="s">
        <v>62</v>
      </c>
      <c r="AM4" s="64" t="s">
        <v>63</v>
      </c>
      <c r="AN4" s="63" t="s">
        <v>64</v>
      </c>
      <c r="AO4" s="63" t="s">
        <v>65</v>
      </c>
      <c r="AP4" s="63" t="s">
        <v>66</v>
      </c>
      <c r="AQ4" s="63"/>
      <c r="AR4" s="63"/>
      <c r="AS4" s="63"/>
      <c r="AT4" s="70" t="s">
        <v>60</v>
      </c>
      <c r="AU4" s="70" t="s">
        <v>61</v>
      </c>
      <c r="AV4" s="70" t="s">
        <v>62</v>
      </c>
      <c r="AW4" s="73" t="s">
        <v>63</v>
      </c>
      <c r="AX4" s="70" t="s">
        <v>64</v>
      </c>
      <c r="AY4" s="70" t="s">
        <v>65</v>
      </c>
      <c r="AZ4" s="70" t="s">
        <v>66</v>
      </c>
      <c r="BA4" s="70"/>
      <c r="BB4" s="70"/>
      <c r="BC4" s="70"/>
    </row>
    <row r="5" ht="28.8" spans="1:55">
      <c r="A5" s="19"/>
      <c r="B5" s="20"/>
      <c r="C5" s="20"/>
      <c r="D5" s="20"/>
      <c r="E5" s="21"/>
      <c r="F5" s="22"/>
      <c r="G5" s="22" t="s">
        <v>67</v>
      </c>
      <c r="H5" s="22" t="s">
        <v>68</v>
      </c>
      <c r="I5" s="33" t="s">
        <v>163</v>
      </c>
      <c r="J5" s="22"/>
      <c r="K5" s="35">
        <v>0.06</v>
      </c>
      <c r="L5" s="35">
        <v>0.09</v>
      </c>
      <c r="M5" s="22"/>
      <c r="N5" s="22"/>
      <c r="O5" s="22"/>
      <c r="P5" s="34"/>
      <c r="Q5" s="43" t="s">
        <v>67</v>
      </c>
      <c r="R5" s="43" t="s">
        <v>68</v>
      </c>
      <c r="S5" s="44" t="s">
        <v>163</v>
      </c>
      <c r="T5" s="43"/>
      <c r="U5" s="45">
        <v>0.06</v>
      </c>
      <c r="V5" s="45">
        <v>0.09</v>
      </c>
      <c r="W5" s="43"/>
      <c r="X5" s="43"/>
      <c r="Y5" s="43"/>
      <c r="Z5" s="52"/>
      <c r="AA5" s="52" t="s">
        <v>67</v>
      </c>
      <c r="AB5" s="52" t="s">
        <v>68</v>
      </c>
      <c r="AC5" s="53" t="s">
        <v>163</v>
      </c>
      <c r="AD5" s="52"/>
      <c r="AE5" s="54">
        <v>0.13</v>
      </c>
      <c r="AF5" s="54">
        <v>0.09</v>
      </c>
      <c r="AG5" s="52"/>
      <c r="AH5" s="52"/>
      <c r="AI5" s="52"/>
      <c r="AJ5" s="63"/>
      <c r="AK5" s="63" t="s">
        <v>67</v>
      </c>
      <c r="AL5" s="63" t="s">
        <v>68</v>
      </c>
      <c r="AM5" s="64" t="s">
        <v>163</v>
      </c>
      <c r="AN5" s="63"/>
      <c r="AO5" s="64">
        <v>0.085</v>
      </c>
      <c r="AP5" s="64">
        <v>0.09</v>
      </c>
      <c r="AQ5" s="63"/>
      <c r="AR5" s="63"/>
      <c r="AS5" s="63"/>
      <c r="AT5" s="70"/>
      <c r="AU5" s="70" t="s">
        <v>67</v>
      </c>
      <c r="AV5" s="70" t="s">
        <v>68</v>
      </c>
      <c r="AW5" s="73" t="s">
        <v>163</v>
      </c>
      <c r="AX5" s="70"/>
      <c r="AY5" s="74">
        <v>0.06</v>
      </c>
      <c r="AZ5" s="74">
        <v>0.09</v>
      </c>
      <c r="BA5" s="70"/>
      <c r="BB5" s="70"/>
      <c r="BC5" s="70"/>
    </row>
    <row r="6" ht="14.4" spans="1:55">
      <c r="A6" s="23"/>
      <c r="B6" s="24" t="s">
        <v>164</v>
      </c>
      <c r="C6" s="24"/>
      <c r="D6" s="25"/>
      <c r="E6" s="26"/>
      <c r="F6" s="27"/>
      <c r="G6" s="27"/>
      <c r="H6" s="27"/>
      <c r="I6" s="36"/>
      <c r="J6" s="27"/>
      <c r="K6" s="27"/>
      <c r="L6" s="27"/>
      <c r="M6" s="27"/>
      <c r="N6" s="27">
        <v>119019.24233435</v>
      </c>
      <c r="O6" s="27"/>
      <c r="P6" s="37"/>
      <c r="Q6" s="46"/>
      <c r="R6" s="46"/>
      <c r="S6" s="47"/>
      <c r="T6" s="46"/>
      <c r="U6" s="46"/>
      <c r="V6" s="46"/>
      <c r="W6" s="46"/>
      <c r="X6" s="46">
        <v>92021.0441873578</v>
      </c>
      <c r="Y6" s="46"/>
      <c r="Z6" s="55"/>
      <c r="AA6" s="55"/>
      <c r="AB6" s="55"/>
      <c r="AC6" s="56"/>
      <c r="AD6" s="55"/>
      <c r="AE6" s="55"/>
      <c r="AF6" s="55"/>
      <c r="AG6" s="55"/>
      <c r="AH6" s="55">
        <v>100634.504182892</v>
      </c>
      <c r="AI6" s="55"/>
      <c r="AJ6" s="65"/>
      <c r="AK6" s="65"/>
      <c r="AL6" s="65"/>
      <c r="AM6" s="66"/>
      <c r="AN6" s="65"/>
      <c r="AO6" s="65"/>
      <c r="AP6" s="65"/>
      <c r="AQ6" s="65"/>
      <c r="AR6" s="65">
        <v>99852.3857239107</v>
      </c>
      <c r="AS6" s="65"/>
      <c r="AT6" s="71"/>
      <c r="AU6" s="71"/>
      <c r="AV6" s="71"/>
      <c r="AW6" s="75"/>
      <c r="AX6" s="71"/>
      <c r="AY6" s="71"/>
      <c r="AZ6" s="71"/>
      <c r="BA6" s="71"/>
      <c r="BB6" s="71">
        <v>150613.107902213</v>
      </c>
      <c r="BC6" s="71"/>
    </row>
    <row r="7" ht="14.4" spans="1:55">
      <c r="A7" s="19"/>
      <c r="B7" s="24" t="s">
        <v>165</v>
      </c>
      <c r="C7" s="28"/>
      <c r="D7" s="20"/>
      <c r="E7" s="21"/>
      <c r="F7" s="22"/>
      <c r="G7" s="22"/>
      <c r="H7" s="22"/>
      <c r="I7" s="33"/>
      <c r="J7" s="22"/>
      <c r="K7" s="22"/>
      <c r="L7" s="22"/>
      <c r="M7" s="22"/>
      <c r="N7" s="27">
        <v>92185.5738304642</v>
      </c>
      <c r="O7" s="22"/>
      <c r="P7" s="34"/>
      <c r="Q7" s="43"/>
      <c r="R7" s="43"/>
      <c r="S7" s="44"/>
      <c r="T7" s="43"/>
      <c r="U7" s="43"/>
      <c r="V7" s="43"/>
      <c r="W7" s="43"/>
      <c r="X7" s="46">
        <v>71932.450667034</v>
      </c>
      <c r="Y7" s="43"/>
      <c r="Z7" s="52"/>
      <c r="AA7" s="52"/>
      <c r="AB7" s="52"/>
      <c r="AC7" s="53"/>
      <c r="AD7" s="52"/>
      <c r="AE7" s="52"/>
      <c r="AF7" s="52"/>
      <c r="AG7" s="52"/>
      <c r="AH7" s="55">
        <v>77232.370769648</v>
      </c>
      <c r="AI7" s="52"/>
      <c r="AJ7" s="63"/>
      <c r="AK7" s="63"/>
      <c r="AL7" s="63"/>
      <c r="AM7" s="64"/>
      <c r="AN7" s="63"/>
      <c r="AO7" s="63"/>
      <c r="AP7" s="63"/>
      <c r="AQ7" s="63"/>
      <c r="AR7" s="65">
        <v>77848.3647568793</v>
      </c>
      <c r="AS7" s="63"/>
      <c r="AT7" s="70"/>
      <c r="AU7" s="70"/>
      <c r="AV7" s="70"/>
      <c r="AW7" s="73"/>
      <c r="AX7" s="70"/>
      <c r="AY7" s="70"/>
      <c r="AZ7" s="70"/>
      <c r="BA7" s="70"/>
      <c r="BB7" s="71">
        <v>122578.026759277</v>
      </c>
      <c r="BC7" s="70"/>
    </row>
    <row r="8" ht="28.8" spans="1:55">
      <c r="A8" s="19"/>
      <c r="B8" s="24" t="s">
        <v>166</v>
      </c>
      <c r="C8" s="28"/>
      <c r="D8" s="20"/>
      <c r="E8" s="21"/>
      <c r="F8" s="22"/>
      <c r="G8" s="22"/>
      <c r="H8" s="22"/>
      <c r="I8" s="33"/>
      <c r="J8" s="22"/>
      <c r="K8" s="22"/>
      <c r="L8" s="22"/>
      <c r="M8" s="22"/>
      <c r="N8" s="27">
        <v>58915.2448497124</v>
      </c>
      <c r="O8" s="22"/>
      <c r="P8" s="34"/>
      <c r="Q8" s="43"/>
      <c r="R8" s="43"/>
      <c r="S8" s="44"/>
      <c r="T8" s="43"/>
      <c r="U8" s="43"/>
      <c r="V8" s="43"/>
      <c r="W8" s="43"/>
      <c r="X8" s="46">
        <v>51174.4010294256</v>
      </c>
      <c r="Y8" s="43"/>
      <c r="Z8" s="52"/>
      <c r="AA8" s="52"/>
      <c r="AB8" s="52"/>
      <c r="AC8" s="53"/>
      <c r="AD8" s="52"/>
      <c r="AE8" s="52"/>
      <c r="AF8" s="52"/>
      <c r="AG8" s="52"/>
      <c r="AH8" s="55">
        <v>60078.0635605045</v>
      </c>
      <c r="AI8" s="52"/>
      <c r="AJ8" s="63"/>
      <c r="AK8" s="63"/>
      <c r="AL8" s="63"/>
      <c r="AM8" s="64"/>
      <c r="AN8" s="63"/>
      <c r="AO8" s="63"/>
      <c r="AP8" s="63"/>
      <c r="AQ8" s="63"/>
      <c r="AR8" s="65">
        <v>56032.6725953694</v>
      </c>
      <c r="AS8" s="63"/>
      <c r="AT8" s="70"/>
      <c r="AU8" s="70"/>
      <c r="AV8" s="70"/>
      <c r="AW8" s="73"/>
      <c r="AX8" s="70"/>
      <c r="AY8" s="70"/>
      <c r="AZ8" s="70"/>
      <c r="BA8" s="70"/>
      <c r="BB8" s="71">
        <v>60991.7907845146</v>
      </c>
      <c r="BC8" s="70"/>
    </row>
    <row r="9" ht="72" spans="1:55">
      <c r="A9" s="19">
        <v>18</v>
      </c>
      <c r="B9" s="28" t="s">
        <v>167</v>
      </c>
      <c r="C9" s="28" t="s">
        <v>168</v>
      </c>
      <c r="D9" s="20" t="s">
        <v>145</v>
      </c>
      <c r="E9" s="21">
        <v>270.58</v>
      </c>
      <c r="F9" s="22">
        <v>9.8</v>
      </c>
      <c r="G9" s="22">
        <v>4.6453</v>
      </c>
      <c r="H9" s="22">
        <v>4.51</v>
      </c>
      <c r="I9" s="33">
        <v>0.03</v>
      </c>
      <c r="J9" s="22">
        <v>2.63</v>
      </c>
      <c r="K9" s="22">
        <v>1.024518</v>
      </c>
      <c r="L9" s="22">
        <v>1.62898362</v>
      </c>
      <c r="M9" s="22">
        <v>19.72880162</v>
      </c>
      <c r="N9" s="22">
        <v>5338.2191423396</v>
      </c>
      <c r="O9" s="22"/>
      <c r="P9" s="34">
        <v>10.32</v>
      </c>
      <c r="Q9" s="43">
        <v>4.03039</v>
      </c>
      <c r="R9" s="43">
        <v>3.913</v>
      </c>
      <c r="S9" s="44">
        <v>0.03</v>
      </c>
      <c r="T9" s="43">
        <v>2.6402</v>
      </c>
      <c r="U9" s="43">
        <v>1.0194354</v>
      </c>
      <c r="V9" s="43">
        <v>1.620902286</v>
      </c>
      <c r="W9" s="43">
        <v>19.630927686</v>
      </c>
      <c r="X9" s="43">
        <v>5311.73641327788</v>
      </c>
      <c r="Y9" s="43" t="s">
        <v>169</v>
      </c>
      <c r="Z9" s="52">
        <v>12</v>
      </c>
      <c r="AA9" s="52">
        <v>6.825</v>
      </c>
      <c r="AB9" s="52">
        <v>6.5</v>
      </c>
      <c r="AC9" s="53">
        <v>0.05</v>
      </c>
      <c r="AD9" s="52">
        <v>1.5</v>
      </c>
      <c r="AE9" s="52">
        <v>2.64225</v>
      </c>
      <c r="AF9" s="52">
        <v>2.0670525</v>
      </c>
      <c r="AG9" s="38">
        <v>25.0343025</v>
      </c>
      <c r="AH9" s="52">
        <v>6773.78157045</v>
      </c>
      <c r="AI9" s="52"/>
      <c r="AJ9" s="63">
        <v>9.585</v>
      </c>
      <c r="AK9" s="63">
        <v>4.086525</v>
      </c>
      <c r="AL9" s="63">
        <v>3.9675</v>
      </c>
      <c r="AM9" s="64">
        <v>0.03</v>
      </c>
      <c r="AN9" s="63">
        <v>2.9</v>
      </c>
      <c r="AO9" s="63">
        <v>1.408579625</v>
      </c>
      <c r="AP9" s="63">
        <v>1.61820941625</v>
      </c>
      <c r="AQ9" s="63">
        <v>19.59831404125</v>
      </c>
      <c r="AR9" s="63">
        <v>5302.91181328143</v>
      </c>
      <c r="AS9" s="63"/>
      <c r="AT9" s="70">
        <v>8</v>
      </c>
      <c r="AU9" s="70">
        <v>4.8307</v>
      </c>
      <c r="AV9" s="70">
        <v>4.69</v>
      </c>
      <c r="AW9" s="73">
        <v>0.03</v>
      </c>
      <c r="AX9" s="70">
        <v>3.5</v>
      </c>
      <c r="AY9" s="70">
        <v>0.979842</v>
      </c>
      <c r="AZ9" s="70">
        <v>1.55794878</v>
      </c>
      <c r="BA9" s="70">
        <v>18.86849078</v>
      </c>
      <c r="BB9" s="70">
        <v>5105.4362352524</v>
      </c>
      <c r="BC9" s="70"/>
    </row>
    <row r="10" ht="72" spans="1:55">
      <c r="A10" s="19">
        <v>19</v>
      </c>
      <c r="B10" s="28" t="s">
        <v>167</v>
      </c>
      <c r="C10" s="28" t="s">
        <v>170</v>
      </c>
      <c r="D10" s="20" t="s">
        <v>145</v>
      </c>
      <c r="E10" s="21">
        <v>139.14</v>
      </c>
      <c r="F10" s="22">
        <v>5.13</v>
      </c>
      <c r="G10" s="22">
        <v>4.6453</v>
      </c>
      <c r="H10" s="22">
        <v>4.51</v>
      </c>
      <c r="I10" s="33">
        <v>0.03</v>
      </c>
      <c r="J10" s="22">
        <v>1.91</v>
      </c>
      <c r="K10" s="22">
        <v>0.701118</v>
      </c>
      <c r="L10" s="22">
        <v>1.11477762</v>
      </c>
      <c r="M10" s="22">
        <v>13.50119562</v>
      </c>
      <c r="N10" s="22">
        <v>1878.5563585668</v>
      </c>
      <c r="O10" s="22"/>
      <c r="P10" s="34">
        <v>7.74</v>
      </c>
      <c r="Q10" s="43">
        <v>4.03039</v>
      </c>
      <c r="R10" s="43">
        <v>3.913</v>
      </c>
      <c r="S10" s="44">
        <v>0.03</v>
      </c>
      <c r="T10" s="43">
        <v>1.8146</v>
      </c>
      <c r="U10" s="43">
        <v>0.8150994</v>
      </c>
      <c r="V10" s="43">
        <v>1.296008046</v>
      </c>
      <c r="W10" s="43">
        <v>15.696097446</v>
      </c>
      <c r="X10" s="43">
        <v>2183.95499863644</v>
      </c>
      <c r="Y10" s="43" t="s">
        <v>169</v>
      </c>
      <c r="Z10" s="52">
        <v>12</v>
      </c>
      <c r="AA10" s="52">
        <v>6.825</v>
      </c>
      <c r="AB10" s="52">
        <v>6.5</v>
      </c>
      <c r="AC10" s="53">
        <v>0.05</v>
      </c>
      <c r="AD10" s="52">
        <v>1.5</v>
      </c>
      <c r="AE10" s="52">
        <v>2.64225</v>
      </c>
      <c r="AF10" s="52">
        <v>2.0670525</v>
      </c>
      <c r="AG10" s="38">
        <v>25.0343025</v>
      </c>
      <c r="AH10" s="52">
        <v>3483.27284985</v>
      </c>
      <c r="AI10" s="52"/>
      <c r="AJ10" s="63">
        <v>7.83</v>
      </c>
      <c r="AK10" s="63">
        <v>4.086525</v>
      </c>
      <c r="AL10" s="63">
        <v>3.9675</v>
      </c>
      <c r="AM10" s="64">
        <v>0.03</v>
      </c>
      <c r="AN10" s="63">
        <v>1.7</v>
      </c>
      <c r="AO10" s="63">
        <v>1.157404625</v>
      </c>
      <c r="AP10" s="63">
        <v>1.32965366625</v>
      </c>
      <c r="AQ10" s="63">
        <v>16.10358329125</v>
      </c>
      <c r="AR10" s="63">
        <v>2240.65257914452</v>
      </c>
      <c r="AS10" s="63"/>
      <c r="AT10" s="70">
        <v>8</v>
      </c>
      <c r="AU10" s="70">
        <v>4.8307</v>
      </c>
      <c r="AV10" s="70">
        <v>4.69</v>
      </c>
      <c r="AW10" s="73">
        <v>0.03</v>
      </c>
      <c r="AX10" s="70">
        <v>3.5</v>
      </c>
      <c r="AY10" s="70">
        <v>0.979842</v>
      </c>
      <c r="AZ10" s="70">
        <v>1.55794878</v>
      </c>
      <c r="BA10" s="38">
        <v>18.86849078</v>
      </c>
      <c r="BB10" s="70">
        <v>2625.3618071292</v>
      </c>
      <c r="BC10" s="70"/>
    </row>
    <row r="11" ht="72" spans="1:55">
      <c r="A11" s="19">
        <v>20</v>
      </c>
      <c r="B11" s="28" t="s">
        <v>167</v>
      </c>
      <c r="C11" s="28" t="s">
        <v>171</v>
      </c>
      <c r="D11" s="20" t="s">
        <v>145</v>
      </c>
      <c r="E11" s="21">
        <v>43.145</v>
      </c>
      <c r="F11" s="22">
        <v>11.98</v>
      </c>
      <c r="G11" s="22">
        <v>7.8692</v>
      </c>
      <c r="H11" s="22">
        <v>7.64</v>
      </c>
      <c r="I11" s="33">
        <v>0.03</v>
      </c>
      <c r="J11" s="22">
        <v>3.48</v>
      </c>
      <c r="K11" s="22">
        <v>1.399752</v>
      </c>
      <c r="L11" s="22">
        <v>2.22560568</v>
      </c>
      <c r="M11" s="22">
        <v>26.95455768</v>
      </c>
      <c r="N11" s="22">
        <v>1162.9543911036</v>
      </c>
      <c r="O11" s="22"/>
      <c r="P11" s="34">
        <v>10.32</v>
      </c>
      <c r="Q11" s="43">
        <v>5.421096</v>
      </c>
      <c r="R11" s="43">
        <v>5.2632</v>
      </c>
      <c r="S11" s="44">
        <v>0.03</v>
      </c>
      <c r="T11" s="43">
        <v>2.3048</v>
      </c>
      <c r="U11" s="43">
        <v>1.08275376</v>
      </c>
      <c r="V11" s="43">
        <v>1.7215784784</v>
      </c>
      <c r="W11" s="43">
        <v>20.8502282384</v>
      </c>
      <c r="X11" s="43">
        <v>899.583097345768</v>
      </c>
      <c r="Y11" s="43" t="s">
        <v>169</v>
      </c>
      <c r="Z11" s="52">
        <v>12</v>
      </c>
      <c r="AA11" s="52">
        <v>6.825</v>
      </c>
      <c r="AB11" s="52">
        <v>6.5</v>
      </c>
      <c r="AC11" s="53">
        <v>0.05</v>
      </c>
      <c r="AD11" s="52">
        <v>1.5</v>
      </c>
      <c r="AE11" s="52">
        <v>2.64225</v>
      </c>
      <c r="AF11" s="52">
        <v>2.0670525</v>
      </c>
      <c r="AG11" s="38">
        <v>25.0343025</v>
      </c>
      <c r="AH11" s="52">
        <v>1080.1049813625</v>
      </c>
      <c r="AI11" s="52"/>
      <c r="AJ11" s="63">
        <v>13.905</v>
      </c>
      <c r="AK11" s="63">
        <v>5.721135</v>
      </c>
      <c r="AL11" s="63">
        <v>5.5545</v>
      </c>
      <c r="AM11" s="64">
        <v>0.03</v>
      </c>
      <c r="AN11" s="63">
        <v>4.2</v>
      </c>
      <c r="AO11" s="63">
        <v>2.025221475</v>
      </c>
      <c r="AP11" s="63">
        <v>2.32662208275</v>
      </c>
      <c r="AQ11" s="63">
        <v>28.17797855775</v>
      </c>
      <c r="AR11" s="63">
        <v>1215.73888487412</v>
      </c>
      <c r="AS11" s="63"/>
      <c r="AT11" s="70">
        <v>12</v>
      </c>
      <c r="AU11" s="70">
        <v>9.27</v>
      </c>
      <c r="AV11" s="70">
        <v>9</v>
      </c>
      <c r="AW11" s="73">
        <v>0.03</v>
      </c>
      <c r="AX11" s="70">
        <v>4.25</v>
      </c>
      <c r="AY11" s="70">
        <v>1.5312</v>
      </c>
      <c r="AZ11" s="70">
        <v>2.434608</v>
      </c>
      <c r="BA11" s="38">
        <v>29.485808</v>
      </c>
      <c r="BB11" s="70">
        <v>1272.16518616</v>
      </c>
      <c r="BC11" s="70"/>
    </row>
    <row r="12" ht="72" spans="1:55">
      <c r="A12" s="19">
        <v>21</v>
      </c>
      <c r="B12" s="28" t="s">
        <v>172</v>
      </c>
      <c r="C12" s="28" t="s">
        <v>173</v>
      </c>
      <c r="D12" s="20" t="s">
        <v>145</v>
      </c>
      <c r="E12" s="21">
        <v>1334.675</v>
      </c>
      <c r="F12" s="22">
        <v>2.02</v>
      </c>
      <c r="G12" s="22">
        <v>3.2596</v>
      </c>
      <c r="H12" s="22">
        <v>2.81</v>
      </c>
      <c r="I12" s="33">
        <v>0.16</v>
      </c>
      <c r="J12" s="22">
        <v>1.1</v>
      </c>
      <c r="K12" s="22">
        <v>0.382776</v>
      </c>
      <c r="L12" s="22">
        <v>0.60861384</v>
      </c>
      <c r="M12" s="38">
        <v>7.37098984</v>
      </c>
      <c r="N12" s="22">
        <v>9837.875864702</v>
      </c>
      <c r="O12" s="39" t="s">
        <v>174</v>
      </c>
      <c r="P12" s="34">
        <v>1.892</v>
      </c>
      <c r="Q12" s="43">
        <v>2.0812</v>
      </c>
      <c r="R12" s="43">
        <v>1.892</v>
      </c>
      <c r="S12" s="44">
        <v>0.1</v>
      </c>
      <c r="T12" s="43">
        <v>0.86</v>
      </c>
      <c r="U12" s="43">
        <v>0.289992</v>
      </c>
      <c r="V12" s="43">
        <v>0.46108728</v>
      </c>
      <c r="W12" s="43">
        <v>5.58427928</v>
      </c>
      <c r="X12" s="43">
        <v>7453.197948034</v>
      </c>
      <c r="Y12" s="43" t="s">
        <v>175</v>
      </c>
      <c r="Z12" s="52">
        <v>1.1</v>
      </c>
      <c r="AA12" s="52">
        <v>2.109</v>
      </c>
      <c r="AB12" s="52">
        <v>1.9</v>
      </c>
      <c r="AC12" s="53">
        <v>0.11</v>
      </c>
      <c r="AD12" s="52">
        <v>0.8</v>
      </c>
      <c r="AE12" s="52">
        <v>0.52117</v>
      </c>
      <c r="AF12" s="52">
        <v>0.4077153</v>
      </c>
      <c r="AG12" s="52">
        <v>4.9378853</v>
      </c>
      <c r="AH12" s="52">
        <v>6590.4720627775</v>
      </c>
      <c r="AI12" s="52" t="s">
        <v>176</v>
      </c>
      <c r="AJ12" s="63">
        <v>2.565</v>
      </c>
      <c r="AK12" s="63">
        <v>2.54003044247788</v>
      </c>
      <c r="AL12" s="63">
        <v>2.1896814159292</v>
      </c>
      <c r="AM12" s="64">
        <v>0.16</v>
      </c>
      <c r="AN12" s="63">
        <v>0.2</v>
      </c>
      <c r="AO12" s="63">
        <v>0.45092758761062</v>
      </c>
      <c r="AP12" s="63">
        <v>0.518036222707965</v>
      </c>
      <c r="AQ12" s="63">
        <v>6.27399425279646</v>
      </c>
      <c r="AR12" s="63">
        <v>8373.74327935112</v>
      </c>
      <c r="AS12" s="63"/>
      <c r="AT12" s="70">
        <v>1.2</v>
      </c>
      <c r="AU12" s="70">
        <v>3.179</v>
      </c>
      <c r="AV12" s="70">
        <v>2.89</v>
      </c>
      <c r="AW12" s="73">
        <v>0.1</v>
      </c>
      <c r="AX12" s="70">
        <v>0.1</v>
      </c>
      <c r="AY12" s="70">
        <v>0.26874</v>
      </c>
      <c r="AZ12" s="70">
        <v>0.4272966</v>
      </c>
      <c r="BA12" s="70">
        <v>5.1750366</v>
      </c>
      <c r="BB12" s="70">
        <v>6906.991974105</v>
      </c>
      <c r="BC12" s="70"/>
    </row>
    <row r="13" ht="72" spans="1:55">
      <c r="A13" s="19">
        <v>22</v>
      </c>
      <c r="B13" s="28" t="s">
        <v>172</v>
      </c>
      <c r="C13" s="28" t="s">
        <v>177</v>
      </c>
      <c r="D13" s="20" t="s">
        <v>145</v>
      </c>
      <c r="E13" s="21">
        <v>191.8</v>
      </c>
      <c r="F13" s="22">
        <v>2.02</v>
      </c>
      <c r="G13" s="22">
        <v>3.2596</v>
      </c>
      <c r="H13" s="22">
        <v>2.81</v>
      </c>
      <c r="I13" s="33">
        <v>0.16</v>
      </c>
      <c r="J13" s="22">
        <v>1.1</v>
      </c>
      <c r="K13" s="22">
        <v>0.382776</v>
      </c>
      <c r="L13" s="22">
        <v>0.60861384</v>
      </c>
      <c r="M13" s="38">
        <v>7.37098984</v>
      </c>
      <c r="N13" s="22">
        <v>1413.755851312</v>
      </c>
      <c r="O13" s="39" t="s">
        <v>174</v>
      </c>
      <c r="P13" s="34">
        <v>1.892</v>
      </c>
      <c r="Q13" s="43">
        <v>2.0812</v>
      </c>
      <c r="R13" s="43">
        <v>1.892</v>
      </c>
      <c r="S13" s="44">
        <v>0.1</v>
      </c>
      <c r="T13" s="43">
        <v>0.86</v>
      </c>
      <c r="U13" s="43">
        <v>0.289992</v>
      </c>
      <c r="V13" s="43">
        <v>0.46108728</v>
      </c>
      <c r="W13" s="43">
        <v>5.58427928</v>
      </c>
      <c r="X13" s="43">
        <v>1071.064765904</v>
      </c>
      <c r="Y13" s="43" t="s">
        <v>175</v>
      </c>
      <c r="Z13" s="52">
        <v>1.1</v>
      </c>
      <c r="AA13" s="52">
        <v>2.109</v>
      </c>
      <c r="AB13" s="52">
        <v>1.9</v>
      </c>
      <c r="AC13" s="53">
        <v>0.11</v>
      </c>
      <c r="AD13" s="52">
        <v>0.8</v>
      </c>
      <c r="AE13" s="52">
        <v>0.52117</v>
      </c>
      <c r="AF13" s="52">
        <v>0.4077153</v>
      </c>
      <c r="AG13" s="52">
        <v>4.9378853</v>
      </c>
      <c r="AH13" s="52">
        <v>947.08640054</v>
      </c>
      <c r="AI13" s="52" t="s">
        <v>176</v>
      </c>
      <c r="AJ13" s="63">
        <v>2.565</v>
      </c>
      <c r="AK13" s="63">
        <v>2.54003044247788</v>
      </c>
      <c r="AL13" s="63">
        <v>2.1896814159292</v>
      </c>
      <c r="AM13" s="64">
        <v>0.16</v>
      </c>
      <c r="AN13" s="63">
        <v>0.2</v>
      </c>
      <c r="AO13" s="63">
        <v>0.45092758761062</v>
      </c>
      <c r="AP13" s="63">
        <v>0.518036222707965</v>
      </c>
      <c r="AQ13" s="63">
        <v>6.27399425279646</v>
      </c>
      <c r="AR13" s="63">
        <v>1203.35209768636</v>
      </c>
      <c r="AS13" s="63"/>
      <c r="AT13" s="70">
        <v>1.2</v>
      </c>
      <c r="AU13" s="70">
        <v>3.179</v>
      </c>
      <c r="AV13" s="70">
        <v>2.89</v>
      </c>
      <c r="AW13" s="73">
        <v>0.1</v>
      </c>
      <c r="AX13" s="70">
        <v>0.1</v>
      </c>
      <c r="AY13" s="70">
        <v>0.26874</v>
      </c>
      <c r="AZ13" s="70">
        <v>0.4272966</v>
      </c>
      <c r="BA13" s="70">
        <v>5.1750366</v>
      </c>
      <c r="BB13" s="70">
        <v>992.57201988</v>
      </c>
      <c r="BC13" s="70"/>
    </row>
    <row r="14" ht="72" spans="1:55">
      <c r="A14" s="19">
        <v>23</v>
      </c>
      <c r="B14" s="28" t="s">
        <v>172</v>
      </c>
      <c r="C14" s="28" t="s">
        <v>178</v>
      </c>
      <c r="D14" s="20" t="s">
        <v>145</v>
      </c>
      <c r="E14" s="21">
        <v>324.55</v>
      </c>
      <c r="F14" s="22">
        <v>1.94</v>
      </c>
      <c r="G14" s="22">
        <v>4.0484</v>
      </c>
      <c r="H14" s="22">
        <v>3.49</v>
      </c>
      <c r="I14" s="33">
        <v>0.16</v>
      </c>
      <c r="J14" s="22">
        <v>1.1</v>
      </c>
      <c r="K14" s="22">
        <v>0.425304</v>
      </c>
      <c r="L14" s="22">
        <v>0.67623336</v>
      </c>
      <c r="M14" s="38">
        <v>8.18993736</v>
      </c>
      <c r="N14" s="22">
        <v>2658.044170188</v>
      </c>
      <c r="O14" s="39" t="s">
        <v>174</v>
      </c>
      <c r="P14" s="34">
        <v>1.978</v>
      </c>
      <c r="Q14" s="43">
        <v>3.0272</v>
      </c>
      <c r="R14" s="43">
        <v>2.752</v>
      </c>
      <c r="S14" s="44">
        <v>0.1</v>
      </c>
      <c r="T14" s="43">
        <v>0.9116</v>
      </c>
      <c r="U14" s="43">
        <v>0.355008</v>
      </c>
      <c r="V14" s="43">
        <v>0.56446272</v>
      </c>
      <c r="W14" s="43">
        <v>6.83627072</v>
      </c>
      <c r="X14" s="43">
        <v>2218.711662176</v>
      </c>
      <c r="Y14" s="43" t="s">
        <v>175</v>
      </c>
      <c r="Z14" s="52">
        <v>1.1</v>
      </c>
      <c r="AA14" s="52">
        <v>3.4965</v>
      </c>
      <c r="AB14" s="52">
        <v>3.15</v>
      </c>
      <c r="AC14" s="53">
        <v>0.11</v>
      </c>
      <c r="AD14" s="52">
        <v>0.8</v>
      </c>
      <c r="AE14" s="52">
        <v>0.701545</v>
      </c>
      <c r="AF14" s="52">
        <v>0.54882405</v>
      </c>
      <c r="AG14" s="52">
        <v>6.64686905</v>
      </c>
      <c r="AH14" s="52">
        <v>2157.2413501775</v>
      </c>
      <c r="AI14" s="52" t="s">
        <v>176</v>
      </c>
      <c r="AJ14" s="63">
        <v>2.565</v>
      </c>
      <c r="AK14" s="63">
        <v>3.92082831858407</v>
      </c>
      <c r="AL14" s="63">
        <v>3.56438938053097</v>
      </c>
      <c r="AM14" s="64">
        <v>0.1</v>
      </c>
      <c r="AN14" s="63">
        <v>0.2</v>
      </c>
      <c r="AO14" s="63">
        <v>0.568295407079646</v>
      </c>
      <c r="AP14" s="63">
        <v>0.652871135309734</v>
      </c>
      <c r="AQ14" s="63">
        <v>7.90699486097345</v>
      </c>
      <c r="AR14" s="63">
        <v>2566.21518212893</v>
      </c>
      <c r="AS14" s="63"/>
      <c r="AT14" s="70">
        <v>1.2</v>
      </c>
      <c r="AU14" s="70">
        <v>4.378</v>
      </c>
      <c r="AV14" s="70">
        <v>3.98</v>
      </c>
      <c r="AW14" s="73">
        <v>0.1</v>
      </c>
      <c r="AX14" s="70">
        <v>0.1</v>
      </c>
      <c r="AY14" s="70">
        <v>0.34068</v>
      </c>
      <c r="AZ14" s="70">
        <v>0.5416812</v>
      </c>
      <c r="BA14" s="70">
        <v>6.5603612</v>
      </c>
      <c r="BB14" s="70">
        <v>2129.16522746</v>
      </c>
      <c r="BC14" s="70"/>
    </row>
    <row r="15" ht="72" spans="1:55">
      <c r="A15" s="19">
        <v>24</v>
      </c>
      <c r="B15" s="28" t="s">
        <v>172</v>
      </c>
      <c r="C15" s="28" t="s">
        <v>179</v>
      </c>
      <c r="D15" s="20" t="s">
        <v>145</v>
      </c>
      <c r="E15" s="21">
        <v>62.26</v>
      </c>
      <c r="F15" s="22">
        <v>2.02</v>
      </c>
      <c r="G15" s="22">
        <v>11.3724</v>
      </c>
      <c r="H15" s="22">
        <v>10.53</v>
      </c>
      <c r="I15" s="33">
        <v>0.08</v>
      </c>
      <c r="J15" s="22">
        <v>0.68</v>
      </c>
      <c r="K15" s="22">
        <v>0.844344</v>
      </c>
      <c r="L15" s="22">
        <v>1.34250696</v>
      </c>
      <c r="M15" s="38">
        <v>16.25925096</v>
      </c>
      <c r="N15" s="22">
        <v>1012.3009647696</v>
      </c>
      <c r="O15" s="39" t="s">
        <v>174</v>
      </c>
      <c r="P15" s="34">
        <v>2.064</v>
      </c>
      <c r="Q15" s="43">
        <v>10.89792</v>
      </c>
      <c r="R15" s="43">
        <v>9.9072</v>
      </c>
      <c r="S15" s="44">
        <v>0.1</v>
      </c>
      <c r="T15" s="43">
        <v>1.1352</v>
      </c>
      <c r="U15" s="43">
        <v>0.8458272</v>
      </c>
      <c r="V15" s="43">
        <v>1.344865248</v>
      </c>
      <c r="W15" s="38">
        <v>16.287812448</v>
      </c>
      <c r="X15" s="43">
        <v>1014.07920301248</v>
      </c>
      <c r="Y15" s="43" t="s">
        <v>175</v>
      </c>
      <c r="Z15" s="52">
        <v>1.1</v>
      </c>
      <c r="AA15" s="52">
        <v>6.216</v>
      </c>
      <c r="AB15" s="52">
        <v>5.6</v>
      </c>
      <c r="AC15" s="53">
        <v>0.11</v>
      </c>
      <c r="AD15" s="52">
        <v>0.5</v>
      </c>
      <c r="AE15" s="52">
        <v>1.01608</v>
      </c>
      <c r="AF15" s="52">
        <v>0.7948872</v>
      </c>
      <c r="AG15" s="52">
        <v>9.6269672</v>
      </c>
      <c r="AH15" s="52">
        <v>599.374977872</v>
      </c>
      <c r="AI15" s="52" t="s">
        <v>176</v>
      </c>
      <c r="AJ15" s="63">
        <v>2.565</v>
      </c>
      <c r="AK15" s="63">
        <v>6.4515</v>
      </c>
      <c r="AL15" s="63">
        <v>6.325</v>
      </c>
      <c r="AM15" s="64">
        <v>0.02</v>
      </c>
      <c r="AN15" s="63">
        <v>0.1</v>
      </c>
      <c r="AO15" s="63">
        <v>0.7749025</v>
      </c>
      <c r="AP15" s="63">
        <v>0.890226225</v>
      </c>
      <c r="AQ15" s="38">
        <v>10.781628725</v>
      </c>
      <c r="AR15" s="63">
        <v>671.2642044185</v>
      </c>
      <c r="AS15" s="63"/>
      <c r="AT15" s="70">
        <v>1.2</v>
      </c>
      <c r="AU15" s="70">
        <v>6.732</v>
      </c>
      <c r="AV15" s="70">
        <v>6.12</v>
      </c>
      <c r="AW15" s="73">
        <v>0.1</v>
      </c>
      <c r="AX15" s="70">
        <v>0.1</v>
      </c>
      <c r="AY15" s="70">
        <v>0.48192</v>
      </c>
      <c r="AZ15" s="70">
        <v>0.7662528</v>
      </c>
      <c r="BA15" s="70">
        <v>9.2801728</v>
      </c>
      <c r="BB15" s="70">
        <v>577.783558528</v>
      </c>
      <c r="BC15" s="70"/>
    </row>
    <row r="16" ht="86.4" spans="1:55">
      <c r="A16" s="19">
        <v>25</v>
      </c>
      <c r="B16" s="28" t="s">
        <v>180</v>
      </c>
      <c r="C16" s="28" t="s">
        <v>181</v>
      </c>
      <c r="D16" s="20" t="s">
        <v>182</v>
      </c>
      <c r="E16" s="21">
        <v>12</v>
      </c>
      <c r="F16" s="22">
        <v>9.55</v>
      </c>
      <c r="G16" s="22">
        <v>58.58</v>
      </c>
      <c r="H16" s="22">
        <v>58</v>
      </c>
      <c r="I16" s="33">
        <v>0.01</v>
      </c>
      <c r="J16" s="22">
        <v>13.95</v>
      </c>
      <c r="K16" s="22">
        <v>4.9248</v>
      </c>
      <c r="L16" s="22">
        <v>7.830432</v>
      </c>
      <c r="M16" s="22">
        <v>94.835232</v>
      </c>
      <c r="N16" s="22">
        <v>1138.022784</v>
      </c>
      <c r="O16" s="40" t="s">
        <v>183</v>
      </c>
      <c r="P16" s="34">
        <v>17.2</v>
      </c>
      <c r="Q16" s="43">
        <v>121</v>
      </c>
      <c r="R16" s="43">
        <v>121</v>
      </c>
      <c r="S16" s="44"/>
      <c r="T16" s="43">
        <v>7.4476</v>
      </c>
      <c r="U16" s="43">
        <v>8.738856</v>
      </c>
      <c r="V16" s="43">
        <v>13.89478104</v>
      </c>
      <c r="W16" s="38">
        <v>168.28123704</v>
      </c>
      <c r="X16" s="43">
        <v>2019.37484448</v>
      </c>
      <c r="Y16" s="43" t="s">
        <v>183</v>
      </c>
      <c r="Z16" s="52">
        <v>13</v>
      </c>
      <c r="AA16" s="52">
        <v>60.6</v>
      </c>
      <c r="AB16" s="52">
        <v>60</v>
      </c>
      <c r="AC16" s="53">
        <v>0.01</v>
      </c>
      <c r="AD16" s="52">
        <v>1</v>
      </c>
      <c r="AE16" s="52">
        <v>9.698</v>
      </c>
      <c r="AF16" s="52">
        <v>7.58682</v>
      </c>
      <c r="AG16" s="52">
        <v>91.88482</v>
      </c>
      <c r="AH16" s="52">
        <v>1102.61784</v>
      </c>
      <c r="AI16" s="52" t="s">
        <v>184</v>
      </c>
      <c r="AJ16" s="63">
        <v>20.25</v>
      </c>
      <c r="AK16" s="63">
        <v>124.373008849558</v>
      </c>
      <c r="AL16" s="63">
        <v>123.141592920354</v>
      </c>
      <c r="AM16" s="64">
        <v>0.01</v>
      </c>
      <c r="AN16" s="63">
        <v>8</v>
      </c>
      <c r="AO16" s="63">
        <v>12.9729557522124</v>
      </c>
      <c r="AP16" s="63">
        <v>14.9036368141593</v>
      </c>
      <c r="AQ16" s="38">
        <v>180.49960141593</v>
      </c>
      <c r="AR16" s="63">
        <v>2165.99521699116</v>
      </c>
      <c r="AS16" s="63"/>
      <c r="AT16" s="70">
        <v>12</v>
      </c>
      <c r="AU16" s="70">
        <v>177</v>
      </c>
      <c r="AV16" s="70">
        <v>177</v>
      </c>
      <c r="AW16" s="73">
        <v>0</v>
      </c>
      <c r="AX16" s="70">
        <v>3</v>
      </c>
      <c r="AY16" s="70">
        <v>11.52</v>
      </c>
      <c r="AZ16" s="70">
        <v>18.3168</v>
      </c>
      <c r="BA16" s="38">
        <v>221.8368</v>
      </c>
      <c r="BB16" s="70">
        <v>2662.0416</v>
      </c>
      <c r="BC16" s="70"/>
    </row>
    <row r="17" ht="86.4" spans="1:55">
      <c r="A17" s="19">
        <v>26</v>
      </c>
      <c r="B17" s="28" t="s">
        <v>180</v>
      </c>
      <c r="C17" s="28" t="s">
        <v>185</v>
      </c>
      <c r="D17" s="20" t="s">
        <v>182</v>
      </c>
      <c r="E17" s="21">
        <v>6</v>
      </c>
      <c r="F17" s="22">
        <v>7.36</v>
      </c>
      <c r="G17" s="22">
        <v>58.58</v>
      </c>
      <c r="H17" s="22">
        <v>58</v>
      </c>
      <c r="I17" s="33">
        <v>0.01</v>
      </c>
      <c r="J17" s="22">
        <v>13.95</v>
      </c>
      <c r="K17" s="22">
        <v>4.7934</v>
      </c>
      <c r="L17" s="22">
        <v>7.621506</v>
      </c>
      <c r="M17" s="22">
        <v>92.304906</v>
      </c>
      <c r="N17" s="22">
        <v>553.829436</v>
      </c>
      <c r="O17" s="40" t="s">
        <v>183</v>
      </c>
      <c r="P17" s="34">
        <v>17.2</v>
      </c>
      <c r="Q17" s="43">
        <v>136</v>
      </c>
      <c r="R17" s="43">
        <v>136</v>
      </c>
      <c r="S17" s="44"/>
      <c r="T17" s="43">
        <v>7.4476</v>
      </c>
      <c r="U17" s="43">
        <v>9.638856</v>
      </c>
      <c r="V17" s="43">
        <v>15.32578104</v>
      </c>
      <c r="W17" s="38">
        <v>185.61223704</v>
      </c>
      <c r="X17" s="43">
        <v>1113.67342224</v>
      </c>
      <c r="Y17" s="43" t="s">
        <v>183</v>
      </c>
      <c r="Z17" s="52">
        <v>13</v>
      </c>
      <c r="AA17" s="52">
        <v>65.65</v>
      </c>
      <c r="AB17" s="52">
        <v>65</v>
      </c>
      <c r="AC17" s="53">
        <v>0.01</v>
      </c>
      <c r="AD17" s="52">
        <v>1</v>
      </c>
      <c r="AE17" s="52">
        <v>10.3545</v>
      </c>
      <c r="AF17" s="52">
        <v>8.100405</v>
      </c>
      <c r="AG17" s="52">
        <v>98.104905</v>
      </c>
      <c r="AH17" s="52">
        <v>588.62943</v>
      </c>
      <c r="AI17" s="52"/>
      <c r="AJ17" s="63">
        <v>20.25</v>
      </c>
      <c r="AK17" s="63">
        <v>41.1150442477876</v>
      </c>
      <c r="AL17" s="63">
        <v>40.7079646017699</v>
      </c>
      <c r="AM17" s="64">
        <v>0.01</v>
      </c>
      <c r="AN17" s="63">
        <v>8</v>
      </c>
      <c r="AO17" s="63">
        <v>5.89602876106195</v>
      </c>
      <c r="AP17" s="63">
        <v>6.77349657079646</v>
      </c>
      <c r="AQ17" s="63">
        <v>82.034569579646</v>
      </c>
      <c r="AR17" s="63">
        <v>492.207417477876</v>
      </c>
      <c r="AS17" s="63"/>
      <c r="AT17" s="70">
        <v>12</v>
      </c>
      <c r="AU17" s="70">
        <v>178</v>
      </c>
      <c r="AV17" s="70">
        <v>178</v>
      </c>
      <c r="AW17" s="73">
        <v>0</v>
      </c>
      <c r="AX17" s="70">
        <v>3</v>
      </c>
      <c r="AY17" s="70">
        <v>11.58</v>
      </c>
      <c r="AZ17" s="70">
        <v>18.4122</v>
      </c>
      <c r="BA17" s="38">
        <v>222.9922</v>
      </c>
      <c r="BB17" s="70">
        <v>1337.9532</v>
      </c>
      <c r="BC17" s="70"/>
    </row>
    <row r="18" ht="72" spans="1:55">
      <c r="A18" s="19">
        <v>27</v>
      </c>
      <c r="B18" s="28" t="s">
        <v>186</v>
      </c>
      <c r="C18" s="28" t="s">
        <v>187</v>
      </c>
      <c r="D18" s="20" t="s">
        <v>145</v>
      </c>
      <c r="E18" s="21">
        <v>20</v>
      </c>
      <c r="F18" s="22">
        <v>7.36</v>
      </c>
      <c r="G18" s="22">
        <v>36.2893</v>
      </c>
      <c r="H18" s="22">
        <v>35.93</v>
      </c>
      <c r="I18" s="33">
        <v>0.01</v>
      </c>
      <c r="J18" s="22">
        <v>20.62</v>
      </c>
      <c r="K18" s="22">
        <v>3.856158</v>
      </c>
      <c r="L18" s="22">
        <v>6.13129122</v>
      </c>
      <c r="M18" s="22">
        <v>74.25674922</v>
      </c>
      <c r="N18" s="22">
        <v>1485.1349844</v>
      </c>
      <c r="O18" s="22"/>
      <c r="P18" s="34">
        <v>12.9</v>
      </c>
      <c r="Q18" s="43">
        <v>56.459</v>
      </c>
      <c r="R18" s="43">
        <v>55.9</v>
      </c>
      <c r="S18" s="44">
        <v>0.01</v>
      </c>
      <c r="T18" s="43">
        <v>3.2422</v>
      </c>
      <c r="U18" s="43">
        <v>4.356072</v>
      </c>
      <c r="V18" s="43">
        <v>6.92615448</v>
      </c>
      <c r="W18" s="38">
        <v>83.88342648</v>
      </c>
      <c r="X18" s="43">
        <v>1677.6685296</v>
      </c>
      <c r="Y18" s="43" t="s">
        <v>183</v>
      </c>
      <c r="Z18" s="52">
        <v>20</v>
      </c>
      <c r="AA18" s="52">
        <v>40.4</v>
      </c>
      <c r="AB18" s="52">
        <v>40</v>
      </c>
      <c r="AC18" s="53">
        <v>0.01</v>
      </c>
      <c r="AD18" s="52">
        <v>5</v>
      </c>
      <c r="AE18" s="52">
        <v>8.502</v>
      </c>
      <c r="AF18" s="52">
        <v>6.65118</v>
      </c>
      <c r="AG18" s="52">
        <v>80.55318</v>
      </c>
      <c r="AH18" s="52">
        <v>1611.0636</v>
      </c>
      <c r="AI18" s="52"/>
      <c r="AJ18" s="63">
        <v>8.91</v>
      </c>
      <c r="AK18" s="63">
        <v>46.46</v>
      </c>
      <c r="AL18" s="63">
        <v>46</v>
      </c>
      <c r="AM18" s="64">
        <v>0.01</v>
      </c>
      <c r="AN18" s="63">
        <v>4.4</v>
      </c>
      <c r="AO18" s="63">
        <v>5.08045</v>
      </c>
      <c r="AP18" s="63">
        <v>5.8365405</v>
      </c>
      <c r="AQ18" s="63">
        <v>70.6869905</v>
      </c>
      <c r="AR18" s="63">
        <v>1413.73981</v>
      </c>
      <c r="AS18" s="63"/>
      <c r="AT18" s="70">
        <v>10</v>
      </c>
      <c r="AU18" s="70">
        <v>150</v>
      </c>
      <c r="AV18" s="70">
        <v>150</v>
      </c>
      <c r="AW18" s="73">
        <v>0</v>
      </c>
      <c r="AX18" s="70">
        <v>3</v>
      </c>
      <c r="AY18" s="70">
        <v>9.78</v>
      </c>
      <c r="AZ18" s="70">
        <v>15.5502</v>
      </c>
      <c r="BA18" s="38">
        <v>188.3302</v>
      </c>
      <c r="BB18" s="70">
        <v>3766.604</v>
      </c>
      <c r="BC18" s="70"/>
    </row>
    <row r="19" ht="86.4" spans="1:55">
      <c r="A19" s="19">
        <v>28</v>
      </c>
      <c r="B19" s="28" t="s">
        <v>180</v>
      </c>
      <c r="C19" s="28" t="s">
        <v>188</v>
      </c>
      <c r="D19" s="20" t="s">
        <v>182</v>
      </c>
      <c r="E19" s="21">
        <v>13</v>
      </c>
      <c r="F19" s="22">
        <v>40.78</v>
      </c>
      <c r="G19" s="22">
        <v>117.16</v>
      </c>
      <c r="H19" s="22">
        <v>116</v>
      </c>
      <c r="I19" s="33">
        <v>0.01</v>
      </c>
      <c r="J19" s="22">
        <v>66.93</v>
      </c>
      <c r="K19" s="22">
        <v>13.4922</v>
      </c>
      <c r="L19" s="22">
        <v>21.452598</v>
      </c>
      <c r="M19" s="38">
        <v>259.814798</v>
      </c>
      <c r="N19" s="22">
        <v>3377.592374</v>
      </c>
      <c r="O19" s="40" t="s">
        <v>183</v>
      </c>
      <c r="P19" s="34">
        <v>17.2</v>
      </c>
      <c r="Q19" s="43">
        <v>96</v>
      </c>
      <c r="R19" s="43">
        <v>96</v>
      </c>
      <c r="S19" s="44"/>
      <c r="T19" s="43">
        <v>7.4476</v>
      </c>
      <c r="U19" s="43">
        <v>7.238856</v>
      </c>
      <c r="V19" s="43">
        <v>11.50978104</v>
      </c>
      <c r="W19" s="38">
        <v>139.39623704</v>
      </c>
      <c r="X19" s="43">
        <v>1812.15108152</v>
      </c>
      <c r="Y19" s="43" t="s">
        <v>183</v>
      </c>
      <c r="Z19" s="52">
        <v>13</v>
      </c>
      <c r="AA19" s="52">
        <v>60.6</v>
      </c>
      <c r="AB19" s="52">
        <v>60</v>
      </c>
      <c r="AC19" s="53">
        <v>0.01</v>
      </c>
      <c r="AD19" s="52">
        <v>1</v>
      </c>
      <c r="AE19" s="52">
        <v>9.698</v>
      </c>
      <c r="AF19" s="52">
        <v>7.58682</v>
      </c>
      <c r="AG19" s="52">
        <v>91.88482</v>
      </c>
      <c r="AH19" s="52">
        <v>1194.50266</v>
      </c>
      <c r="AI19" s="52" t="s">
        <v>184</v>
      </c>
      <c r="AJ19" s="63">
        <v>20.25</v>
      </c>
      <c r="AK19" s="63">
        <v>149.04203539823</v>
      </c>
      <c r="AL19" s="63">
        <v>147.566371681416</v>
      </c>
      <c r="AM19" s="64">
        <v>0.01</v>
      </c>
      <c r="AN19" s="63">
        <v>8</v>
      </c>
      <c r="AO19" s="63">
        <v>15.0698230088496</v>
      </c>
      <c r="AP19" s="63">
        <v>17.3125672566372</v>
      </c>
      <c r="AQ19" s="38">
        <v>209.674425663717</v>
      </c>
      <c r="AR19" s="63">
        <v>2725.76753362832</v>
      </c>
      <c r="AS19" s="63"/>
      <c r="AT19" s="70">
        <v>12</v>
      </c>
      <c r="AU19" s="70">
        <v>177</v>
      </c>
      <c r="AV19" s="70">
        <v>177</v>
      </c>
      <c r="AW19" s="73">
        <v>0</v>
      </c>
      <c r="AX19" s="70">
        <v>3</v>
      </c>
      <c r="AY19" s="70">
        <v>11.52</v>
      </c>
      <c r="AZ19" s="70">
        <v>18.3168</v>
      </c>
      <c r="BA19" s="38">
        <v>221.8368</v>
      </c>
      <c r="BB19" s="70">
        <v>2883.8784</v>
      </c>
      <c r="BC19" s="70"/>
    </row>
    <row r="20" ht="72" spans="1:55">
      <c r="A20" s="19">
        <v>29</v>
      </c>
      <c r="B20" s="28" t="s">
        <v>180</v>
      </c>
      <c r="C20" s="28" t="s">
        <v>189</v>
      </c>
      <c r="D20" s="20" t="s">
        <v>182</v>
      </c>
      <c r="E20" s="21">
        <v>13</v>
      </c>
      <c r="F20" s="22">
        <v>15.37</v>
      </c>
      <c r="G20" s="22">
        <v>58.58</v>
      </c>
      <c r="H20" s="22">
        <v>58</v>
      </c>
      <c r="I20" s="33">
        <v>0.01</v>
      </c>
      <c r="J20" s="22">
        <v>13.95</v>
      </c>
      <c r="K20" s="22">
        <v>5.274</v>
      </c>
      <c r="L20" s="22">
        <v>8.38566</v>
      </c>
      <c r="M20" s="22">
        <v>101.55966</v>
      </c>
      <c r="N20" s="22">
        <v>1320.27558</v>
      </c>
      <c r="O20" s="40" t="s">
        <v>183</v>
      </c>
      <c r="P20" s="34">
        <v>16.34</v>
      </c>
      <c r="Q20" s="43">
        <v>43</v>
      </c>
      <c r="R20" s="43">
        <v>43</v>
      </c>
      <c r="S20" s="44"/>
      <c r="T20" s="43">
        <v>7.4476</v>
      </c>
      <c r="U20" s="43">
        <v>4.007256</v>
      </c>
      <c r="V20" s="43">
        <v>6.37153704</v>
      </c>
      <c r="W20" s="43">
        <v>77.16639304</v>
      </c>
      <c r="X20" s="43">
        <v>1003.16310952</v>
      </c>
      <c r="Y20" s="43" t="s">
        <v>183</v>
      </c>
      <c r="Z20" s="52">
        <v>15</v>
      </c>
      <c r="AA20" s="52">
        <v>90.9</v>
      </c>
      <c r="AB20" s="52">
        <v>90</v>
      </c>
      <c r="AC20" s="53">
        <v>0.01</v>
      </c>
      <c r="AD20" s="52">
        <v>1</v>
      </c>
      <c r="AE20" s="52">
        <v>13.897</v>
      </c>
      <c r="AF20" s="52">
        <v>10.87173</v>
      </c>
      <c r="AG20" s="38">
        <v>131.66873</v>
      </c>
      <c r="AH20" s="52">
        <v>1711.69349</v>
      </c>
      <c r="AI20" s="52" t="s">
        <v>184</v>
      </c>
      <c r="AJ20" s="63">
        <v>20.25</v>
      </c>
      <c r="AK20" s="63">
        <v>46.2544247787611</v>
      </c>
      <c r="AL20" s="63">
        <v>45.7964601769911</v>
      </c>
      <c r="AM20" s="64">
        <v>0.01</v>
      </c>
      <c r="AN20" s="63">
        <v>8</v>
      </c>
      <c r="AO20" s="63">
        <v>6.33287610619469</v>
      </c>
      <c r="AP20" s="63">
        <v>7.27535707964602</v>
      </c>
      <c r="AQ20" s="63">
        <v>88.1126579646018</v>
      </c>
      <c r="AR20" s="63">
        <v>1145.46455353982</v>
      </c>
      <c r="AS20" s="63"/>
      <c r="AT20" s="70">
        <v>12</v>
      </c>
      <c r="AU20" s="70">
        <v>177</v>
      </c>
      <c r="AV20" s="70">
        <v>177</v>
      </c>
      <c r="AW20" s="73">
        <v>0</v>
      </c>
      <c r="AX20" s="70">
        <v>3</v>
      </c>
      <c r="AY20" s="70">
        <v>11.52</v>
      </c>
      <c r="AZ20" s="70">
        <v>18.3168</v>
      </c>
      <c r="BA20" s="38">
        <v>221.8368</v>
      </c>
      <c r="BB20" s="70">
        <v>2883.8784</v>
      </c>
      <c r="BC20" s="70"/>
    </row>
    <row r="21" ht="72" spans="1:55">
      <c r="A21" s="19">
        <v>30</v>
      </c>
      <c r="B21" s="28" t="s">
        <v>180</v>
      </c>
      <c r="C21" s="28" t="s">
        <v>190</v>
      </c>
      <c r="D21" s="20" t="s">
        <v>182</v>
      </c>
      <c r="E21" s="21">
        <v>26</v>
      </c>
      <c r="F21" s="22">
        <v>9.55</v>
      </c>
      <c r="G21" s="22">
        <v>63.63</v>
      </c>
      <c r="H21" s="22">
        <v>63</v>
      </c>
      <c r="I21" s="33">
        <v>0.01</v>
      </c>
      <c r="J21" s="22">
        <v>18.95</v>
      </c>
      <c r="K21" s="22">
        <v>5.5278</v>
      </c>
      <c r="L21" s="22">
        <v>8.789202</v>
      </c>
      <c r="M21" s="38">
        <v>106.447002</v>
      </c>
      <c r="N21" s="22">
        <v>2767.622052</v>
      </c>
      <c r="O21" s="40" t="s">
        <v>183</v>
      </c>
      <c r="P21" s="34">
        <v>16.34</v>
      </c>
      <c r="Q21" s="43">
        <v>35</v>
      </c>
      <c r="R21" s="43">
        <v>35</v>
      </c>
      <c r="S21" s="44"/>
      <c r="T21" s="43">
        <v>7.4476</v>
      </c>
      <c r="U21" s="43">
        <v>3.527256</v>
      </c>
      <c r="V21" s="43">
        <v>5.60833704</v>
      </c>
      <c r="W21" s="43">
        <v>67.92319304</v>
      </c>
      <c r="X21" s="43">
        <v>1766.00301904</v>
      </c>
      <c r="Y21" s="43" t="s">
        <v>183</v>
      </c>
      <c r="Z21" s="52">
        <v>13</v>
      </c>
      <c r="AA21" s="52">
        <v>60.6</v>
      </c>
      <c r="AB21" s="52">
        <v>60</v>
      </c>
      <c r="AC21" s="53">
        <v>0.01</v>
      </c>
      <c r="AD21" s="52">
        <v>1</v>
      </c>
      <c r="AE21" s="52">
        <v>9.698</v>
      </c>
      <c r="AF21" s="52">
        <v>7.58682</v>
      </c>
      <c r="AG21" s="38">
        <v>91.88482</v>
      </c>
      <c r="AH21" s="52">
        <v>2389.00532</v>
      </c>
      <c r="AI21" s="52" t="s">
        <v>184</v>
      </c>
      <c r="AJ21" s="63">
        <v>20.25</v>
      </c>
      <c r="AK21" s="63">
        <v>30.8362831858407</v>
      </c>
      <c r="AL21" s="63">
        <v>30.5309734513274</v>
      </c>
      <c r="AM21" s="64">
        <v>0.01</v>
      </c>
      <c r="AN21" s="63">
        <v>8</v>
      </c>
      <c r="AO21" s="63">
        <v>5.02233407079646</v>
      </c>
      <c r="AP21" s="63">
        <v>5.76977555309734</v>
      </c>
      <c r="AQ21" s="63">
        <v>69.8783928097345</v>
      </c>
      <c r="AR21" s="63">
        <v>1816.8382130531</v>
      </c>
      <c r="AS21" s="63"/>
      <c r="AT21" s="70">
        <v>12</v>
      </c>
      <c r="AU21" s="70">
        <v>139</v>
      </c>
      <c r="AV21" s="70">
        <v>139</v>
      </c>
      <c r="AW21" s="73">
        <v>0</v>
      </c>
      <c r="AX21" s="70">
        <v>3</v>
      </c>
      <c r="AY21" s="70">
        <v>9.24</v>
      </c>
      <c r="AZ21" s="70">
        <v>14.6916</v>
      </c>
      <c r="BA21" s="38">
        <v>177.9316</v>
      </c>
      <c r="BB21" s="70">
        <v>4626.2216</v>
      </c>
      <c r="BC21" s="70"/>
    </row>
    <row r="22" ht="72" spans="1:55">
      <c r="A22" s="19">
        <v>31</v>
      </c>
      <c r="B22" s="28" t="s">
        <v>180</v>
      </c>
      <c r="C22" s="28" t="s">
        <v>191</v>
      </c>
      <c r="D22" s="20" t="s">
        <v>182</v>
      </c>
      <c r="E22" s="21">
        <v>24</v>
      </c>
      <c r="F22" s="22">
        <v>9.55</v>
      </c>
      <c r="G22" s="22">
        <v>73.73</v>
      </c>
      <c r="H22" s="22">
        <v>73</v>
      </c>
      <c r="I22" s="33">
        <v>0.01</v>
      </c>
      <c r="J22" s="22">
        <v>21.95</v>
      </c>
      <c r="K22" s="22">
        <v>6.3138</v>
      </c>
      <c r="L22" s="22">
        <v>10.038942</v>
      </c>
      <c r="M22" s="38">
        <v>121.582742</v>
      </c>
      <c r="N22" s="22">
        <v>2917.985808</v>
      </c>
      <c r="O22" s="40" t="s">
        <v>183</v>
      </c>
      <c r="P22" s="34">
        <v>16.34</v>
      </c>
      <c r="Q22" s="43">
        <v>39</v>
      </c>
      <c r="R22" s="43">
        <v>39</v>
      </c>
      <c r="S22" s="44"/>
      <c r="T22" s="43">
        <v>7.4476</v>
      </c>
      <c r="U22" s="43">
        <v>3.767256</v>
      </c>
      <c r="V22" s="43">
        <v>5.98993704</v>
      </c>
      <c r="W22" s="43">
        <v>72.54479304</v>
      </c>
      <c r="X22" s="43">
        <v>1741.07503296</v>
      </c>
      <c r="Y22" s="43" t="s">
        <v>183</v>
      </c>
      <c r="Z22" s="52">
        <v>13</v>
      </c>
      <c r="AA22" s="52">
        <v>70.7</v>
      </c>
      <c r="AB22" s="52">
        <v>70</v>
      </c>
      <c r="AC22" s="53">
        <v>0.01</v>
      </c>
      <c r="AD22" s="52">
        <v>1</v>
      </c>
      <c r="AE22" s="52">
        <v>11.011</v>
      </c>
      <c r="AF22" s="52">
        <v>8.61399</v>
      </c>
      <c r="AG22" s="38">
        <v>104.32499</v>
      </c>
      <c r="AH22" s="52">
        <v>2503.79976</v>
      </c>
      <c r="AI22" s="52" t="s">
        <v>184</v>
      </c>
      <c r="AJ22" s="63">
        <v>20.25</v>
      </c>
      <c r="AK22" s="63">
        <v>30.8362831858407</v>
      </c>
      <c r="AL22" s="63">
        <v>30.5309734513274</v>
      </c>
      <c r="AM22" s="64">
        <v>0.01</v>
      </c>
      <c r="AN22" s="63">
        <v>8</v>
      </c>
      <c r="AO22" s="63">
        <v>5.02233407079646</v>
      </c>
      <c r="AP22" s="63">
        <v>5.76977555309734</v>
      </c>
      <c r="AQ22" s="63">
        <v>69.8783928097345</v>
      </c>
      <c r="AR22" s="63">
        <v>1677.08142743363</v>
      </c>
      <c r="AS22" s="63"/>
      <c r="AT22" s="70">
        <v>12</v>
      </c>
      <c r="AU22" s="70">
        <v>139</v>
      </c>
      <c r="AV22" s="70">
        <v>139</v>
      </c>
      <c r="AW22" s="73">
        <v>0</v>
      </c>
      <c r="AX22" s="70">
        <v>3</v>
      </c>
      <c r="AY22" s="70">
        <v>9.24</v>
      </c>
      <c r="AZ22" s="70">
        <v>14.6916</v>
      </c>
      <c r="BA22" s="38">
        <v>177.9316</v>
      </c>
      <c r="BB22" s="70">
        <v>4270.3584</v>
      </c>
      <c r="BC22" s="70"/>
    </row>
    <row r="23" ht="57.6" spans="1:55">
      <c r="A23" s="19">
        <v>32</v>
      </c>
      <c r="B23" s="28" t="s">
        <v>180</v>
      </c>
      <c r="C23" s="28" t="s">
        <v>192</v>
      </c>
      <c r="D23" s="20" t="s">
        <v>182</v>
      </c>
      <c r="E23" s="21">
        <v>17</v>
      </c>
      <c r="F23" s="22">
        <v>15.37</v>
      </c>
      <c r="G23" s="22">
        <v>55.55</v>
      </c>
      <c r="H23" s="22">
        <v>55</v>
      </c>
      <c r="I23" s="33">
        <v>0.01</v>
      </c>
      <c r="J23" s="22">
        <v>17.6</v>
      </c>
      <c r="K23" s="22">
        <v>5.3112</v>
      </c>
      <c r="L23" s="22">
        <v>8.444808</v>
      </c>
      <c r="M23" s="38">
        <v>102.276008</v>
      </c>
      <c r="N23" s="22">
        <v>1738.692136</v>
      </c>
      <c r="O23" s="40" t="s">
        <v>183</v>
      </c>
      <c r="P23" s="34">
        <v>16.34</v>
      </c>
      <c r="Q23" s="43">
        <v>35</v>
      </c>
      <c r="R23" s="43">
        <v>35</v>
      </c>
      <c r="S23" s="44"/>
      <c r="T23" s="43">
        <v>7.4476</v>
      </c>
      <c r="U23" s="43">
        <v>3.527256</v>
      </c>
      <c r="V23" s="43">
        <v>5.60833704</v>
      </c>
      <c r="W23" s="43">
        <v>67.92319304</v>
      </c>
      <c r="X23" s="43">
        <v>1154.69428168</v>
      </c>
      <c r="Y23" s="43" t="s">
        <v>183</v>
      </c>
      <c r="Z23" s="52">
        <v>13</v>
      </c>
      <c r="AA23" s="52">
        <v>60.6</v>
      </c>
      <c r="AB23" s="52">
        <v>60</v>
      </c>
      <c r="AC23" s="53">
        <v>0.01</v>
      </c>
      <c r="AD23" s="52">
        <v>1</v>
      </c>
      <c r="AE23" s="52">
        <v>9.698</v>
      </c>
      <c r="AF23" s="52">
        <v>7.58682</v>
      </c>
      <c r="AG23" s="38">
        <v>91.88482</v>
      </c>
      <c r="AH23" s="52">
        <v>1562.04194</v>
      </c>
      <c r="AI23" s="52" t="s">
        <v>184</v>
      </c>
      <c r="AJ23" s="63">
        <v>20.25</v>
      </c>
      <c r="AK23" s="63">
        <v>30.8362831858407</v>
      </c>
      <c r="AL23" s="63">
        <v>30.5309734513274</v>
      </c>
      <c r="AM23" s="64">
        <v>0.01</v>
      </c>
      <c r="AN23" s="63">
        <v>8</v>
      </c>
      <c r="AO23" s="63">
        <v>5.02233407079646</v>
      </c>
      <c r="AP23" s="63">
        <v>5.76977555309734</v>
      </c>
      <c r="AQ23" s="63">
        <v>69.8783928097345</v>
      </c>
      <c r="AR23" s="63">
        <v>1187.93267776549</v>
      </c>
      <c r="AS23" s="63"/>
      <c r="AT23" s="70">
        <v>12</v>
      </c>
      <c r="AU23" s="70">
        <v>139</v>
      </c>
      <c r="AV23" s="70">
        <v>139</v>
      </c>
      <c r="AW23" s="73">
        <v>0</v>
      </c>
      <c r="AX23" s="70">
        <v>3</v>
      </c>
      <c r="AY23" s="70">
        <v>9.24</v>
      </c>
      <c r="AZ23" s="70">
        <v>14.6916</v>
      </c>
      <c r="BA23" s="38">
        <v>177.9316</v>
      </c>
      <c r="BB23" s="70">
        <v>3024.8372</v>
      </c>
      <c r="BC23" s="70"/>
    </row>
    <row r="24" ht="72" spans="1:55">
      <c r="A24" s="19">
        <v>33</v>
      </c>
      <c r="B24" s="28" t="s">
        <v>180</v>
      </c>
      <c r="C24" s="28" t="s">
        <v>193</v>
      </c>
      <c r="D24" s="20" t="s">
        <v>145</v>
      </c>
      <c r="E24" s="21">
        <v>245.785</v>
      </c>
      <c r="F24" s="22">
        <v>15.23</v>
      </c>
      <c r="G24" s="22">
        <v>12.75</v>
      </c>
      <c r="H24" s="22">
        <v>12.5</v>
      </c>
      <c r="I24" s="33">
        <v>0.02</v>
      </c>
      <c r="J24" s="22">
        <v>11.78</v>
      </c>
      <c r="K24" s="22">
        <v>2.3856</v>
      </c>
      <c r="L24" s="22">
        <v>3.793104</v>
      </c>
      <c r="M24" s="38">
        <v>45.938704</v>
      </c>
      <c r="N24" s="22">
        <v>11291.04436264</v>
      </c>
      <c r="O24" s="22"/>
      <c r="P24" s="34">
        <v>10.32</v>
      </c>
      <c r="Q24" s="43">
        <v>11.18</v>
      </c>
      <c r="R24" s="43">
        <v>11.18</v>
      </c>
      <c r="S24" s="44"/>
      <c r="T24" s="43">
        <v>5.289</v>
      </c>
      <c r="U24" s="43">
        <v>1.60734</v>
      </c>
      <c r="V24" s="43">
        <v>2.5556706</v>
      </c>
      <c r="W24" s="43">
        <v>30.9520106</v>
      </c>
      <c r="X24" s="43">
        <v>7607.539925321</v>
      </c>
      <c r="Y24" s="43" t="s">
        <v>183</v>
      </c>
      <c r="Z24" s="52">
        <v>12</v>
      </c>
      <c r="AA24" s="52">
        <v>35.35</v>
      </c>
      <c r="AB24" s="52">
        <v>35</v>
      </c>
      <c r="AC24" s="53">
        <v>0.01</v>
      </c>
      <c r="AD24" s="52">
        <v>5</v>
      </c>
      <c r="AE24" s="52">
        <v>6.8055</v>
      </c>
      <c r="AF24" s="52">
        <v>5.323995</v>
      </c>
      <c r="AG24" s="52">
        <v>64.479495</v>
      </c>
      <c r="AH24" s="52">
        <v>15848.092678575</v>
      </c>
      <c r="AI24" s="52" t="s">
        <v>184</v>
      </c>
      <c r="AJ24" s="63">
        <v>13.5</v>
      </c>
      <c r="AK24" s="63">
        <v>17.71</v>
      </c>
      <c r="AL24" s="63">
        <v>16.1</v>
      </c>
      <c r="AM24" s="64">
        <v>0.1</v>
      </c>
      <c r="AN24" s="63">
        <v>4</v>
      </c>
      <c r="AO24" s="63">
        <v>2.99285</v>
      </c>
      <c r="AP24" s="63">
        <v>3.4382565</v>
      </c>
      <c r="AQ24" s="38">
        <v>41.6411065</v>
      </c>
      <c r="AR24" s="63">
        <v>10234.7593611025</v>
      </c>
      <c r="AS24" s="63"/>
      <c r="AT24" s="70">
        <v>6</v>
      </c>
      <c r="AU24" s="70">
        <v>22</v>
      </c>
      <c r="AV24" s="70">
        <v>20</v>
      </c>
      <c r="AW24" s="73">
        <v>0.1</v>
      </c>
      <c r="AX24" s="70">
        <v>1.2</v>
      </c>
      <c r="AY24" s="70">
        <v>1.752</v>
      </c>
      <c r="AZ24" s="70">
        <v>2.78568</v>
      </c>
      <c r="BA24" s="70">
        <v>33.73768</v>
      </c>
      <c r="BB24" s="70">
        <v>8292.2156788</v>
      </c>
      <c r="BC24" s="70"/>
    </row>
    <row r="25" ht="72" spans="1:55">
      <c r="A25" s="19">
        <v>34</v>
      </c>
      <c r="B25" s="28" t="s">
        <v>180</v>
      </c>
      <c r="C25" s="28" t="s">
        <v>194</v>
      </c>
      <c r="D25" s="20" t="s">
        <v>145</v>
      </c>
      <c r="E25" s="21">
        <v>52.29</v>
      </c>
      <c r="F25" s="22">
        <v>24.03</v>
      </c>
      <c r="G25" s="22">
        <v>26.2238</v>
      </c>
      <c r="H25" s="22">
        <v>25.46</v>
      </c>
      <c r="I25" s="33">
        <v>0.03</v>
      </c>
      <c r="J25" s="22">
        <v>13.95</v>
      </c>
      <c r="K25" s="22">
        <v>3.852228</v>
      </c>
      <c r="L25" s="22">
        <v>6.12504252</v>
      </c>
      <c r="M25" s="22">
        <v>74.18107052</v>
      </c>
      <c r="N25" s="22">
        <v>3878.9281774908</v>
      </c>
      <c r="O25" s="22"/>
      <c r="P25" s="34">
        <v>16.34</v>
      </c>
      <c r="Q25" s="43">
        <v>90</v>
      </c>
      <c r="R25" s="43">
        <v>90</v>
      </c>
      <c r="S25" s="44"/>
      <c r="T25" s="43">
        <v>5.289</v>
      </c>
      <c r="U25" s="43">
        <v>6.69774</v>
      </c>
      <c r="V25" s="43">
        <v>10.6494066</v>
      </c>
      <c r="W25" s="38">
        <v>128.9761466</v>
      </c>
      <c r="X25" s="43">
        <v>6744.162705714</v>
      </c>
      <c r="Y25" s="43" t="s">
        <v>183</v>
      </c>
      <c r="Z25" s="52">
        <v>20</v>
      </c>
      <c r="AA25" s="52">
        <v>30.3</v>
      </c>
      <c r="AB25" s="52">
        <v>30</v>
      </c>
      <c r="AC25" s="53">
        <v>0.01</v>
      </c>
      <c r="AD25" s="52">
        <v>1</v>
      </c>
      <c r="AE25" s="52">
        <v>6.669</v>
      </c>
      <c r="AF25" s="52">
        <v>5.21721</v>
      </c>
      <c r="AG25" s="52">
        <v>63.18621</v>
      </c>
      <c r="AH25" s="52">
        <v>3304.0069209</v>
      </c>
      <c r="AI25" s="52" t="s">
        <v>184</v>
      </c>
      <c r="AJ25" s="63">
        <v>17.55</v>
      </c>
      <c r="AK25" s="63">
        <v>59.455</v>
      </c>
      <c r="AL25" s="63">
        <v>54.05</v>
      </c>
      <c r="AM25" s="64">
        <v>0.1</v>
      </c>
      <c r="AN25" s="63">
        <v>5.5</v>
      </c>
      <c r="AO25" s="63">
        <v>7.012925</v>
      </c>
      <c r="AP25" s="63">
        <v>8.05661325</v>
      </c>
      <c r="AQ25" s="38">
        <v>97.57453825</v>
      </c>
      <c r="AR25" s="63">
        <v>5102.1726050925</v>
      </c>
      <c r="AS25" s="63"/>
      <c r="AT25" s="70">
        <v>10</v>
      </c>
      <c r="AU25" s="70">
        <v>33</v>
      </c>
      <c r="AV25" s="70">
        <v>30</v>
      </c>
      <c r="AW25" s="73">
        <v>0.1</v>
      </c>
      <c r="AX25" s="70">
        <v>1.2</v>
      </c>
      <c r="AY25" s="70">
        <v>2.652</v>
      </c>
      <c r="AZ25" s="70">
        <v>4.21668</v>
      </c>
      <c r="BA25" s="70">
        <v>51.06868</v>
      </c>
      <c r="BB25" s="70">
        <v>2670.3812772</v>
      </c>
      <c r="BC25" s="70"/>
    </row>
    <row r="26" ht="43.2" spans="1:55">
      <c r="A26" s="19">
        <v>35</v>
      </c>
      <c r="B26" s="28" t="s">
        <v>195</v>
      </c>
      <c r="C26" s="28" t="s">
        <v>196</v>
      </c>
      <c r="D26" s="20" t="s">
        <v>88</v>
      </c>
      <c r="E26" s="21">
        <v>2</v>
      </c>
      <c r="F26" s="22">
        <v>7.07</v>
      </c>
      <c r="G26" s="22">
        <v>20.4</v>
      </c>
      <c r="H26" s="22">
        <v>20</v>
      </c>
      <c r="I26" s="33">
        <v>0.02</v>
      </c>
      <c r="J26" s="22">
        <v>1</v>
      </c>
      <c r="K26" s="22">
        <v>1.7082</v>
      </c>
      <c r="L26" s="22">
        <v>2.716038</v>
      </c>
      <c r="M26" s="38">
        <v>32.894238</v>
      </c>
      <c r="N26" s="22">
        <v>65.788476</v>
      </c>
      <c r="O26" s="22"/>
      <c r="P26" s="34">
        <v>5</v>
      </c>
      <c r="Q26" s="43">
        <v>13</v>
      </c>
      <c r="R26" s="43">
        <v>13</v>
      </c>
      <c r="S26" s="44"/>
      <c r="T26" s="43">
        <v>3.82</v>
      </c>
      <c r="U26" s="43">
        <v>1.3092</v>
      </c>
      <c r="V26" s="43">
        <v>2.081628</v>
      </c>
      <c r="W26" s="43">
        <v>25.210828</v>
      </c>
      <c r="X26" s="43">
        <v>50.421656</v>
      </c>
      <c r="Y26" s="43" t="s">
        <v>197</v>
      </c>
      <c r="Z26" s="52">
        <v>6</v>
      </c>
      <c r="AA26" s="52">
        <v>9.09</v>
      </c>
      <c r="AB26" s="52">
        <v>9</v>
      </c>
      <c r="AC26" s="53">
        <v>0.01</v>
      </c>
      <c r="AD26" s="52">
        <v>0</v>
      </c>
      <c r="AE26" s="52">
        <v>1.9617</v>
      </c>
      <c r="AF26" s="52">
        <v>1.534653</v>
      </c>
      <c r="AG26" s="52">
        <v>18.586353</v>
      </c>
      <c r="AH26" s="52">
        <v>37.172706</v>
      </c>
      <c r="AI26" s="52" t="s">
        <v>198</v>
      </c>
      <c r="AJ26" s="63">
        <v>8.1</v>
      </c>
      <c r="AK26" s="63">
        <v>11.73</v>
      </c>
      <c r="AL26" s="63">
        <v>11.5</v>
      </c>
      <c r="AM26" s="64">
        <v>0.02</v>
      </c>
      <c r="AN26" s="63">
        <v>1</v>
      </c>
      <c r="AO26" s="63">
        <v>1.77055</v>
      </c>
      <c r="AP26" s="63">
        <v>2.0340495</v>
      </c>
      <c r="AQ26" s="63">
        <v>24.6345995</v>
      </c>
      <c r="AR26" s="63">
        <v>49.269199</v>
      </c>
      <c r="AS26" s="63"/>
      <c r="AT26" s="70">
        <v>10</v>
      </c>
      <c r="AU26" s="70">
        <v>4.05</v>
      </c>
      <c r="AV26" s="70">
        <v>4.05</v>
      </c>
      <c r="AW26" s="73">
        <v>0</v>
      </c>
      <c r="AX26" s="70">
        <v>0.5</v>
      </c>
      <c r="AY26" s="70">
        <v>0.873</v>
      </c>
      <c r="AZ26" s="70">
        <v>1.38807</v>
      </c>
      <c r="BA26" s="70">
        <v>16.81107</v>
      </c>
      <c r="BB26" s="70">
        <v>33.62214</v>
      </c>
      <c r="BC26" s="70"/>
    </row>
    <row r="27" ht="43.2" spans="1:55">
      <c r="A27" s="19">
        <v>36</v>
      </c>
      <c r="B27" s="28" t="s">
        <v>195</v>
      </c>
      <c r="C27" s="28" t="s">
        <v>199</v>
      </c>
      <c r="D27" s="20" t="s">
        <v>88</v>
      </c>
      <c r="E27" s="21">
        <v>3</v>
      </c>
      <c r="F27" s="22">
        <v>7.07</v>
      </c>
      <c r="G27" s="22">
        <v>20.4</v>
      </c>
      <c r="H27" s="22">
        <v>20</v>
      </c>
      <c r="I27" s="33">
        <v>0.02</v>
      </c>
      <c r="J27" s="22">
        <v>1</v>
      </c>
      <c r="K27" s="22">
        <v>1.7082</v>
      </c>
      <c r="L27" s="22">
        <v>2.716038</v>
      </c>
      <c r="M27" s="38">
        <v>32.894238</v>
      </c>
      <c r="N27" s="22">
        <v>98.682714</v>
      </c>
      <c r="O27" s="22"/>
      <c r="P27" s="34">
        <v>5</v>
      </c>
      <c r="Q27" s="43">
        <v>14.3</v>
      </c>
      <c r="R27" s="43">
        <v>14.3</v>
      </c>
      <c r="S27" s="44"/>
      <c r="T27" s="43">
        <v>3.82</v>
      </c>
      <c r="U27" s="43">
        <v>1.3872</v>
      </c>
      <c r="V27" s="43">
        <v>2.205648</v>
      </c>
      <c r="W27" s="43">
        <v>26.712848</v>
      </c>
      <c r="X27" s="43">
        <v>80.138544</v>
      </c>
      <c r="Y27" s="43" t="s">
        <v>197</v>
      </c>
      <c r="Z27" s="52">
        <v>6</v>
      </c>
      <c r="AA27" s="52">
        <v>12.12</v>
      </c>
      <c r="AB27" s="52">
        <v>12</v>
      </c>
      <c r="AC27" s="53">
        <v>0.01</v>
      </c>
      <c r="AD27" s="52">
        <v>0</v>
      </c>
      <c r="AE27" s="52">
        <v>2.3556</v>
      </c>
      <c r="AF27" s="52">
        <v>1.842804</v>
      </c>
      <c r="AG27" s="52">
        <v>22.318404</v>
      </c>
      <c r="AH27" s="52">
        <v>66.955212</v>
      </c>
      <c r="AI27" s="52" t="s">
        <v>198</v>
      </c>
      <c r="AJ27" s="63">
        <v>8.1</v>
      </c>
      <c r="AK27" s="63">
        <v>15.249</v>
      </c>
      <c r="AL27" s="63">
        <v>14.95</v>
      </c>
      <c r="AM27" s="64">
        <v>0.02</v>
      </c>
      <c r="AN27" s="63">
        <v>1</v>
      </c>
      <c r="AO27" s="63">
        <v>2.069665</v>
      </c>
      <c r="AP27" s="63">
        <v>2.37767985</v>
      </c>
      <c r="AQ27" s="63">
        <v>28.79634485</v>
      </c>
      <c r="AR27" s="63">
        <v>86.38903455</v>
      </c>
      <c r="AS27" s="63"/>
      <c r="AT27" s="70">
        <v>10</v>
      </c>
      <c r="AU27" s="70">
        <v>7</v>
      </c>
      <c r="AV27" s="70">
        <v>7</v>
      </c>
      <c r="AW27" s="73">
        <v>0</v>
      </c>
      <c r="AX27" s="70">
        <v>0.5</v>
      </c>
      <c r="AY27" s="70">
        <v>1.05</v>
      </c>
      <c r="AZ27" s="70">
        <v>1.6695</v>
      </c>
      <c r="BA27" s="70">
        <v>20.2195</v>
      </c>
      <c r="BB27" s="70">
        <v>60.6585</v>
      </c>
      <c r="BC27" s="70"/>
    </row>
    <row r="28" ht="43.2" spans="1:55">
      <c r="A28" s="19">
        <v>37</v>
      </c>
      <c r="B28" s="28" t="s">
        <v>195</v>
      </c>
      <c r="C28" s="28" t="s">
        <v>200</v>
      </c>
      <c r="D28" s="20" t="s">
        <v>88</v>
      </c>
      <c r="E28" s="21">
        <v>1</v>
      </c>
      <c r="F28" s="22">
        <v>7.07</v>
      </c>
      <c r="G28" s="22">
        <v>20.4</v>
      </c>
      <c r="H28" s="22">
        <v>20</v>
      </c>
      <c r="I28" s="33">
        <v>0.02</v>
      </c>
      <c r="J28" s="22">
        <v>1</v>
      </c>
      <c r="K28" s="22">
        <v>1.7082</v>
      </c>
      <c r="L28" s="22">
        <v>2.716038</v>
      </c>
      <c r="M28" s="38">
        <v>32.894238</v>
      </c>
      <c r="N28" s="22">
        <v>32.894238</v>
      </c>
      <c r="O28" s="22"/>
      <c r="P28" s="34">
        <v>5</v>
      </c>
      <c r="Q28" s="43">
        <v>14.71</v>
      </c>
      <c r="R28" s="43">
        <v>14.71</v>
      </c>
      <c r="S28" s="44"/>
      <c r="T28" s="43">
        <v>3.82</v>
      </c>
      <c r="U28" s="43">
        <v>1.4118</v>
      </c>
      <c r="V28" s="43">
        <v>2.244762</v>
      </c>
      <c r="W28" s="43">
        <v>27.186562</v>
      </c>
      <c r="X28" s="43">
        <v>27.186562</v>
      </c>
      <c r="Y28" s="43" t="s">
        <v>197</v>
      </c>
      <c r="Z28" s="52">
        <v>6</v>
      </c>
      <c r="AA28" s="52">
        <v>15.15</v>
      </c>
      <c r="AB28" s="52">
        <v>15</v>
      </c>
      <c r="AC28" s="53">
        <v>0.01</v>
      </c>
      <c r="AD28" s="52">
        <v>0</v>
      </c>
      <c r="AE28" s="52">
        <v>2.7495</v>
      </c>
      <c r="AF28" s="52">
        <v>2.150955</v>
      </c>
      <c r="AG28" s="52">
        <v>26.050455</v>
      </c>
      <c r="AH28" s="52">
        <v>26.050455</v>
      </c>
      <c r="AI28" s="52" t="s">
        <v>198</v>
      </c>
      <c r="AJ28" s="63">
        <v>8.1</v>
      </c>
      <c r="AK28" s="63">
        <v>22.287</v>
      </c>
      <c r="AL28" s="63">
        <v>21.85</v>
      </c>
      <c r="AM28" s="64">
        <v>0.02</v>
      </c>
      <c r="AN28" s="63">
        <v>1</v>
      </c>
      <c r="AO28" s="63">
        <v>2.667895</v>
      </c>
      <c r="AP28" s="63">
        <v>3.06494055</v>
      </c>
      <c r="AQ28" s="38">
        <v>37.11983555</v>
      </c>
      <c r="AR28" s="63">
        <v>37.11983555</v>
      </c>
      <c r="AS28" s="63"/>
      <c r="AT28" s="70">
        <v>10</v>
      </c>
      <c r="AU28" s="70">
        <v>7.35</v>
      </c>
      <c r="AV28" s="70">
        <v>7.35</v>
      </c>
      <c r="AW28" s="73">
        <v>0</v>
      </c>
      <c r="AX28" s="70">
        <v>0.5</v>
      </c>
      <c r="AY28" s="70">
        <v>1.071</v>
      </c>
      <c r="AZ28" s="70">
        <v>1.70289</v>
      </c>
      <c r="BA28" s="70">
        <v>20.62389</v>
      </c>
      <c r="BB28" s="70">
        <v>20.62389</v>
      </c>
      <c r="BC28" s="70"/>
    </row>
    <row r="29" ht="43.2" spans="1:55">
      <c r="A29" s="19">
        <v>38</v>
      </c>
      <c r="B29" s="28" t="s">
        <v>195</v>
      </c>
      <c r="C29" s="28" t="s">
        <v>201</v>
      </c>
      <c r="D29" s="20" t="s">
        <v>88</v>
      </c>
      <c r="E29" s="21">
        <v>28</v>
      </c>
      <c r="F29" s="22">
        <v>6.725</v>
      </c>
      <c r="G29" s="22">
        <v>32.64</v>
      </c>
      <c r="H29" s="22">
        <v>32</v>
      </c>
      <c r="I29" s="33">
        <v>0.02</v>
      </c>
      <c r="J29" s="22">
        <v>1</v>
      </c>
      <c r="K29" s="22">
        <v>2.4219</v>
      </c>
      <c r="L29" s="22">
        <v>3.850821</v>
      </c>
      <c r="M29" s="38">
        <v>46.637721</v>
      </c>
      <c r="N29" s="22">
        <v>1305.856188</v>
      </c>
      <c r="O29" s="22"/>
      <c r="P29" s="34">
        <v>5</v>
      </c>
      <c r="Q29" s="43">
        <v>25</v>
      </c>
      <c r="R29" s="43">
        <v>25</v>
      </c>
      <c r="S29" s="44"/>
      <c r="T29" s="43">
        <v>3.82</v>
      </c>
      <c r="U29" s="43">
        <v>2.0292</v>
      </c>
      <c r="V29" s="43">
        <v>3.226428</v>
      </c>
      <c r="W29" s="43">
        <v>39.075628</v>
      </c>
      <c r="X29" s="43">
        <v>1094.117584</v>
      </c>
      <c r="Y29" s="43" t="s">
        <v>197</v>
      </c>
      <c r="Z29" s="52">
        <v>6</v>
      </c>
      <c r="AA29" s="52">
        <v>30.3</v>
      </c>
      <c r="AB29" s="52">
        <v>30</v>
      </c>
      <c r="AC29" s="53">
        <v>0.01</v>
      </c>
      <c r="AD29" s="52">
        <v>0</v>
      </c>
      <c r="AE29" s="52">
        <v>4.719</v>
      </c>
      <c r="AF29" s="52">
        <v>3.69171</v>
      </c>
      <c r="AG29" s="52">
        <v>44.71071</v>
      </c>
      <c r="AH29" s="52">
        <v>1251.89988</v>
      </c>
      <c r="AI29" s="52" t="s">
        <v>198</v>
      </c>
      <c r="AJ29" s="63">
        <v>8.1</v>
      </c>
      <c r="AK29" s="63">
        <v>51.612</v>
      </c>
      <c r="AL29" s="63">
        <v>50.6</v>
      </c>
      <c r="AM29" s="64">
        <v>0.02</v>
      </c>
      <c r="AN29" s="63">
        <v>1</v>
      </c>
      <c r="AO29" s="63">
        <v>5.16052</v>
      </c>
      <c r="AP29" s="63">
        <v>5.9285268</v>
      </c>
      <c r="AQ29" s="38">
        <v>71.8010468</v>
      </c>
      <c r="AR29" s="63">
        <v>2010.4293104</v>
      </c>
      <c r="AS29" s="63"/>
      <c r="AT29" s="70">
        <v>10</v>
      </c>
      <c r="AU29" s="70">
        <v>57</v>
      </c>
      <c r="AV29" s="70">
        <v>57</v>
      </c>
      <c r="AW29" s="73">
        <v>0</v>
      </c>
      <c r="AX29" s="70">
        <v>0.5</v>
      </c>
      <c r="AY29" s="70">
        <v>4.05</v>
      </c>
      <c r="AZ29" s="70">
        <v>6.4395</v>
      </c>
      <c r="BA29" s="38">
        <v>77.9895</v>
      </c>
      <c r="BB29" s="70">
        <v>2183.706</v>
      </c>
      <c r="BC29" s="70"/>
    </row>
    <row r="30" ht="43.2" spans="1:55">
      <c r="A30" s="19">
        <v>39</v>
      </c>
      <c r="B30" s="28" t="s">
        <v>202</v>
      </c>
      <c r="C30" s="28" t="s">
        <v>203</v>
      </c>
      <c r="D30" s="20" t="s">
        <v>88</v>
      </c>
      <c r="E30" s="21">
        <v>2</v>
      </c>
      <c r="F30" s="22">
        <v>8.76</v>
      </c>
      <c r="G30" s="22">
        <v>15.3</v>
      </c>
      <c r="H30" s="22">
        <v>15</v>
      </c>
      <c r="I30" s="33">
        <v>0.02</v>
      </c>
      <c r="J30" s="22">
        <v>1.46</v>
      </c>
      <c r="K30" s="22">
        <v>1.5312</v>
      </c>
      <c r="L30" s="22">
        <v>2.434608</v>
      </c>
      <c r="M30" s="38">
        <v>29.485808</v>
      </c>
      <c r="N30" s="22">
        <v>58.971616</v>
      </c>
      <c r="O30" s="22"/>
      <c r="P30" s="34">
        <v>7</v>
      </c>
      <c r="Q30" s="43">
        <v>12.26</v>
      </c>
      <c r="R30" s="43">
        <v>12.26</v>
      </c>
      <c r="S30" s="44"/>
      <c r="T30" s="43">
        <v>3.39</v>
      </c>
      <c r="U30" s="43">
        <v>1.359</v>
      </c>
      <c r="V30" s="43">
        <v>2.16081</v>
      </c>
      <c r="W30" s="43">
        <v>26.16981</v>
      </c>
      <c r="X30" s="43">
        <v>52.33962</v>
      </c>
      <c r="Y30" s="43" t="s">
        <v>197</v>
      </c>
      <c r="Z30" s="52">
        <v>6</v>
      </c>
      <c r="AA30" s="52">
        <v>7.07</v>
      </c>
      <c r="AB30" s="52">
        <v>7</v>
      </c>
      <c r="AC30" s="53">
        <v>0.01</v>
      </c>
      <c r="AD30" s="52">
        <v>0</v>
      </c>
      <c r="AE30" s="52">
        <v>1.6991</v>
      </c>
      <c r="AF30" s="52">
        <v>1.329219</v>
      </c>
      <c r="AG30" s="52">
        <v>16.098319</v>
      </c>
      <c r="AH30" s="52">
        <v>32.196638</v>
      </c>
      <c r="AI30" s="52" t="s">
        <v>198</v>
      </c>
      <c r="AJ30" s="63">
        <v>9.45</v>
      </c>
      <c r="AK30" s="63">
        <v>22.8735</v>
      </c>
      <c r="AL30" s="63">
        <v>22.425</v>
      </c>
      <c r="AM30" s="64">
        <v>0.02</v>
      </c>
      <c r="AN30" s="63">
        <v>1</v>
      </c>
      <c r="AO30" s="63">
        <v>2.8324975</v>
      </c>
      <c r="AP30" s="63">
        <v>3.254039775</v>
      </c>
      <c r="AQ30" s="38">
        <v>39.410037275</v>
      </c>
      <c r="AR30" s="63">
        <v>78.82007455</v>
      </c>
      <c r="AS30" s="63"/>
      <c r="AT30" s="70">
        <v>10</v>
      </c>
      <c r="AU30" s="70">
        <v>5.15</v>
      </c>
      <c r="AV30" s="70">
        <v>5.15</v>
      </c>
      <c r="AW30" s="73">
        <v>0</v>
      </c>
      <c r="AX30" s="70">
        <v>0.5</v>
      </c>
      <c r="AY30" s="70">
        <v>0.939</v>
      </c>
      <c r="AZ30" s="70">
        <v>1.49301</v>
      </c>
      <c r="BA30" s="70">
        <v>18.08201</v>
      </c>
      <c r="BB30" s="70">
        <v>36.16402</v>
      </c>
      <c r="BC30" s="70"/>
    </row>
    <row r="31" ht="43.2" spans="1:55">
      <c r="A31" s="19">
        <v>40</v>
      </c>
      <c r="B31" s="28" t="s">
        <v>202</v>
      </c>
      <c r="C31" s="28" t="s">
        <v>204</v>
      </c>
      <c r="D31" s="20" t="s">
        <v>88</v>
      </c>
      <c r="E31" s="21">
        <v>4</v>
      </c>
      <c r="F31" s="22">
        <v>9.34</v>
      </c>
      <c r="G31" s="22">
        <v>12.64</v>
      </c>
      <c r="H31" s="22">
        <v>49.7</v>
      </c>
      <c r="I31" s="33">
        <v>0.02</v>
      </c>
      <c r="J31" s="22">
        <v>1.46</v>
      </c>
      <c r="K31" s="22">
        <v>1.4064</v>
      </c>
      <c r="L31" s="22">
        <v>2.236176</v>
      </c>
      <c r="M31" s="38">
        <v>27.082576</v>
      </c>
      <c r="N31" s="22">
        <v>108.330304</v>
      </c>
      <c r="O31" s="22"/>
      <c r="P31" s="34">
        <v>7</v>
      </c>
      <c r="Q31" s="43">
        <v>12.26</v>
      </c>
      <c r="R31" s="43">
        <v>12.26</v>
      </c>
      <c r="S31" s="44"/>
      <c r="T31" s="43">
        <v>3.39</v>
      </c>
      <c r="U31" s="43">
        <v>1.359</v>
      </c>
      <c r="V31" s="43">
        <v>2.16081</v>
      </c>
      <c r="W31" s="43">
        <v>26.16981</v>
      </c>
      <c r="X31" s="43">
        <v>104.67924</v>
      </c>
      <c r="Y31" s="43" t="s">
        <v>197</v>
      </c>
      <c r="Z31" s="52">
        <v>6</v>
      </c>
      <c r="AA31" s="52">
        <v>7.07</v>
      </c>
      <c r="AB31" s="52">
        <v>7</v>
      </c>
      <c r="AC31" s="53">
        <v>0.01</v>
      </c>
      <c r="AD31" s="52">
        <v>0</v>
      </c>
      <c r="AE31" s="52">
        <v>1.6991</v>
      </c>
      <c r="AF31" s="52">
        <v>1.329219</v>
      </c>
      <c r="AG31" s="52">
        <v>16.098319</v>
      </c>
      <c r="AH31" s="52">
        <v>64.393276</v>
      </c>
      <c r="AI31" s="52" t="s">
        <v>198</v>
      </c>
      <c r="AJ31" s="63">
        <v>9.45</v>
      </c>
      <c r="AK31" s="63">
        <v>22.8735</v>
      </c>
      <c r="AL31" s="63">
        <v>22.425</v>
      </c>
      <c r="AM31" s="64">
        <v>0.02</v>
      </c>
      <c r="AN31" s="63">
        <v>1</v>
      </c>
      <c r="AO31" s="63">
        <v>2.8324975</v>
      </c>
      <c r="AP31" s="63">
        <v>3.254039775</v>
      </c>
      <c r="AQ31" s="38">
        <v>39.410037275</v>
      </c>
      <c r="AR31" s="63">
        <v>157.6401491</v>
      </c>
      <c r="AS31" s="63"/>
      <c r="AT31" s="70">
        <v>10</v>
      </c>
      <c r="AU31" s="70">
        <v>5.15</v>
      </c>
      <c r="AV31" s="70">
        <v>5.15</v>
      </c>
      <c r="AW31" s="73">
        <v>0</v>
      </c>
      <c r="AX31" s="70">
        <v>0.5</v>
      </c>
      <c r="AY31" s="70">
        <v>0.939</v>
      </c>
      <c r="AZ31" s="70">
        <v>1.49301</v>
      </c>
      <c r="BA31" s="70">
        <v>18.08201</v>
      </c>
      <c r="BB31" s="70">
        <v>72.32804</v>
      </c>
      <c r="BC31" s="70"/>
    </row>
    <row r="32" ht="43.2" spans="1:55">
      <c r="A32" s="19">
        <v>41</v>
      </c>
      <c r="B32" s="28" t="s">
        <v>202</v>
      </c>
      <c r="C32" s="28" t="s">
        <v>205</v>
      </c>
      <c r="D32" s="20" t="s">
        <v>88</v>
      </c>
      <c r="E32" s="21">
        <v>3</v>
      </c>
      <c r="F32" s="22">
        <v>8.76</v>
      </c>
      <c r="G32" s="22">
        <v>40.0248</v>
      </c>
      <c r="H32" s="22">
        <v>39.24</v>
      </c>
      <c r="I32" s="33">
        <v>0.02</v>
      </c>
      <c r="J32" s="22">
        <v>1.46</v>
      </c>
      <c r="K32" s="22">
        <v>3.014688</v>
      </c>
      <c r="L32" s="22">
        <v>4.79335392</v>
      </c>
      <c r="M32" s="38">
        <v>58.05284192</v>
      </c>
      <c r="N32" s="22">
        <v>174.15852576</v>
      </c>
      <c r="O32" s="22"/>
      <c r="P32" s="34">
        <v>7</v>
      </c>
      <c r="Q32" s="43">
        <v>14</v>
      </c>
      <c r="R32" s="43">
        <v>14</v>
      </c>
      <c r="S32" s="44"/>
      <c r="T32" s="43">
        <v>3.39</v>
      </c>
      <c r="U32" s="43">
        <v>1.4634</v>
      </c>
      <c r="V32" s="43">
        <v>2.326806</v>
      </c>
      <c r="W32" s="43">
        <v>28.180206</v>
      </c>
      <c r="X32" s="43">
        <v>84.540618</v>
      </c>
      <c r="Y32" s="43" t="s">
        <v>197</v>
      </c>
      <c r="Z32" s="52">
        <v>6</v>
      </c>
      <c r="AA32" s="52">
        <v>18.18</v>
      </c>
      <c r="AB32" s="52">
        <v>18</v>
      </c>
      <c r="AC32" s="53">
        <v>0.01</v>
      </c>
      <c r="AD32" s="52">
        <v>0</v>
      </c>
      <c r="AE32" s="52">
        <v>3.1434</v>
      </c>
      <c r="AF32" s="52">
        <v>2.459106</v>
      </c>
      <c r="AG32" s="52">
        <v>29.782506</v>
      </c>
      <c r="AH32" s="52">
        <v>89.347518</v>
      </c>
      <c r="AI32" s="52" t="s">
        <v>198</v>
      </c>
      <c r="AJ32" s="63">
        <v>18.9</v>
      </c>
      <c r="AK32" s="63">
        <v>36.9495</v>
      </c>
      <c r="AL32" s="63">
        <v>36.225</v>
      </c>
      <c r="AM32" s="64">
        <v>0.02</v>
      </c>
      <c r="AN32" s="63">
        <v>1</v>
      </c>
      <c r="AO32" s="63">
        <v>4.8322075</v>
      </c>
      <c r="AP32" s="63">
        <v>5.551353675</v>
      </c>
      <c r="AQ32" s="38">
        <v>67.233061175</v>
      </c>
      <c r="AR32" s="63">
        <v>201.699183525</v>
      </c>
      <c r="AS32" s="63"/>
      <c r="AT32" s="70">
        <v>10</v>
      </c>
      <c r="AU32" s="70">
        <v>14.05</v>
      </c>
      <c r="AV32" s="70">
        <v>14.05</v>
      </c>
      <c r="AW32" s="73">
        <v>0</v>
      </c>
      <c r="AX32" s="70">
        <v>0.5</v>
      </c>
      <c r="AY32" s="70">
        <v>1.473</v>
      </c>
      <c r="AZ32" s="70">
        <v>2.34207</v>
      </c>
      <c r="BA32" s="70">
        <v>28.36507</v>
      </c>
      <c r="BB32" s="70">
        <v>85.09521</v>
      </c>
      <c r="BC32" s="70"/>
    </row>
    <row r="33" ht="43.2" spans="1:55">
      <c r="A33" s="19">
        <v>42</v>
      </c>
      <c r="B33" s="28" t="s">
        <v>202</v>
      </c>
      <c r="C33" s="28" t="s">
        <v>206</v>
      </c>
      <c r="D33" s="20" t="s">
        <v>88</v>
      </c>
      <c r="E33" s="21">
        <v>4</v>
      </c>
      <c r="F33" s="22">
        <v>20.36</v>
      </c>
      <c r="G33" s="22">
        <v>33.4764</v>
      </c>
      <c r="H33" s="22">
        <v>32.82</v>
      </c>
      <c r="I33" s="33">
        <v>0.02</v>
      </c>
      <c r="J33" s="22">
        <v>1.46</v>
      </c>
      <c r="K33" s="22">
        <v>3.317784</v>
      </c>
      <c r="L33" s="22">
        <v>5.27527656</v>
      </c>
      <c r="M33" s="38">
        <v>63.88946056</v>
      </c>
      <c r="N33" s="22">
        <v>255.55784224</v>
      </c>
      <c r="O33" s="22"/>
      <c r="P33" s="34">
        <v>7</v>
      </c>
      <c r="Q33" s="43">
        <v>24.51</v>
      </c>
      <c r="R33" s="43">
        <v>24.51</v>
      </c>
      <c r="S33" s="44"/>
      <c r="T33" s="43">
        <v>6.78</v>
      </c>
      <c r="U33" s="43">
        <v>2.2974</v>
      </c>
      <c r="V33" s="43">
        <v>3.652866</v>
      </c>
      <c r="W33" s="43">
        <v>44.240266</v>
      </c>
      <c r="X33" s="43">
        <v>176.961064</v>
      </c>
      <c r="Y33" s="43" t="s">
        <v>197</v>
      </c>
      <c r="Z33" s="52">
        <v>6</v>
      </c>
      <c r="AA33" s="52">
        <v>15.15</v>
      </c>
      <c r="AB33" s="52">
        <v>15</v>
      </c>
      <c r="AC33" s="53">
        <v>0.01</v>
      </c>
      <c r="AD33" s="52">
        <v>0</v>
      </c>
      <c r="AE33" s="52">
        <v>2.7495</v>
      </c>
      <c r="AF33" s="52">
        <v>2.150955</v>
      </c>
      <c r="AG33" s="52">
        <v>26.050455</v>
      </c>
      <c r="AH33" s="52">
        <v>104.20182</v>
      </c>
      <c r="AI33" s="52" t="s">
        <v>198</v>
      </c>
      <c r="AJ33" s="63">
        <v>9.45</v>
      </c>
      <c r="AK33" s="63">
        <v>49.266</v>
      </c>
      <c r="AL33" s="63">
        <v>48.3</v>
      </c>
      <c r="AM33" s="64">
        <v>0.02</v>
      </c>
      <c r="AN33" s="63">
        <v>1</v>
      </c>
      <c r="AO33" s="63">
        <v>5.07586</v>
      </c>
      <c r="AP33" s="63">
        <v>5.8312674</v>
      </c>
      <c r="AQ33" s="38">
        <v>70.6231274</v>
      </c>
      <c r="AR33" s="63">
        <v>282.4925096</v>
      </c>
      <c r="AS33" s="63"/>
      <c r="AT33" s="70">
        <v>10</v>
      </c>
      <c r="AU33" s="70">
        <v>10.3</v>
      </c>
      <c r="AV33" s="70">
        <v>10.3</v>
      </c>
      <c r="AW33" s="73">
        <v>0</v>
      </c>
      <c r="AX33" s="70">
        <v>0.5</v>
      </c>
      <c r="AY33" s="70">
        <v>1.248</v>
      </c>
      <c r="AZ33" s="70">
        <v>1.98432</v>
      </c>
      <c r="BA33" s="70">
        <v>24.03232</v>
      </c>
      <c r="BB33" s="70">
        <v>96.12928</v>
      </c>
      <c r="BC33" s="70"/>
    </row>
    <row r="34" ht="14.4" spans="1:55">
      <c r="A34" s="19">
        <v>43</v>
      </c>
      <c r="B34" s="28" t="s">
        <v>207</v>
      </c>
      <c r="C34" s="28" t="s">
        <v>208</v>
      </c>
      <c r="D34" s="20" t="s">
        <v>145</v>
      </c>
      <c r="E34" s="21">
        <v>87.9</v>
      </c>
      <c r="F34" s="22">
        <v>7.75</v>
      </c>
      <c r="G34" s="22">
        <v>0</v>
      </c>
      <c r="H34" s="22"/>
      <c r="I34" s="33"/>
      <c r="J34" s="22">
        <v>2.96</v>
      </c>
      <c r="K34" s="22">
        <v>0.6426</v>
      </c>
      <c r="L34" s="22">
        <v>1.021734</v>
      </c>
      <c r="M34" s="22">
        <v>12.374334</v>
      </c>
      <c r="N34" s="22">
        <v>1087.7039586</v>
      </c>
      <c r="O34" s="22"/>
      <c r="P34" s="34">
        <v>12.384</v>
      </c>
      <c r="Q34" s="43">
        <v>0</v>
      </c>
      <c r="R34" s="43">
        <v>0</v>
      </c>
      <c r="S34" s="44"/>
      <c r="T34" s="43">
        <v>1.7114</v>
      </c>
      <c r="U34" s="43">
        <v>0.845724</v>
      </c>
      <c r="V34" s="43">
        <v>1.34470116</v>
      </c>
      <c r="W34" s="43">
        <v>16.28582516</v>
      </c>
      <c r="X34" s="43">
        <v>1431.524031564</v>
      </c>
      <c r="Y34" s="43"/>
      <c r="Z34" s="52">
        <v>30</v>
      </c>
      <c r="AA34" s="52">
        <v>0</v>
      </c>
      <c r="AB34" s="52">
        <v>0</v>
      </c>
      <c r="AC34" s="53">
        <v>0</v>
      </c>
      <c r="AD34" s="52">
        <v>0</v>
      </c>
      <c r="AE34" s="52">
        <v>3.9</v>
      </c>
      <c r="AF34" s="52">
        <v>3.051</v>
      </c>
      <c r="AG34" s="38">
        <v>36.951</v>
      </c>
      <c r="AH34" s="52">
        <v>3247.9929</v>
      </c>
      <c r="AI34" s="52"/>
      <c r="AJ34" s="63">
        <v>20.925</v>
      </c>
      <c r="AK34" s="63">
        <v>0</v>
      </c>
      <c r="AL34" s="63"/>
      <c r="AM34" s="64"/>
      <c r="AN34" s="63">
        <v>3</v>
      </c>
      <c r="AO34" s="63">
        <v>2.033625</v>
      </c>
      <c r="AP34" s="63">
        <v>2.33627625</v>
      </c>
      <c r="AQ34" s="38">
        <v>28.29490125</v>
      </c>
      <c r="AR34" s="63">
        <v>2487.121819875</v>
      </c>
      <c r="AS34" s="63"/>
      <c r="AT34" s="70">
        <v>8.5</v>
      </c>
      <c r="AU34" s="70">
        <v>0</v>
      </c>
      <c r="AV34" s="70">
        <v>0</v>
      </c>
      <c r="AW34" s="73">
        <v>0</v>
      </c>
      <c r="AX34" s="70">
        <v>2</v>
      </c>
      <c r="AY34" s="70">
        <v>0.63</v>
      </c>
      <c r="AZ34" s="70">
        <v>1.0017</v>
      </c>
      <c r="BA34" s="70">
        <v>12.1317</v>
      </c>
      <c r="BB34" s="70">
        <v>1066.37643</v>
      </c>
      <c r="BC34" s="70"/>
    </row>
    <row r="35" ht="43.2" spans="1:55">
      <c r="A35" s="19">
        <v>44</v>
      </c>
      <c r="B35" s="28" t="s">
        <v>209</v>
      </c>
      <c r="C35" s="28" t="s">
        <v>210</v>
      </c>
      <c r="D35" s="20" t="s">
        <v>88</v>
      </c>
      <c r="E35" s="21">
        <v>173</v>
      </c>
      <c r="F35" s="22">
        <v>7.27</v>
      </c>
      <c r="G35" s="22">
        <v>1.938</v>
      </c>
      <c r="H35" s="22">
        <v>1.9</v>
      </c>
      <c r="I35" s="33">
        <v>0.02</v>
      </c>
      <c r="J35" s="22">
        <v>0.58</v>
      </c>
      <c r="K35" s="22">
        <v>0.58728</v>
      </c>
      <c r="L35" s="22">
        <v>0.9337752</v>
      </c>
      <c r="M35" s="22">
        <v>11.3090552</v>
      </c>
      <c r="N35" s="22">
        <v>1956.4665496</v>
      </c>
      <c r="O35" s="22"/>
      <c r="P35" s="34">
        <v>3.44</v>
      </c>
      <c r="Q35" s="43">
        <v>1.892</v>
      </c>
      <c r="R35" s="43">
        <v>1.892</v>
      </c>
      <c r="S35" s="44"/>
      <c r="T35" s="43">
        <v>1.075</v>
      </c>
      <c r="U35" s="43">
        <v>0.38442</v>
      </c>
      <c r="V35" s="43">
        <v>0.6112278</v>
      </c>
      <c r="W35" s="43">
        <v>7.4026478</v>
      </c>
      <c r="X35" s="43">
        <v>1280.6580694</v>
      </c>
      <c r="Y35" s="43"/>
      <c r="Z35" s="52">
        <v>5</v>
      </c>
      <c r="AA35" s="52">
        <v>3.03</v>
      </c>
      <c r="AB35" s="52">
        <v>3</v>
      </c>
      <c r="AC35" s="53">
        <v>0.01</v>
      </c>
      <c r="AD35" s="52">
        <v>0</v>
      </c>
      <c r="AE35" s="52">
        <v>1.0439</v>
      </c>
      <c r="AF35" s="52">
        <v>0.816651</v>
      </c>
      <c r="AG35" s="52">
        <v>9.890551</v>
      </c>
      <c r="AH35" s="52">
        <v>1711.065323</v>
      </c>
      <c r="AI35" s="52"/>
      <c r="AJ35" s="63">
        <v>3.375</v>
      </c>
      <c r="AK35" s="63">
        <v>1.53</v>
      </c>
      <c r="AL35" s="63">
        <v>1.5</v>
      </c>
      <c r="AM35" s="64">
        <v>0.02</v>
      </c>
      <c r="AN35" s="63">
        <v>0.5</v>
      </c>
      <c r="AO35" s="63">
        <v>0.459425</v>
      </c>
      <c r="AP35" s="63">
        <v>0.52779825</v>
      </c>
      <c r="AQ35" s="63">
        <v>6.39222325</v>
      </c>
      <c r="AR35" s="63">
        <v>1105.85462225</v>
      </c>
      <c r="AS35" s="63"/>
      <c r="AT35" s="70">
        <v>5</v>
      </c>
      <c r="AU35" s="70">
        <v>1.5</v>
      </c>
      <c r="AV35" s="70">
        <v>1.5</v>
      </c>
      <c r="AW35" s="73">
        <v>0</v>
      </c>
      <c r="AX35" s="70">
        <v>0.05</v>
      </c>
      <c r="AY35" s="70">
        <v>0.393</v>
      </c>
      <c r="AZ35" s="70">
        <v>0.62487</v>
      </c>
      <c r="BA35" s="70">
        <v>7.56787</v>
      </c>
      <c r="BB35" s="70">
        <v>1309.24151</v>
      </c>
      <c r="BC35" s="70"/>
    </row>
    <row r="36" ht="28.8" spans="1:55">
      <c r="A36" s="19"/>
      <c r="B36" s="24" t="s">
        <v>211</v>
      </c>
      <c r="C36" s="28"/>
      <c r="D36" s="20"/>
      <c r="E36" s="21">
        <v>0</v>
      </c>
      <c r="F36" s="22"/>
      <c r="G36" s="22"/>
      <c r="H36" s="22"/>
      <c r="I36" s="33"/>
      <c r="J36" s="22"/>
      <c r="K36" s="22"/>
      <c r="L36" s="22"/>
      <c r="M36" s="22"/>
      <c r="N36" s="27">
        <v>33270.3289807518</v>
      </c>
      <c r="O36" s="22"/>
      <c r="P36" s="34">
        <v>0</v>
      </c>
      <c r="Q36" s="43">
        <v>0</v>
      </c>
      <c r="R36" s="43">
        <v>0</v>
      </c>
      <c r="S36" s="44"/>
      <c r="T36" s="43">
        <v>0</v>
      </c>
      <c r="U36" s="43">
        <v>0</v>
      </c>
      <c r="V36" s="43">
        <v>0</v>
      </c>
      <c r="W36" s="43">
        <v>0</v>
      </c>
      <c r="X36" s="46">
        <v>20758.0496376084</v>
      </c>
      <c r="Y36" s="43"/>
      <c r="Z36" s="52"/>
      <c r="AA36" s="52"/>
      <c r="AB36" s="52"/>
      <c r="AC36" s="53"/>
      <c r="AD36" s="52"/>
      <c r="AE36" s="52"/>
      <c r="AF36" s="52"/>
      <c r="AG36" s="52"/>
      <c r="AH36" s="55">
        <v>17154.3072091435</v>
      </c>
      <c r="AI36" s="52"/>
      <c r="AJ36" s="63"/>
      <c r="AK36" s="63"/>
      <c r="AL36" s="63"/>
      <c r="AM36" s="64"/>
      <c r="AN36" s="63"/>
      <c r="AO36" s="63"/>
      <c r="AP36" s="63"/>
      <c r="AQ36" s="63"/>
      <c r="AR36" s="65">
        <v>21815.6921615099</v>
      </c>
      <c r="AS36" s="63"/>
      <c r="AT36" s="70"/>
      <c r="AU36" s="70"/>
      <c r="AV36" s="70"/>
      <c r="AW36" s="73"/>
      <c r="AX36" s="70"/>
      <c r="AY36" s="70"/>
      <c r="AZ36" s="70"/>
      <c r="BA36" s="70"/>
      <c r="BB36" s="71">
        <v>61586.235974762</v>
      </c>
      <c r="BC36" s="70"/>
    </row>
    <row r="37" ht="28.8" spans="1:55">
      <c r="A37" s="19">
        <v>51</v>
      </c>
      <c r="B37" s="28" t="s">
        <v>212</v>
      </c>
      <c r="C37" s="28" t="s">
        <v>213</v>
      </c>
      <c r="D37" s="20" t="s">
        <v>88</v>
      </c>
      <c r="E37" s="21">
        <v>1</v>
      </c>
      <c r="F37" s="22">
        <v>582.57</v>
      </c>
      <c r="G37" s="22">
        <v>2860</v>
      </c>
      <c r="H37" s="22">
        <v>2860</v>
      </c>
      <c r="I37" s="33"/>
      <c r="J37" s="22">
        <v>32.67</v>
      </c>
      <c r="K37" s="22">
        <v>208.5144</v>
      </c>
      <c r="L37" s="22">
        <v>331.537896</v>
      </c>
      <c r="M37" s="38">
        <v>4015.292296</v>
      </c>
      <c r="N37" s="22">
        <v>4015.292296</v>
      </c>
      <c r="O37" s="22"/>
      <c r="P37" s="34">
        <v>15</v>
      </c>
      <c r="Q37" s="43">
        <v>73.1</v>
      </c>
      <c r="R37" s="43">
        <v>73.1</v>
      </c>
      <c r="S37" s="44"/>
      <c r="T37" s="43">
        <v>4.3</v>
      </c>
      <c r="U37" s="43">
        <v>5.544</v>
      </c>
      <c r="V37" s="43">
        <v>8.81496</v>
      </c>
      <c r="W37" s="48">
        <v>106.75896</v>
      </c>
      <c r="X37" s="43">
        <v>106.75896</v>
      </c>
      <c r="Y37" s="43"/>
      <c r="Z37" s="52">
        <v>10</v>
      </c>
      <c r="AA37" s="52">
        <v>60.6</v>
      </c>
      <c r="AB37" s="52">
        <v>60</v>
      </c>
      <c r="AC37" s="53">
        <v>0.01</v>
      </c>
      <c r="AD37" s="52">
        <v>1</v>
      </c>
      <c r="AE37" s="52">
        <v>9.308</v>
      </c>
      <c r="AF37" s="52">
        <v>7.28172</v>
      </c>
      <c r="AG37" s="48">
        <v>88.18972</v>
      </c>
      <c r="AH37" s="52">
        <v>88.18972</v>
      </c>
      <c r="AI37" s="52"/>
      <c r="AJ37" s="63">
        <v>172.8</v>
      </c>
      <c r="AK37" s="63">
        <v>1526.54867256637</v>
      </c>
      <c r="AL37" s="63">
        <v>1526.54867256637</v>
      </c>
      <c r="AM37" s="64"/>
      <c r="AN37" s="63">
        <v>35.5</v>
      </c>
      <c r="AO37" s="63">
        <v>147.462137168141</v>
      </c>
      <c r="AP37" s="63">
        <v>169.407972876106</v>
      </c>
      <c r="AQ37" s="63">
        <v>2051.71878261062</v>
      </c>
      <c r="AR37" s="63">
        <v>2051.71878261062</v>
      </c>
      <c r="AS37" s="63"/>
      <c r="AT37" s="70">
        <v>800</v>
      </c>
      <c r="AU37" s="70">
        <v>28681</v>
      </c>
      <c r="AV37" s="70">
        <v>28681</v>
      </c>
      <c r="AW37" s="73">
        <v>0</v>
      </c>
      <c r="AX37" s="70">
        <v>80</v>
      </c>
      <c r="AY37" s="70">
        <v>1773.66</v>
      </c>
      <c r="AZ37" s="70">
        <v>2820.1194</v>
      </c>
      <c r="BA37" s="70">
        <v>34154.7794</v>
      </c>
      <c r="BB37" s="70">
        <v>34154.7794</v>
      </c>
      <c r="BC37" s="70"/>
    </row>
    <row r="38" ht="43.2" spans="1:55">
      <c r="A38" s="19">
        <v>52</v>
      </c>
      <c r="B38" s="29" t="s">
        <v>214</v>
      </c>
      <c r="C38" s="28" t="s">
        <v>215</v>
      </c>
      <c r="D38" s="20" t="s">
        <v>88</v>
      </c>
      <c r="E38" s="21">
        <v>2</v>
      </c>
      <c r="F38" s="22">
        <v>582.57</v>
      </c>
      <c r="G38" s="22">
        <v>2000</v>
      </c>
      <c r="H38" s="22">
        <v>2000</v>
      </c>
      <c r="I38" s="33"/>
      <c r="J38" s="22">
        <v>32.67</v>
      </c>
      <c r="K38" s="22">
        <v>156.9144</v>
      </c>
      <c r="L38" s="22">
        <v>249.493896</v>
      </c>
      <c r="M38" s="38">
        <v>3021.648296</v>
      </c>
      <c r="N38" s="22">
        <v>6043.296592</v>
      </c>
      <c r="O38" s="22"/>
      <c r="P38" s="34">
        <v>15</v>
      </c>
      <c r="Q38" s="43">
        <v>64.5</v>
      </c>
      <c r="R38" s="43">
        <v>64.5</v>
      </c>
      <c r="S38" s="44"/>
      <c r="T38" s="43">
        <v>4.3</v>
      </c>
      <c r="U38" s="43">
        <v>5.028</v>
      </c>
      <c r="V38" s="43">
        <v>7.99452</v>
      </c>
      <c r="W38" s="48">
        <v>96.82252</v>
      </c>
      <c r="X38" s="43">
        <v>193.64504</v>
      </c>
      <c r="Y38" s="43" t="s">
        <v>183</v>
      </c>
      <c r="Z38" s="52">
        <v>10</v>
      </c>
      <c r="AA38" s="52">
        <v>60.6</v>
      </c>
      <c r="AB38" s="52">
        <v>60</v>
      </c>
      <c r="AC38" s="53">
        <v>0.01</v>
      </c>
      <c r="AD38" s="52">
        <v>1</v>
      </c>
      <c r="AE38" s="52">
        <v>9.308</v>
      </c>
      <c r="AF38" s="52">
        <v>7.28172</v>
      </c>
      <c r="AG38" s="48">
        <v>88.18972</v>
      </c>
      <c r="AH38" s="52">
        <v>176.37944</v>
      </c>
      <c r="AI38" s="52"/>
      <c r="AJ38" s="63">
        <v>172.8</v>
      </c>
      <c r="AK38" s="63">
        <v>1526.54867256637</v>
      </c>
      <c r="AL38" s="63">
        <v>1526.54867256637</v>
      </c>
      <c r="AM38" s="64"/>
      <c r="AN38" s="63">
        <v>35.5</v>
      </c>
      <c r="AO38" s="63">
        <v>147.462137168141</v>
      </c>
      <c r="AP38" s="63">
        <v>169.407972876106</v>
      </c>
      <c r="AQ38" s="63">
        <v>2051.71878261062</v>
      </c>
      <c r="AR38" s="63">
        <v>4103.43756522123</v>
      </c>
      <c r="AS38" s="63"/>
      <c r="AT38" s="70">
        <v>200</v>
      </c>
      <c r="AU38" s="70">
        <v>2831</v>
      </c>
      <c r="AV38" s="70">
        <v>2831</v>
      </c>
      <c r="AW38" s="73">
        <v>0</v>
      </c>
      <c r="AX38" s="70">
        <v>80</v>
      </c>
      <c r="AY38" s="70">
        <v>186.66</v>
      </c>
      <c r="AZ38" s="70">
        <v>296.7894</v>
      </c>
      <c r="BA38" s="70">
        <v>3594.4494</v>
      </c>
      <c r="BB38" s="70">
        <v>7188.8988</v>
      </c>
      <c r="BC38" s="70"/>
    </row>
    <row r="39" ht="43.2" spans="1:55">
      <c r="A39" s="19">
        <v>53</v>
      </c>
      <c r="B39" s="29" t="s">
        <v>180</v>
      </c>
      <c r="C39" s="28" t="s">
        <v>216</v>
      </c>
      <c r="D39" s="20" t="s">
        <v>88</v>
      </c>
      <c r="E39" s="21">
        <v>19</v>
      </c>
      <c r="F39" s="22">
        <v>18</v>
      </c>
      <c r="G39" s="22">
        <v>55.55</v>
      </c>
      <c r="H39" s="22">
        <v>55</v>
      </c>
      <c r="I39" s="33">
        <v>0.01</v>
      </c>
      <c r="J39" s="22">
        <v>14.43</v>
      </c>
      <c r="K39" s="22">
        <v>5.2788</v>
      </c>
      <c r="L39" s="22">
        <v>8.393292</v>
      </c>
      <c r="M39" s="38">
        <v>101.652092</v>
      </c>
      <c r="N39" s="22">
        <v>1931.389748</v>
      </c>
      <c r="O39" s="22"/>
      <c r="P39" s="34">
        <v>15</v>
      </c>
      <c r="Q39" s="43">
        <v>35</v>
      </c>
      <c r="R39" s="43">
        <v>35</v>
      </c>
      <c r="S39" s="44"/>
      <c r="T39" s="43">
        <v>3.5</v>
      </c>
      <c r="U39" s="43">
        <v>3.21</v>
      </c>
      <c r="V39" s="43">
        <v>5.1039</v>
      </c>
      <c r="W39" s="43">
        <v>61.8139</v>
      </c>
      <c r="X39" s="43">
        <v>1174.4641</v>
      </c>
      <c r="Y39" s="43" t="s">
        <v>183</v>
      </c>
      <c r="Z39" s="52">
        <v>15</v>
      </c>
      <c r="AA39" s="52">
        <v>48.48</v>
      </c>
      <c r="AB39" s="52">
        <v>48</v>
      </c>
      <c r="AC39" s="53">
        <v>0.01</v>
      </c>
      <c r="AD39" s="52">
        <v>1</v>
      </c>
      <c r="AE39" s="52">
        <v>8.3824</v>
      </c>
      <c r="AF39" s="52">
        <v>6.557616</v>
      </c>
      <c r="AG39" s="52">
        <v>79.420016</v>
      </c>
      <c r="AH39" s="52">
        <v>1508.980304</v>
      </c>
      <c r="AI39" s="52"/>
      <c r="AJ39" s="63">
        <v>19.845</v>
      </c>
      <c r="AK39" s="63">
        <v>35.9756637168142</v>
      </c>
      <c r="AL39" s="63">
        <v>35.6194690265487</v>
      </c>
      <c r="AM39" s="64">
        <v>0.01</v>
      </c>
      <c r="AN39" s="63">
        <v>2.8</v>
      </c>
      <c r="AO39" s="63">
        <v>4.98275641592921</v>
      </c>
      <c r="AP39" s="63">
        <v>5.72430781194691</v>
      </c>
      <c r="AQ39" s="63">
        <v>69.3277279446903</v>
      </c>
      <c r="AR39" s="63">
        <v>1317.22683094912</v>
      </c>
      <c r="AS39" s="63"/>
      <c r="AT39" s="70">
        <v>15</v>
      </c>
      <c r="AU39" s="70">
        <v>95</v>
      </c>
      <c r="AV39" s="70">
        <v>95</v>
      </c>
      <c r="AW39" s="73">
        <v>0</v>
      </c>
      <c r="AX39" s="70">
        <v>1</v>
      </c>
      <c r="AY39" s="70">
        <v>6.66</v>
      </c>
      <c r="AZ39" s="70">
        <v>10.5894</v>
      </c>
      <c r="BA39" s="38">
        <v>128.2494</v>
      </c>
      <c r="BB39" s="70">
        <v>2436.7386</v>
      </c>
      <c r="BC39" s="70"/>
    </row>
    <row r="40" ht="43.2" spans="1:55">
      <c r="A40" s="19">
        <v>54</v>
      </c>
      <c r="B40" s="29" t="s">
        <v>180</v>
      </c>
      <c r="C40" s="28" t="s">
        <v>217</v>
      </c>
      <c r="D40" s="20" t="s">
        <v>88</v>
      </c>
      <c r="E40" s="21">
        <v>30</v>
      </c>
      <c r="F40" s="22">
        <v>18</v>
      </c>
      <c r="G40" s="22">
        <v>55.55</v>
      </c>
      <c r="H40" s="22">
        <v>55</v>
      </c>
      <c r="I40" s="33">
        <v>0.01</v>
      </c>
      <c r="J40" s="22">
        <v>14.43</v>
      </c>
      <c r="K40" s="22">
        <v>5.2788</v>
      </c>
      <c r="L40" s="22">
        <v>8.393292</v>
      </c>
      <c r="M40" s="38">
        <v>101.652092</v>
      </c>
      <c r="N40" s="22">
        <v>3049.56276</v>
      </c>
      <c r="O40" s="22"/>
      <c r="P40" s="34">
        <v>15</v>
      </c>
      <c r="Q40" s="43">
        <v>35</v>
      </c>
      <c r="R40" s="43">
        <v>35</v>
      </c>
      <c r="S40" s="44"/>
      <c r="T40" s="43">
        <v>3.5</v>
      </c>
      <c r="U40" s="43">
        <v>3.21</v>
      </c>
      <c r="V40" s="43">
        <v>5.1039</v>
      </c>
      <c r="W40" s="43">
        <v>61.8139</v>
      </c>
      <c r="X40" s="43">
        <v>1854.417</v>
      </c>
      <c r="Y40" s="43" t="s">
        <v>183</v>
      </c>
      <c r="Z40" s="52">
        <v>15</v>
      </c>
      <c r="AA40" s="52">
        <v>48.48</v>
      </c>
      <c r="AB40" s="52">
        <v>48</v>
      </c>
      <c r="AC40" s="53">
        <v>0.01</v>
      </c>
      <c r="AD40" s="52">
        <v>1</v>
      </c>
      <c r="AE40" s="52">
        <v>8.3824</v>
      </c>
      <c r="AF40" s="52">
        <v>6.557616</v>
      </c>
      <c r="AG40" s="52">
        <v>79.420016</v>
      </c>
      <c r="AH40" s="52">
        <v>2382.60048</v>
      </c>
      <c r="AI40" s="52"/>
      <c r="AJ40" s="63">
        <v>19.845</v>
      </c>
      <c r="AK40" s="63">
        <v>35.9756637168142</v>
      </c>
      <c r="AL40" s="63">
        <v>35.6194690265487</v>
      </c>
      <c r="AM40" s="64">
        <v>0.01</v>
      </c>
      <c r="AN40" s="63">
        <v>2.8</v>
      </c>
      <c r="AO40" s="63">
        <v>4.98275641592921</v>
      </c>
      <c r="AP40" s="63">
        <v>5.72430781194691</v>
      </c>
      <c r="AQ40" s="63">
        <v>69.3277279446903</v>
      </c>
      <c r="AR40" s="63">
        <v>2079.83183834071</v>
      </c>
      <c r="AS40" s="63"/>
      <c r="AT40" s="70">
        <v>15</v>
      </c>
      <c r="AU40" s="70">
        <v>95</v>
      </c>
      <c r="AV40" s="70">
        <v>95</v>
      </c>
      <c r="AW40" s="73">
        <v>0</v>
      </c>
      <c r="AX40" s="70">
        <v>1</v>
      </c>
      <c r="AY40" s="70">
        <v>6.66</v>
      </c>
      <c r="AZ40" s="70">
        <v>10.5894</v>
      </c>
      <c r="BA40" s="38">
        <v>128.2494</v>
      </c>
      <c r="BB40" s="70">
        <v>3847.482</v>
      </c>
      <c r="BC40" s="70"/>
    </row>
    <row r="41" ht="43.2" spans="1:55">
      <c r="A41" s="19">
        <v>55</v>
      </c>
      <c r="B41" s="29" t="s">
        <v>180</v>
      </c>
      <c r="C41" s="28" t="s">
        <v>218</v>
      </c>
      <c r="D41" s="20" t="s">
        <v>88</v>
      </c>
      <c r="E41" s="21">
        <v>1</v>
      </c>
      <c r="F41" s="22">
        <v>21.57</v>
      </c>
      <c r="G41" s="22">
        <v>60.6</v>
      </c>
      <c r="H41" s="22">
        <v>60</v>
      </c>
      <c r="I41" s="33">
        <v>0.01</v>
      </c>
      <c r="J41" s="22">
        <v>18.43</v>
      </c>
      <c r="K41" s="22">
        <v>6.036</v>
      </c>
      <c r="L41" s="22">
        <v>9.59724</v>
      </c>
      <c r="M41" s="38">
        <v>116.23324</v>
      </c>
      <c r="N41" s="22">
        <v>116.23324</v>
      </c>
      <c r="O41" s="22"/>
      <c r="P41" s="34">
        <v>15</v>
      </c>
      <c r="Q41" s="43">
        <v>39</v>
      </c>
      <c r="R41" s="43">
        <v>39</v>
      </c>
      <c r="S41" s="44"/>
      <c r="T41" s="43">
        <v>3.5</v>
      </c>
      <c r="U41" s="43">
        <v>3.45</v>
      </c>
      <c r="V41" s="43">
        <v>5.4855</v>
      </c>
      <c r="W41" s="43">
        <v>66.4355</v>
      </c>
      <c r="X41" s="43">
        <v>66.4355</v>
      </c>
      <c r="Y41" s="43" t="s">
        <v>183</v>
      </c>
      <c r="Z41" s="52">
        <v>15</v>
      </c>
      <c r="AA41" s="52">
        <v>48.48</v>
      </c>
      <c r="AB41" s="52">
        <v>48</v>
      </c>
      <c r="AC41" s="53">
        <v>0.01</v>
      </c>
      <c r="AD41" s="52">
        <v>1</v>
      </c>
      <c r="AE41" s="52">
        <v>8.3824</v>
      </c>
      <c r="AF41" s="52">
        <v>6.557616</v>
      </c>
      <c r="AG41" s="52">
        <v>79.420016</v>
      </c>
      <c r="AH41" s="52">
        <v>79.420016</v>
      </c>
      <c r="AI41" s="52"/>
      <c r="AJ41" s="63">
        <v>19.845</v>
      </c>
      <c r="AK41" s="63">
        <v>35.9756637168142</v>
      </c>
      <c r="AL41" s="63">
        <v>35.6194690265487</v>
      </c>
      <c r="AM41" s="64">
        <v>0.01</v>
      </c>
      <c r="AN41" s="63">
        <v>2.8</v>
      </c>
      <c r="AO41" s="63">
        <v>4.98275641592921</v>
      </c>
      <c r="AP41" s="63">
        <v>5.72430781194691</v>
      </c>
      <c r="AQ41" s="63">
        <v>69.3277279446903</v>
      </c>
      <c r="AR41" s="63">
        <v>69.3277279446903</v>
      </c>
      <c r="AS41" s="63"/>
      <c r="AT41" s="70">
        <v>15</v>
      </c>
      <c r="AU41" s="70">
        <v>95</v>
      </c>
      <c r="AV41" s="70">
        <v>95</v>
      </c>
      <c r="AW41" s="73">
        <v>0</v>
      </c>
      <c r="AX41" s="70">
        <v>1</v>
      </c>
      <c r="AY41" s="70">
        <v>6.66</v>
      </c>
      <c r="AZ41" s="70">
        <v>10.5894</v>
      </c>
      <c r="BA41" s="38">
        <v>128.2494</v>
      </c>
      <c r="BB41" s="70">
        <v>128.2494</v>
      </c>
      <c r="BC41" s="70"/>
    </row>
    <row r="42" ht="43.2" spans="1:55">
      <c r="A42" s="19">
        <v>56</v>
      </c>
      <c r="B42" s="29" t="s">
        <v>180</v>
      </c>
      <c r="C42" s="28" t="s">
        <v>219</v>
      </c>
      <c r="D42" s="20" t="s">
        <v>88</v>
      </c>
      <c r="E42" s="21">
        <v>3</v>
      </c>
      <c r="F42" s="22">
        <v>18</v>
      </c>
      <c r="G42" s="22">
        <v>57.57</v>
      </c>
      <c r="H42" s="22">
        <v>57</v>
      </c>
      <c r="I42" s="33">
        <v>0.01</v>
      </c>
      <c r="J42" s="22">
        <v>14.43</v>
      </c>
      <c r="K42" s="22">
        <v>5.4</v>
      </c>
      <c r="L42" s="22">
        <v>8.586</v>
      </c>
      <c r="M42" s="38">
        <v>103.986</v>
      </c>
      <c r="N42" s="22">
        <v>311.958</v>
      </c>
      <c r="O42" s="22"/>
      <c r="P42" s="34">
        <v>15</v>
      </c>
      <c r="Q42" s="43">
        <v>35</v>
      </c>
      <c r="R42" s="43">
        <v>35</v>
      </c>
      <c r="S42" s="44"/>
      <c r="T42" s="43">
        <v>3.5</v>
      </c>
      <c r="U42" s="43">
        <v>3.21</v>
      </c>
      <c r="V42" s="43">
        <v>5.1039</v>
      </c>
      <c r="W42" s="43">
        <v>61.8139</v>
      </c>
      <c r="X42" s="43">
        <v>185.4417</v>
      </c>
      <c r="Y42" s="43" t="s">
        <v>183</v>
      </c>
      <c r="Z42" s="52">
        <v>15</v>
      </c>
      <c r="AA42" s="52">
        <v>48.48</v>
      </c>
      <c r="AB42" s="52">
        <v>48</v>
      </c>
      <c r="AC42" s="53">
        <v>0.01</v>
      </c>
      <c r="AD42" s="52">
        <v>1</v>
      </c>
      <c r="AE42" s="52">
        <v>8.3824</v>
      </c>
      <c r="AF42" s="52">
        <v>6.557616</v>
      </c>
      <c r="AG42" s="52">
        <v>79.420016</v>
      </c>
      <c r="AH42" s="52">
        <v>238.260048</v>
      </c>
      <c r="AI42" s="52"/>
      <c r="AJ42" s="63">
        <v>19.845</v>
      </c>
      <c r="AK42" s="63">
        <v>41.1150442477876</v>
      </c>
      <c r="AL42" s="63">
        <v>40.7079646017699</v>
      </c>
      <c r="AM42" s="64">
        <v>0.01</v>
      </c>
      <c r="AN42" s="63">
        <v>2.8</v>
      </c>
      <c r="AO42" s="63">
        <v>5.41960376106195</v>
      </c>
      <c r="AP42" s="63">
        <v>6.22616832079646</v>
      </c>
      <c r="AQ42" s="63">
        <v>75.405816329646</v>
      </c>
      <c r="AR42" s="63">
        <v>226.217448988938</v>
      </c>
      <c r="AS42" s="63"/>
      <c r="AT42" s="70">
        <v>15</v>
      </c>
      <c r="AU42" s="70">
        <v>95</v>
      </c>
      <c r="AV42" s="70">
        <v>95</v>
      </c>
      <c r="AW42" s="73">
        <v>0</v>
      </c>
      <c r="AX42" s="70">
        <v>1</v>
      </c>
      <c r="AY42" s="70">
        <v>6.66</v>
      </c>
      <c r="AZ42" s="70">
        <v>10.5894</v>
      </c>
      <c r="BA42" s="38">
        <v>128.2494</v>
      </c>
      <c r="BB42" s="70">
        <v>384.7482</v>
      </c>
      <c r="BC42" s="70"/>
    </row>
    <row r="43" ht="43.2" spans="1:55">
      <c r="A43" s="19">
        <v>57</v>
      </c>
      <c r="B43" s="29" t="s">
        <v>180</v>
      </c>
      <c r="C43" s="28" t="s">
        <v>220</v>
      </c>
      <c r="D43" s="20" t="s">
        <v>88</v>
      </c>
      <c r="E43" s="21">
        <v>32</v>
      </c>
      <c r="F43" s="22">
        <v>18</v>
      </c>
      <c r="G43" s="22">
        <v>57.57</v>
      </c>
      <c r="H43" s="22">
        <v>57</v>
      </c>
      <c r="I43" s="33">
        <v>0.01</v>
      </c>
      <c r="J43" s="22">
        <v>14.43</v>
      </c>
      <c r="K43" s="22">
        <v>5.4</v>
      </c>
      <c r="L43" s="22">
        <v>8.586</v>
      </c>
      <c r="M43" s="38">
        <v>103.986</v>
      </c>
      <c r="N43" s="22">
        <v>3327.552</v>
      </c>
      <c r="O43" s="22"/>
      <c r="P43" s="34">
        <v>15</v>
      </c>
      <c r="Q43" s="43">
        <v>35</v>
      </c>
      <c r="R43" s="43">
        <v>35</v>
      </c>
      <c r="S43" s="44"/>
      <c r="T43" s="43">
        <v>3.5</v>
      </c>
      <c r="U43" s="43">
        <v>3.21</v>
      </c>
      <c r="V43" s="43">
        <v>5.1039</v>
      </c>
      <c r="W43" s="43">
        <v>61.8139</v>
      </c>
      <c r="X43" s="43">
        <v>1978.0448</v>
      </c>
      <c r="Y43" s="43" t="s">
        <v>183</v>
      </c>
      <c r="Z43" s="52">
        <v>15</v>
      </c>
      <c r="AA43" s="52">
        <v>90.9</v>
      </c>
      <c r="AB43" s="52">
        <v>90</v>
      </c>
      <c r="AC43" s="53">
        <v>0.01</v>
      </c>
      <c r="AD43" s="52">
        <v>1</v>
      </c>
      <c r="AE43" s="52">
        <v>13.897</v>
      </c>
      <c r="AF43" s="52">
        <v>10.87173</v>
      </c>
      <c r="AG43" s="52">
        <v>131.66873</v>
      </c>
      <c r="AH43" s="52">
        <v>4213.39936</v>
      </c>
      <c r="AI43" s="52"/>
      <c r="AJ43" s="63">
        <v>19.845</v>
      </c>
      <c r="AK43" s="63">
        <v>37.0035398230089</v>
      </c>
      <c r="AL43" s="63">
        <v>36.6371681415929</v>
      </c>
      <c r="AM43" s="64">
        <v>0.01</v>
      </c>
      <c r="AN43" s="63">
        <v>2.8</v>
      </c>
      <c r="AO43" s="63">
        <v>5.07012588495576</v>
      </c>
      <c r="AP43" s="63">
        <v>5.82467991371682</v>
      </c>
      <c r="AQ43" s="63">
        <v>70.5433456216815</v>
      </c>
      <c r="AR43" s="63">
        <v>2257.38705989381</v>
      </c>
      <c r="AS43" s="63"/>
      <c r="AT43" s="70">
        <v>15</v>
      </c>
      <c r="AU43" s="70">
        <v>110</v>
      </c>
      <c r="AV43" s="70">
        <v>110</v>
      </c>
      <c r="AW43" s="73">
        <v>0</v>
      </c>
      <c r="AX43" s="70">
        <v>1</v>
      </c>
      <c r="AY43" s="70">
        <v>7.56</v>
      </c>
      <c r="AZ43" s="70">
        <v>12.0204</v>
      </c>
      <c r="BA43" s="38">
        <v>145.5804</v>
      </c>
      <c r="BB43" s="70">
        <v>4658.5728</v>
      </c>
      <c r="BC43" s="70"/>
    </row>
    <row r="44" ht="43.2" spans="1:55">
      <c r="A44" s="19">
        <v>58</v>
      </c>
      <c r="B44" s="29" t="s">
        <v>180</v>
      </c>
      <c r="C44" s="28" t="s">
        <v>221</v>
      </c>
      <c r="D44" s="20" t="s">
        <v>88</v>
      </c>
      <c r="E44" s="21">
        <v>1</v>
      </c>
      <c r="F44" s="22">
        <v>18</v>
      </c>
      <c r="G44" s="22">
        <v>57.57</v>
      </c>
      <c r="H44" s="22">
        <v>57</v>
      </c>
      <c r="I44" s="33">
        <v>0.01</v>
      </c>
      <c r="J44" s="22">
        <v>18.43</v>
      </c>
      <c r="K44" s="22">
        <v>5.64</v>
      </c>
      <c r="L44" s="22">
        <v>8.9676</v>
      </c>
      <c r="M44" s="38">
        <v>108.6076</v>
      </c>
      <c r="N44" s="22">
        <v>108.6076</v>
      </c>
      <c r="O44" s="22"/>
      <c r="P44" s="34">
        <v>15</v>
      </c>
      <c r="Q44" s="43">
        <v>35</v>
      </c>
      <c r="R44" s="43">
        <v>35</v>
      </c>
      <c r="S44" s="44"/>
      <c r="T44" s="43">
        <v>3.5</v>
      </c>
      <c r="U44" s="43">
        <v>3.21</v>
      </c>
      <c r="V44" s="43">
        <v>5.1039</v>
      </c>
      <c r="W44" s="43">
        <v>61.8139</v>
      </c>
      <c r="X44" s="43">
        <v>61.8139</v>
      </c>
      <c r="Y44" s="43" t="s">
        <v>183</v>
      </c>
      <c r="Z44" s="52">
        <v>15</v>
      </c>
      <c r="AA44" s="52">
        <v>48.48</v>
      </c>
      <c r="AB44" s="52">
        <v>48</v>
      </c>
      <c r="AC44" s="53">
        <v>0.01</v>
      </c>
      <c r="AD44" s="52">
        <v>1</v>
      </c>
      <c r="AE44" s="52">
        <v>8.3824</v>
      </c>
      <c r="AF44" s="52">
        <v>6.557616</v>
      </c>
      <c r="AG44" s="52">
        <v>79.420016</v>
      </c>
      <c r="AH44" s="52">
        <v>79.420016</v>
      </c>
      <c r="AI44" s="52"/>
      <c r="AJ44" s="63">
        <v>19.845</v>
      </c>
      <c r="AK44" s="63">
        <v>37.0035398230089</v>
      </c>
      <c r="AL44" s="63">
        <v>36.6371681415929</v>
      </c>
      <c r="AM44" s="64">
        <v>0.01</v>
      </c>
      <c r="AN44" s="63">
        <v>2.8</v>
      </c>
      <c r="AO44" s="63">
        <v>5.07012588495576</v>
      </c>
      <c r="AP44" s="63">
        <v>5.82467991371682</v>
      </c>
      <c r="AQ44" s="63">
        <v>70.5433456216815</v>
      </c>
      <c r="AR44" s="63">
        <v>70.5433456216815</v>
      </c>
      <c r="AS44" s="63"/>
      <c r="AT44" s="70">
        <v>15</v>
      </c>
      <c r="AU44" s="70">
        <v>95</v>
      </c>
      <c r="AV44" s="70">
        <v>95</v>
      </c>
      <c r="AW44" s="73">
        <v>0</v>
      </c>
      <c r="AX44" s="70">
        <v>1</v>
      </c>
      <c r="AY44" s="70">
        <v>6.66</v>
      </c>
      <c r="AZ44" s="70">
        <v>10.5894</v>
      </c>
      <c r="BA44" s="38">
        <v>128.2494</v>
      </c>
      <c r="BB44" s="70">
        <v>128.2494</v>
      </c>
      <c r="BC44" s="70"/>
    </row>
    <row r="45" ht="43.2" spans="1:55">
      <c r="A45" s="19">
        <v>59</v>
      </c>
      <c r="B45" s="29" t="s">
        <v>180</v>
      </c>
      <c r="C45" s="28" t="s">
        <v>222</v>
      </c>
      <c r="D45" s="20" t="s">
        <v>88</v>
      </c>
      <c r="E45" s="21">
        <v>1</v>
      </c>
      <c r="F45" s="22">
        <v>18</v>
      </c>
      <c r="G45" s="22">
        <v>57.57</v>
      </c>
      <c r="H45" s="22">
        <v>57</v>
      </c>
      <c r="I45" s="33">
        <v>0.01</v>
      </c>
      <c r="J45" s="22">
        <v>14.43</v>
      </c>
      <c r="K45" s="22">
        <v>5.4</v>
      </c>
      <c r="L45" s="22">
        <v>8.586</v>
      </c>
      <c r="M45" s="38">
        <v>103.986</v>
      </c>
      <c r="N45" s="22">
        <v>103.986</v>
      </c>
      <c r="O45" s="22"/>
      <c r="P45" s="34">
        <v>15</v>
      </c>
      <c r="Q45" s="43">
        <v>39</v>
      </c>
      <c r="R45" s="43">
        <v>39</v>
      </c>
      <c r="S45" s="44"/>
      <c r="T45" s="43">
        <v>3.5</v>
      </c>
      <c r="U45" s="43">
        <v>3.45</v>
      </c>
      <c r="V45" s="43">
        <v>5.4855</v>
      </c>
      <c r="W45" s="43">
        <v>66.4355</v>
      </c>
      <c r="X45" s="43">
        <v>66.4355</v>
      </c>
      <c r="Y45" s="43" t="s">
        <v>183</v>
      </c>
      <c r="Z45" s="52">
        <v>15</v>
      </c>
      <c r="AA45" s="52">
        <v>48.48</v>
      </c>
      <c r="AB45" s="52">
        <v>48</v>
      </c>
      <c r="AC45" s="53">
        <v>0.01</v>
      </c>
      <c r="AD45" s="52">
        <v>1</v>
      </c>
      <c r="AE45" s="52">
        <v>8.3824</v>
      </c>
      <c r="AF45" s="52">
        <v>6.557616</v>
      </c>
      <c r="AG45" s="52">
        <v>79.420016</v>
      </c>
      <c r="AH45" s="52">
        <v>79.420016</v>
      </c>
      <c r="AI45" s="52"/>
      <c r="AJ45" s="63">
        <v>19.845</v>
      </c>
      <c r="AK45" s="63">
        <v>37.0035398230089</v>
      </c>
      <c r="AL45" s="63">
        <v>36.6371681415929</v>
      </c>
      <c r="AM45" s="64">
        <v>0.01</v>
      </c>
      <c r="AN45" s="63">
        <v>2.8</v>
      </c>
      <c r="AO45" s="63">
        <v>5.07012588495576</v>
      </c>
      <c r="AP45" s="63">
        <v>5.82467991371682</v>
      </c>
      <c r="AQ45" s="63">
        <v>70.5433456216815</v>
      </c>
      <c r="AR45" s="63">
        <v>70.5433456216815</v>
      </c>
      <c r="AS45" s="63"/>
      <c r="AT45" s="70">
        <v>15</v>
      </c>
      <c r="AU45" s="70">
        <v>95</v>
      </c>
      <c r="AV45" s="70">
        <v>95</v>
      </c>
      <c r="AW45" s="73">
        <v>0</v>
      </c>
      <c r="AX45" s="70">
        <v>1</v>
      </c>
      <c r="AY45" s="70">
        <v>6.66</v>
      </c>
      <c r="AZ45" s="70">
        <v>10.5894</v>
      </c>
      <c r="BA45" s="38">
        <v>128.2494</v>
      </c>
      <c r="BB45" s="70">
        <v>128.2494</v>
      </c>
      <c r="BC45" s="70"/>
    </row>
    <row r="46" ht="72" spans="1:55">
      <c r="A46" s="19">
        <v>60</v>
      </c>
      <c r="B46" s="28" t="s">
        <v>172</v>
      </c>
      <c r="C46" s="28" t="s">
        <v>179</v>
      </c>
      <c r="D46" s="20" t="s">
        <v>145</v>
      </c>
      <c r="E46" s="21">
        <v>647.655</v>
      </c>
      <c r="F46" s="22">
        <v>2.02</v>
      </c>
      <c r="G46" s="22">
        <v>11.3724</v>
      </c>
      <c r="H46" s="22">
        <v>10.53</v>
      </c>
      <c r="I46" s="33">
        <v>0.08</v>
      </c>
      <c r="J46" s="22">
        <v>0.68</v>
      </c>
      <c r="K46" s="22">
        <v>0.844344</v>
      </c>
      <c r="L46" s="22">
        <v>1.34250696</v>
      </c>
      <c r="M46" s="38">
        <v>16.25925096</v>
      </c>
      <c r="N46" s="22">
        <v>10530.3851804988</v>
      </c>
      <c r="O46" s="39" t="s">
        <v>174</v>
      </c>
      <c r="P46" s="34">
        <v>2.064</v>
      </c>
      <c r="Q46" s="43">
        <v>10.89792</v>
      </c>
      <c r="R46" s="43">
        <v>9.9072</v>
      </c>
      <c r="S46" s="44">
        <v>0.1</v>
      </c>
      <c r="T46" s="43">
        <v>1.1352</v>
      </c>
      <c r="U46" s="43">
        <v>0.8458272</v>
      </c>
      <c r="V46" s="43">
        <v>1.344865248</v>
      </c>
      <c r="W46" s="38">
        <v>16.287812448</v>
      </c>
      <c r="X46" s="43">
        <v>10548.8831710094</v>
      </c>
      <c r="Y46" s="43" t="s">
        <v>175</v>
      </c>
      <c r="Z46" s="52">
        <v>1.1</v>
      </c>
      <c r="AA46" s="52">
        <v>6.216</v>
      </c>
      <c r="AB46" s="52">
        <v>5.6</v>
      </c>
      <c r="AC46" s="53">
        <v>0.11</v>
      </c>
      <c r="AD46" s="52">
        <v>0.5</v>
      </c>
      <c r="AE46" s="52">
        <v>1.01608</v>
      </c>
      <c r="AF46" s="52">
        <v>0.7948872</v>
      </c>
      <c r="AG46" s="52">
        <v>9.6269672</v>
      </c>
      <c r="AH46" s="52">
        <v>6234.953441916</v>
      </c>
      <c r="AI46" s="52" t="s">
        <v>176</v>
      </c>
      <c r="AJ46" s="63">
        <v>2.565</v>
      </c>
      <c r="AK46" s="63">
        <v>6.4515</v>
      </c>
      <c r="AL46" s="63">
        <v>6.325</v>
      </c>
      <c r="AM46" s="64">
        <v>0.02</v>
      </c>
      <c r="AN46" s="63">
        <v>0.1</v>
      </c>
      <c r="AO46" s="63">
        <v>0.7749025</v>
      </c>
      <c r="AP46" s="63">
        <v>0.890226225</v>
      </c>
      <c r="AQ46" s="63">
        <v>10.781628725</v>
      </c>
      <c r="AR46" s="63">
        <v>6982.77575188987</v>
      </c>
      <c r="AS46" s="63"/>
      <c r="AT46" s="70">
        <v>1.2</v>
      </c>
      <c r="AU46" s="70">
        <v>6.732</v>
      </c>
      <c r="AV46" s="70">
        <v>6.12</v>
      </c>
      <c r="AW46" s="73">
        <v>0.1</v>
      </c>
      <c r="AX46" s="70">
        <v>0.1</v>
      </c>
      <c r="AY46" s="70">
        <v>0.48192</v>
      </c>
      <c r="AZ46" s="70">
        <v>0.7662528</v>
      </c>
      <c r="BA46" s="70">
        <v>9.2801728</v>
      </c>
      <c r="BB46" s="70">
        <v>6010.350314784</v>
      </c>
      <c r="BC46" s="70"/>
    </row>
    <row r="47" ht="72" spans="1:55">
      <c r="A47" s="19">
        <v>61</v>
      </c>
      <c r="B47" s="28" t="s">
        <v>172</v>
      </c>
      <c r="C47" s="28" t="s">
        <v>223</v>
      </c>
      <c r="D47" s="20" t="s">
        <v>145</v>
      </c>
      <c r="E47" s="21">
        <v>300.92</v>
      </c>
      <c r="F47" s="22">
        <v>1.9</v>
      </c>
      <c r="G47" s="22">
        <v>4.374</v>
      </c>
      <c r="H47" s="22">
        <v>4.05</v>
      </c>
      <c r="I47" s="33">
        <v>0.08</v>
      </c>
      <c r="J47" s="22">
        <v>0.65</v>
      </c>
      <c r="K47" s="22">
        <v>0.41544</v>
      </c>
      <c r="L47" s="22">
        <v>0.6605496</v>
      </c>
      <c r="M47" s="22">
        <v>7.9999896</v>
      </c>
      <c r="N47" s="22">
        <v>2407.356870432</v>
      </c>
      <c r="O47" s="39" t="s">
        <v>174</v>
      </c>
      <c r="P47" s="34">
        <v>2.064</v>
      </c>
      <c r="Q47" s="43">
        <v>7.11392</v>
      </c>
      <c r="R47" s="43">
        <v>6.4672</v>
      </c>
      <c r="S47" s="44">
        <v>0.1</v>
      </c>
      <c r="T47" s="43">
        <v>1.1352</v>
      </c>
      <c r="U47" s="43">
        <v>0.6187872</v>
      </c>
      <c r="V47" s="43">
        <v>0.983871648</v>
      </c>
      <c r="W47" s="38">
        <v>11.915778848</v>
      </c>
      <c r="X47" s="43">
        <v>3585.69617094016</v>
      </c>
      <c r="Y47" s="43" t="s">
        <v>175</v>
      </c>
      <c r="Z47" s="52">
        <v>1.1</v>
      </c>
      <c r="AA47" s="52">
        <v>2.442</v>
      </c>
      <c r="AB47" s="52">
        <v>2.2</v>
      </c>
      <c r="AC47" s="53">
        <v>0.11</v>
      </c>
      <c r="AD47" s="52">
        <v>0.5</v>
      </c>
      <c r="AE47" s="52">
        <v>0.52546</v>
      </c>
      <c r="AF47" s="52">
        <v>0.4110714</v>
      </c>
      <c r="AG47" s="52">
        <v>4.9785314</v>
      </c>
      <c r="AH47" s="52">
        <v>1498.139668888</v>
      </c>
      <c r="AI47" s="52" t="s">
        <v>176</v>
      </c>
      <c r="AJ47" s="63">
        <v>2.565</v>
      </c>
      <c r="AK47" s="63">
        <v>3.0498</v>
      </c>
      <c r="AL47" s="63">
        <v>2.99</v>
      </c>
      <c r="AM47" s="64">
        <v>0.02</v>
      </c>
      <c r="AN47" s="63">
        <v>0.1</v>
      </c>
      <c r="AO47" s="63">
        <v>0.485758</v>
      </c>
      <c r="AP47" s="63">
        <v>0.55805022</v>
      </c>
      <c r="AQ47" s="63">
        <v>6.75860822</v>
      </c>
      <c r="AR47" s="63">
        <v>2033.8003855624</v>
      </c>
      <c r="AS47" s="63"/>
      <c r="AT47" s="70">
        <v>1.2</v>
      </c>
      <c r="AU47" s="70">
        <v>4.961</v>
      </c>
      <c r="AV47" s="70">
        <v>4.51</v>
      </c>
      <c r="AW47" s="73">
        <v>0.1</v>
      </c>
      <c r="AX47" s="70">
        <v>0.1</v>
      </c>
      <c r="AY47" s="70">
        <v>0.37566</v>
      </c>
      <c r="AZ47" s="70">
        <v>0.5972994</v>
      </c>
      <c r="BA47" s="70">
        <v>7.2339594</v>
      </c>
      <c r="BB47" s="70">
        <v>2176.843062648</v>
      </c>
      <c r="BC47" s="70"/>
    </row>
    <row r="48" ht="43.2" spans="1:55">
      <c r="A48" s="19">
        <v>62</v>
      </c>
      <c r="B48" s="28" t="s">
        <v>167</v>
      </c>
      <c r="C48" s="28" t="s">
        <v>224</v>
      </c>
      <c r="D48" s="20" t="s">
        <v>145</v>
      </c>
      <c r="E48" s="21">
        <v>25.95</v>
      </c>
      <c r="F48" s="22">
        <v>14.05</v>
      </c>
      <c r="G48" s="22">
        <v>22.4643</v>
      </c>
      <c r="H48" s="22">
        <v>21.81</v>
      </c>
      <c r="I48" s="33">
        <v>0.03</v>
      </c>
      <c r="J48" s="22">
        <v>4.46</v>
      </c>
      <c r="K48" s="22">
        <v>2.458458</v>
      </c>
      <c r="L48" s="22">
        <v>3.90894822</v>
      </c>
      <c r="M48" s="38">
        <v>47.34170622</v>
      </c>
      <c r="N48" s="22">
        <v>1228.517276409</v>
      </c>
      <c r="O48" s="22"/>
      <c r="P48" s="34">
        <v>12.9</v>
      </c>
      <c r="Q48" s="43">
        <v>9.026302</v>
      </c>
      <c r="R48" s="43">
        <v>8.7634</v>
      </c>
      <c r="S48" s="44">
        <v>0.03</v>
      </c>
      <c r="T48" s="43">
        <v>6.8198</v>
      </c>
      <c r="U48" s="43">
        <v>1.72476612</v>
      </c>
      <c r="V48" s="43">
        <v>2.7423781308</v>
      </c>
      <c r="W48" s="43">
        <v>33.2132462508</v>
      </c>
      <c r="X48" s="43">
        <v>861.88374020826</v>
      </c>
      <c r="Y48" s="43"/>
      <c r="Z48" s="52">
        <v>12</v>
      </c>
      <c r="AA48" s="52">
        <v>3.09</v>
      </c>
      <c r="AB48" s="52">
        <v>3</v>
      </c>
      <c r="AC48" s="53">
        <v>0.03</v>
      </c>
      <c r="AD48" s="52">
        <v>1</v>
      </c>
      <c r="AE48" s="52">
        <v>2.0917</v>
      </c>
      <c r="AF48" s="52">
        <v>1.636353</v>
      </c>
      <c r="AG48" s="52">
        <v>19.818053</v>
      </c>
      <c r="AH48" s="52">
        <v>514.27847535</v>
      </c>
      <c r="AI48" s="52"/>
      <c r="AJ48" s="63">
        <v>8.775</v>
      </c>
      <c r="AK48" s="63">
        <v>1.57234513274336</v>
      </c>
      <c r="AL48" s="63">
        <v>1.52654867256637</v>
      </c>
      <c r="AM48" s="64">
        <v>0.03</v>
      </c>
      <c r="AN48" s="63">
        <v>5</v>
      </c>
      <c r="AO48" s="63">
        <v>1.30452433628319</v>
      </c>
      <c r="AP48" s="63">
        <v>1.49866825221239</v>
      </c>
      <c r="AQ48" s="63">
        <v>18.1505377212389</v>
      </c>
      <c r="AR48" s="63">
        <v>471.00645386615</v>
      </c>
      <c r="AS48" s="63"/>
      <c r="AT48" s="70">
        <v>6</v>
      </c>
      <c r="AU48" s="70">
        <v>3.09</v>
      </c>
      <c r="AV48" s="70">
        <v>3</v>
      </c>
      <c r="AW48" s="73">
        <v>0.03</v>
      </c>
      <c r="AX48" s="70">
        <v>0.1</v>
      </c>
      <c r="AY48" s="70">
        <v>0.5514</v>
      </c>
      <c r="AZ48" s="70">
        <v>0.876726</v>
      </c>
      <c r="BA48" s="70">
        <v>10.618126</v>
      </c>
      <c r="BB48" s="70">
        <v>275.5403697</v>
      </c>
      <c r="BC48" s="70"/>
    </row>
    <row r="49" ht="72" spans="1:55">
      <c r="A49" s="19">
        <v>63</v>
      </c>
      <c r="B49" s="28" t="s">
        <v>172</v>
      </c>
      <c r="C49" s="28" t="s">
        <v>225</v>
      </c>
      <c r="D49" s="20" t="s">
        <v>145</v>
      </c>
      <c r="E49" s="21">
        <v>13.05</v>
      </c>
      <c r="F49" s="22">
        <v>2.02</v>
      </c>
      <c r="G49" s="22">
        <v>3.2596</v>
      </c>
      <c r="H49" s="22">
        <v>2.81</v>
      </c>
      <c r="I49" s="33">
        <v>0.16</v>
      </c>
      <c r="J49" s="22">
        <v>1.1</v>
      </c>
      <c r="K49" s="22">
        <v>0.382776</v>
      </c>
      <c r="L49" s="22">
        <v>0.60861384</v>
      </c>
      <c r="M49" s="22">
        <v>7.37098984</v>
      </c>
      <c r="N49" s="22">
        <v>96.191417412</v>
      </c>
      <c r="O49" s="39" t="s">
        <v>174</v>
      </c>
      <c r="P49" s="34">
        <v>1.892</v>
      </c>
      <c r="Q49" s="43">
        <v>2.164448</v>
      </c>
      <c r="R49" s="43">
        <v>1.96768</v>
      </c>
      <c r="S49" s="44">
        <v>0.1</v>
      </c>
      <c r="T49" s="43">
        <v>0.86</v>
      </c>
      <c r="U49" s="43">
        <v>0.29498688</v>
      </c>
      <c r="V49" s="43">
        <v>0.4690291392</v>
      </c>
      <c r="W49" s="43">
        <v>5.6804640192</v>
      </c>
      <c r="X49" s="43">
        <v>74.13005545056</v>
      </c>
      <c r="Y49" s="43" t="s">
        <v>175</v>
      </c>
      <c r="Z49" s="52">
        <v>1.1</v>
      </c>
      <c r="AA49" s="52">
        <v>2.1867</v>
      </c>
      <c r="AB49" s="52">
        <v>1.97</v>
      </c>
      <c r="AC49" s="53">
        <v>0.11</v>
      </c>
      <c r="AD49" s="52">
        <v>0.5</v>
      </c>
      <c r="AE49" s="52">
        <v>0.492271</v>
      </c>
      <c r="AF49" s="52">
        <v>0.38510739</v>
      </c>
      <c r="AG49" s="52">
        <v>4.66407839</v>
      </c>
      <c r="AH49" s="52">
        <v>60.8662229895</v>
      </c>
      <c r="AI49" s="52" t="s">
        <v>176</v>
      </c>
      <c r="AJ49" s="63">
        <v>2.565</v>
      </c>
      <c r="AK49" s="63">
        <v>2.54003044247788</v>
      </c>
      <c r="AL49" s="63">
        <v>2.1896814159292</v>
      </c>
      <c r="AM49" s="64">
        <v>0.16</v>
      </c>
      <c r="AN49" s="63">
        <v>0.2</v>
      </c>
      <c r="AO49" s="63">
        <v>0.45092758761062</v>
      </c>
      <c r="AP49" s="63">
        <v>0.518036222707965</v>
      </c>
      <c r="AQ49" s="63">
        <v>6.27399425279646</v>
      </c>
      <c r="AR49" s="63">
        <v>81.8756249989939</v>
      </c>
      <c r="AS49" s="63"/>
      <c r="AT49" s="70">
        <v>1.2</v>
      </c>
      <c r="AU49" s="70">
        <v>3.179</v>
      </c>
      <c r="AV49" s="70">
        <v>2.89</v>
      </c>
      <c r="AW49" s="73">
        <v>0.1</v>
      </c>
      <c r="AX49" s="70">
        <v>0.1</v>
      </c>
      <c r="AY49" s="70">
        <v>0.26874</v>
      </c>
      <c r="AZ49" s="70">
        <v>0.4272966</v>
      </c>
      <c r="BA49" s="70">
        <v>5.1750366</v>
      </c>
      <c r="BB49" s="70">
        <v>67.53422763</v>
      </c>
      <c r="BC49" s="70"/>
    </row>
    <row r="50" ht="14.4" spans="1:55">
      <c r="A50" s="19"/>
      <c r="B50" s="24" t="s">
        <v>226</v>
      </c>
      <c r="C50" s="28"/>
      <c r="D50" s="20"/>
      <c r="E50" s="21"/>
      <c r="F50" s="22"/>
      <c r="G50" s="22"/>
      <c r="H50" s="22"/>
      <c r="I50" s="33"/>
      <c r="J50" s="22"/>
      <c r="K50" s="22"/>
      <c r="L50" s="22"/>
      <c r="M50" s="22"/>
      <c r="N50" s="27">
        <v>26833.6685038856</v>
      </c>
      <c r="O50" s="22"/>
      <c r="P50" s="34">
        <v>0</v>
      </c>
      <c r="Q50" s="43">
        <v>0</v>
      </c>
      <c r="R50" s="43">
        <v>0</v>
      </c>
      <c r="S50" s="44"/>
      <c r="T50" s="43">
        <v>0</v>
      </c>
      <c r="U50" s="43">
        <v>0</v>
      </c>
      <c r="V50" s="43">
        <v>0</v>
      </c>
      <c r="W50" s="43">
        <v>0</v>
      </c>
      <c r="X50" s="46">
        <v>20088.5935203238</v>
      </c>
      <c r="Y50" s="43"/>
      <c r="Z50" s="52"/>
      <c r="AA50" s="52"/>
      <c r="AB50" s="52"/>
      <c r="AC50" s="53"/>
      <c r="AD50" s="52"/>
      <c r="AE50" s="52"/>
      <c r="AF50" s="52"/>
      <c r="AG50" s="52"/>
      <c r="AH50" s="55">
        <v>23402.1334132444</v>
      </c>
      <c r="AI50" s="52"/>
      <c r="AJ50" s="63"/>
      <c r="AK50" s="63"/>
      <c r="AL50" s="63"/>
      <c r="AM50" s="64"/>
      <c r="AN50" s="63"/>
      <c r="AO50" s="63"/>
      <c r="AP50" s="63"/>
      <c r="AQ50" s="63"/>
      <c r="AR50" s="65">
        <v>22004.0209670314</v>
      </c>
      <c r="AS50" s="63"/>
      <c r="AT50" s="70"/>
      <c r="AU50" s="70"/>
      <c r="AV50" s="70"/>
      <c r="AW50" s="73"/>
      <c r="AX50" s="70"/>
      <c r="AY50" s="70"/>
      <c r="AZ50" s="70"/>
      <c r="BA50" s="70"/>
      <c r="BB50" s="71">
        <v>28035.0811429363</v>
      </c>
      <c r="BC50" s="70"/>
    </row>
    <row r="51" ht="28.8" spans="1:55">
      <c r="A51" s="19"/>
      <c r="B51" s="24" t="s">
        <v>227</v>
      </c>
      <c r="C51" s="28"/>
      <c r="D51" s="20"/>
      <c r="E51" s="21"/>
      <c r="F51" s="22"/>
      <c r="G51" s="22"/>
      <c r="H51" s="22"/>
      <c r="I51" s="33"/>
      <c r="J51" s="22"/>
      <c r="K51" s="22"/>
      <c r="L51" s="22"/>
      <c r="M51" s="22"/>
      <c r="N51" s="27">
        <v>18272.6608941549</v>
      </c>
      <c r="O51" s="22"/>
      <c r="P51" s="34">
        <v>0</v>
      </c>
      <c r="Q51" s="43">
        <v>0</v>
      </c>
      <c r="R51" s="43">
        <v>0</v>
      </c>
      <c r="S51" s="44"/>
      <c r="T51" s="43">
        <v>0</v>
      </c>
      <c r="U51" s="43">
        <v>0</v>
      </c>
      <c r="V51" s="43">
        <v>0</v>
      </c>
      <c r="W51" s="43">
        <v>0</v>
      </c>
      <c r="X51" s="46">
        <v>15832.9721845329</v>
      </c>
      <c r="Y51" s="43"/>
      <c r="Z51" s="52"/>
      <c r="AA51" s="52"/>
      <c r="AB51" s="52"/>
      <c r="AC51" s="53"/>
      <c r="AD51" s="52"/>
      <c r="AE51" s="52"/>
      <c r="AF51" s="52"/>
      <c r="AG51" s="52"/>
      <c r="AH51" s="55">
        <v>18937.6064440466</v>
      </c>
      <c r="AI51" s="52"/>
      <c r="AJ51" s="63"/>
      <c r="AK51" s="63"/>
      <c r="AL51" s="63"/>
      <c r="AM51" s="64"/>
      <c r="AN51" s="63"/>
      <c r="AO51" s="63"/>
      <c r="AP51" s="63"/>
      <c r="AQ51" s="63"/>
      <c r="AR51" s="65">
        <v>16331.9212702838</v>
      </c>
      <c r="AS51" s="63"/>
      <c r="AT51" s="70"/>
      <c r="AU51" s="70"/>
      <c r="AV51" s="70"/>
      <c r="AW51" s="73"/>
      <c r="AX51" s="70"/>
      <c r="AY51" s="70"/>
      <c r="AZ51" s="70"/>
      <c r="BA51" s="70"/>
      <c r="BB51" s="71">
        <v>19133.1085657405</v>
      </c>
      <c r="BC51" s="70"/>
    </row>
    <row r="52" ht="72" spans="1:55">
      <c r="A52" s="19">
        <v>64</v>
      </c>
      <c r="B52" s="28" t="s">
        <v>167</v>
      </c>
      <c r="C52" s="28" t="s">
        <v>168</v>
      </c>
      <c r="D52" s="20" t="s">
        <v>145</v>
      </c>
      <c r="E52" s="21">
        <v>135.708369565217</v>
      </c>
      <c r="F52" s="22">
        <v>9.8</v>
      </c>
      <c r="G52" s="22">
        <v>4.6453</v>
      </c>
      <c r="H52" s="22">
        <v>4.51</v>
      </c>
      <c r="I52" s="33">
        <v>0.03</v>
      </c>
      <c r="J52" s="22">
        <v>2.63</v>
      </c>
      <c r="K52" s="22">
        <v>1.024518</v>
      </c>
      <c r="L52" s="22">
        <v>1.62898362</v>
      </c>
      <c r="M52" s="22">
        <v>19.72880162</v>
      </c>
      <c r="N52" s="22">
        <v>2677.36350132581</v>
      </c>
      <c r="O52" s="22"/>
      <c r="P52" s="34">
        <v>10.32</v>
      </c>
      <c r="Q52" s="43">
        <v>4.03039</v>
      </c>
      <c r="R52" s="43">
        <v>3.913</v>
      </c>
      <c r="S52" s="44">
        <v>0.03</v>
      </c>
      <c r="T52" s="43">
        <v>2.6402</v>
      </c>
      <c r="U52" s="43">
        <v>1.0194354</v>
      </c>
      <c r="V52" s="43">
        <v>1.620902286</v>
      </c>
      <c r="W52" s="43">
        <v>19.630927686</v>
      </c>
      <c r="X52" s="43">
        <v>2664.08118931974</v>
      </c>
      <c r="Y52" s="43" t="s">
        <v>169</v>
      </c>
      <c r="Z52" s="52">
        <v>12</v>
      </c>
      <c r="AA52" s="52">
        <v>6.825</v>
      </c>
      <c r="AB52" s="52">
        <v>6.5</v>
      </c>
      <c r="AC52" s="57">
        <v>0.05</v>
      </c>
      <c r="AD52" s="52">
        <v>1.5</v>
      </c>
      <c r="AE52" s="52">
        <v>2.64225</v>
      </c>
      <c r="AF52" s="52">
        <v>2.0670525</v>
      </c>
      <c r="AG52" s="52">
        <v>25.0343025</v>
      </c>
      <c r="AH52" s="52">
        <v>3397.36437547744</v>
      </c>
      <c r="AI52" s="52"/>
      <c r="AJ52" s="63">
        <v>9.585</v>
      </c>
      <c r="AK52" s="63">
        <v>4.086525</v>
      </c>
      <c r="AL52" s="63">
        <v>3.9675</v>
      </c>
      <c r="AM52" s="64">
        <v>0.03</v>
      </c>
      <c r="AN52" s="63">
        <v>2.9</v>
      </c>
      <c r="AO52" s="63">
        <v>1.408579625</v>
      </c>
      <c r="AP52" s="63">
        <v>1.61820941625</v>
      </c>
      <c r="AQ52" s="63">
        <v>19.59831404125</v>
      </c>
      <c r="AR52" s="63">
        <v>2659.65524476514</v>
      </c>
      <c r="AS52" s="63"/>
      <c r="AT52" s="70">
        <v>8</v>
      </c>
      <c r="AU52" s="70">
        <v>4.8307</v>
      </c>
      <c r="AV52" s="70">
        <v>4.69</v>
      </c>
      <c r="AW52" s="73">
        <v>0.03</v>
      </c>
      <c r="AX52" s="70">
        <v>3.5</v>
      </c>
      <c r="AY52" s="70">
        <v>0.979842</v>
      </c>
      <c r="AZ52" s="70">
        <v>1.55794878</v>
      </c>
      <c r="BA52" s="70">
        <v>18.86849078</v>
      </c>
      <c r="BB52" s="70">
        <v>2560.61211991013</v>
      </c>
      <c r="BC52" s="70"/>
    </row>
    <row r="53" ht="72" spans="1:55">
      <c r="A53" s="19">
        <v>65</v>
      </c>
      <c r="B53" s="28" t="s">
        <v>167</v>
      </c>
      <c r="C53" s="28" t="s">
        <v>170</v>
      </c>
      <c r="D53" s="20" t="s">
        <v>145</v>
      </c>
      <c r="E53" s="21">
        <v>3.98478260869565</v>
      </c>
      <c r="F53" s="22">
        <v>5.13</v>
      </c>
      <c r="G53" s="22">
        <v>4.6453</v>
      </c>
      <c r="H53" s="22">
        <v>4.51</v>
      </c>
      <c r="I53" s="33">
        <v>0.03</v>
      </c>
      <c r="J53" s="22">
        <v>1.91</v>
      </c>
      <c r="K53" s="22">
        <v>0.701118</v>
      </c>
      <c r="L53" s="22">
        <v>1.11477762</v>
      </c>
      <c r="M53" s="22">
        <v>13.50119562</v>
      </c>
      <c r="N53" s="22">
        <v>53.7993295031739</v>
      </c>
      <c r="O53" s="22"/>
      <c r="P53" s="34">
        <v>7.74</v>
      </c>
      <c r="Q53" s="43">
        <v>4.03039</v>
      </c>
      <c r="R53" s="43">
        <v>3.913</v>
      </c>
      <c r="S53" s="44">
        <v>0.03</v>
      </c>
      <c r="T53" s="43">
        <v>1.8146</v>
      </c>
      <c r="U53" s="43">
        <v>0.8150994</v>
      </c>
      <c r="V53" s="43">
        <v>1.296008046</v>
      </c>
      <c r="W53" s="43">
        <v>15.696097446</v>
      </c>
      <c r="X53" s="43">
        <v>62.545536127213</v>
      </c>
      <c r="Y53" s="43" t="s">
        <v>169</v>
      </c>
      <c r="Z53" s="52">
        <v>12</v>
      </c>
      <c r="AA53" s="52">
        <v>6.825</v>
      </c>
      <c r="AB53" s="52">
        <v>6.5</v>
      </c>
      <c r="AC53" s="53">
        <v>0.05</v>
      </c>
      <c r="AD53" s="58">
        <v>1.5</v>
      </c>
      <c r="AE53" s="52">
        <v>2.64225</v>
      </c>
      <c r="AF53" s="52">
        <v>2.0670525</v>
      </c>
      <c r="AG53" s="52">
        <v>25.0343025</v>
      </c>
      <c r="AH53" s="52">
        <v>99.756253222826</v>
      </c>
      <c r="AI53" s="52"/>
      <c r="AJ53" s="63">
        <v>7.83</v>
      </c>
      <c r="AK53" s="63">
        <v>4.086525</v>
      </c>
      <c r="AL53" s="63">
        <v>3.9675</v>
      </c>
      <c r="AM53" s="64">
        <v>0.03</v>
      </c>
      <c r="AN53" s="63">
        <v>1.7</v>
      </c>
      <c r="AO53" s="63">
        <v>1.157404625</v>
      </c>
      <c r="AP53" s="63">
        <v>1.32965366625</v>
      </c>
      <c r="AQ53" s="63">
        <v>16.10358329125</v>
      </c>
      <c r="AR53" s="63">
        <v>64.1692786366549</v>
      </c>
      <c r="AS53" s="63"/>
      <c r="AT53" s="70">
        <v>8</v>
      </c>
      <c r="AU53" s="70">
        <v>4.8307</v>
      </c>
      <c r="AV53" s="70">
        <v>4.69</v>
      </c>
      <c r="AW53" s="73">
        <v>0.03</v>
      </c>
      <c r="AX53" s="70">
        <v>3.5</v>
      </c>
      <c r="AY53" s="70">
        <v>0.979842</v>
      </c>
      <c r="AZ53" s="70">
        <v>1.55794878</v>
      </c>
      <c r="BA53" s="70">
        <v>18.86849078</v>
      </c>
      <c r="BB53" s="70">
        <v>75.1868339124782</v>
      </c>
      <c r="BC53" s="70"/>
    </row>
    <row r="54" ht="72" spans="1:55">
      <c r="A54" s="19">
        <v>66</v>
      </c>
      <c r="B54" s="28" t="s">
        <v>167</v>
      </c>
      <c r="C54" s="28" t="s">
        <v>171</v>
      </c>
      <c r="D54" s="20" t="s">
        <v>145</v>
      </c>
      <c r="E54" s="21">
        <v>31.0588043478261</v>
      </c>
      <c r="F54" s="22">
        <v>11.98</v>
      </c>
      <c r="G54" s="22">
        <v>7.8692</v>
      </c>
      <c r="H54" s="22">
        <v>7.64</v>
      </c>
      <c r="I54" s="33">
        <v>0.03</v>
      </c>
      <c r="J54" s="22">
        <v>3.48</v>
      </c>
      <c r="K54" s="22">
        <v>1.399752</v>
      </c>
      <c r="L54" s="22">
        <v>2.22560568</v>
      </c>
      <c r="M54" s="22">
        <v>26.95455768</v>
      </c>
      <c r="N54" s="22">
        <v>837.176333265313</v>
      </c>
      <c r="O54" s="22"/>
      <c r="P54" s="34">
        <v>10.32</v>
      </c>
      <c r="Q54" s="43">
        <v>5.421096</v>
      </c>
      <c r="R54" s="43">
        <v>5.2632</v>
      </c>
      <c r="S54" s="44">
        <v>0.03</v>
      </c>
      <c r="T54" s="43">
        <v>2.3048</v>
      </c>
      <c r="U54" s="43">
        <v>1.08275376</v>
      </c>
      <c r="V54" s="43">
        <v>1.7215784784</v>
      </c>
      <c r="W54" s="43">
        <v>20.8502282384</v>
      </c>
      <c r="X54" s="43">
        <v>647.583159463984</v>
      </c>
      <c r="Y54" s="43" t="s">
        <v>169</v>
      </c>
      <c r="Z54" s="52">
        <v>12</v>
      </c>
      <c r="AA54" s="52">
        <v>6.825</v>
      </c>
      <c r="AB54" s="52">
        <v>6.5</v>
      </c>
      <c r="AC54" s="57">
        <v>0.05</v>
      </c>
      <c r="AD54" s="52">
        <v>1.5</v>
      </c>
      <c r="AE54" s="52">
        <v>2.64225</v>
      </c>
      <c r="AF54" s="52">
        <v>2.0670525</v>
      </c>
      <c r="AG54" s="52">
        <v>25.0343025</v>
      </c>
      <c r="AH54" s="52">
        <v>777.535503331794</v>
      </c>
      <c r="AI54" s="52"/>
      <c r="AJ54" s="63">
        <v>13.905</v>
      </c>
      <c r="AK54" s="63">
        <v>5.721135</v>
      </c>
      <c r="AL54" s="63">
        <v>5.5545</v>
      </c>
      <c r="AM54" s="64">
        <v>0.03</v>
      </c>
      <c r="AN54" s="63">
        <v>4.2</v>
      </c>
      <c r="AO54" s="63">
        <v>2.025221475</v>
      </c>
      <c r="AP54" s="63">
        <v>2.32662208275</v>
      </c>
      <c r="AQ54" s="63">
        <v>28.17797855775</v>
      </c>
      <c r="AR54" s="63">
        <v>875.174322942396</v>
      </c>
      <c r="AS54" s="63"/>
      <c r="AT54" s="70">
        <v>12</v>
      </c>
      <c r="AU54" s="70">
        <v>9.27</v>
      </c>
      <c r="AV54" s="70">
        <v>9</v>
      </c>
      <c r="AW54" s="73">
        <v>0.03</v>
      </c>
      <c r="AX54" s="70">
        <v>4.25</v>
      </c>
      <c r="AY54" s="70">
        <v>1.5312</v>
      </c>
      <c r="AZ54" s="70">
        <v>2.434608</v>
      </c>
      <c r="BA54" s="70">
        <v>29.485808</v>
      </c>
      <c r="BB54" s="70">
        <v>915.793941709566</v>
      </c>
      <c r="BC54" s="70"/>
    </row>
    <row r="55" ht="72" spans="1:55">
      <c r="A55" s="19">
        <v>67</v>
      </c>
      <c r="B55" s="28" t="s">
        <v>172</v>
      </c>
      <c r="C55" s="28" t="s">
        <v>173</v>
      </c>
      <c r="D55" s="20" t="s">
        <v>145</v>
      </c>
      <c r="E55" s="21">
        <v>628.007173913044</v>
      </c>
      <c r="F55" s="22">
        <v>2.02</v>
      </c>
      <c r="G55" s="22">
        <v>3.2596</v>
      </c>
      <c r="H55" s="22">
        <v>2.81</v>
      </c>
      <c r="I55" s="33">
        <v>0.16</v>
      </c>
      <c r="J55" s="22">
        <v>1.1</v>
      </c>
      <c r="K55" s="22">
        <v>0.382776</v>
      </c>
      <c r="L55" s="22">
        <v>0.60861384</v>
      </c>
      <c r="M55" s="22">
        <v>7.37098984</v>
      </c>
      <c r="N55" s="22">
        <v>4629.03449836016</v>
      </c>
      <c r="O55" s="39" t="s">
        <v>174</v>
      </c>
      <c r="P55" s="34">
        <v>1.892</v>
      </c>
      <c r="Q55" s="43">
        <v>2.0812</v>
      </c>
      <c r="R55" s="43">
        <v>1.892</v>
      </c>
      <c r="S55" s="44">
        <v>0.1</v>
      </c>
      <c r="T55" s="43">
        <v>0.86</v>
      </c>
      <c r="U55" s="43">
        <v>0.289992</v>
      </c>
      <c r="V55" s="43">
        <v>0.46108728</v>
      </c>
      <c r="W55" s="43">
        <v>5.58427928</v>
      </c>
      <c r="X55" s="43">
        <v>3506.96744897397</v>
      </c>
      <c r="Y55" s="43" t="s">
        <v>175</v>
      </c>
      <c r="Z55" s="52">
        <v>1.1</v>
      </c>
      <c r="AA55" s="52">
        <v>2.109</v>
      </c>
      <c r="AB55" s="52">
        <v>1.9</v>
      </c>
      <c r="AC55" s="53">
        <v>0.11</v>
      </c>
      <c r="AD55" s="52">
        <v>0.8</v>
      </c>
      <c r="AE55" s="52">
        <v>0.52117</v>
      </c>
      <c r="AF55" s="52">
        <v>0.4077153</v>
      </c>
      <c r="AG55" s="52">
        <v>4.9378853</v>
      </c>
      <c r="AH55" s="52">
        <v>3101.02739235976</v>
      </c>
      <c r="AI55" s="52" t="s">
        <v>176</v>
      </c>
      <c r="AJ55" s="63">
        <v>2.565</v>
      </c>
      <c r="AK55" s="63">
        <v>2.54003044247788</v>
      </c>
      <c r="AL55" s="63">
        <v>2.1896814159292</v>
      </c>
      <c r="AM55" s="64">
        <v>0.16</v>
      </c>
      <c r="AN55" s="63">
        <v>0.2</v>
      </c>
      <c r="AO55" s="63">
        <v>0.45092758761062</v>
      </c>
      <c r="AP55" s="63">
        <v>0.518036222707965</v>
      </c>
      <c r="AQ55" s="63">
        <v>6.27399425279646</v>
      </c>
      <c r="AR55" s="63">
        <v>3940.11339984539</v>
      </c>
      <c r="AS55" s="63"/>
      <c r="AT55" s="70">
        <v>1.2</v>
      </c>
      <c r="AU55" s="70">
        <v>3.179</v>
      </c>
      <c r="AV55" s="70">
        <v>2.89</v>
      </c>
      <c r="AW55" s="73">
        <v>0.1</v>
      </c>
      <c r="AX55" s="70">
        <v>0.1</v>
      </c>
      <c r="AY55" s="70">
        <v>0.26874</v>
      </c>
      <c r="AZ55" s="70">
        <v>0.4272966</v>
      </c>
      <c r="BA55" s="70">
        <v>5.1750366</v>
      </c>
      <c r="BB55" s="70">
        <v>3249.96011006257</v>
      </c>
      <c r="BC55" s="70"/>
    </row>
    <row r="56" ht="72" spans="1:55">
      <c r="A56" s="19">
        <v>68</v>
      </c>
      <c r="B56" s="28" t="s">
        <v>172</v>
      </c>
      <c r="C56" s="28" t="s">
        <v>179</v>
      </c>
      <c r="D56" s="20" t="s">
        <v>145</v>
      </c>
      <c r="E56" s="21">
        <v>38.9930434782609</v>
      </c>
      <c r="F56" s="22">
        <v>2.02</v>
      </c>
      <c r="G56" s="22">
        <v>11.3724</v>
      </c>
      <c r="H56" s="22">
        <v>10.53</v>
      </c>
      <c r="I56" s="33">
        <v>0.08</v>
      </c>
      <c r="J56" s="22">
        <v>0.68</v>
      </c>
      <c r="K56" s="22">
        <v>0.844344</v>
      </c>
      <c r="L56" s="22">
        <v>1.34250696</v>
      </c>
      <c r="M56" s="22">
        <v>16.25925096</v>
      </c>
      <c r="N56" s="22">
        <v>633.997679607235</v>
      </c>
      <c r="O56" s="39" t="s">
        <v>174</v>
      </c>
      <c r="P56" s="34">
        <v>2.064</v>
      </c>
      <c r="Q56" s="43">
        <v>10.89792</v>
      </c>
      <c r="R56" s="43">
        <v>9.9072</v>
      </c>
      <c r="S56" s="44">
        <v>0.1</v>
      </c>
      <c r="T56" s="43">
        <v>1.1352</v>
      </c>
      <c r="U56" s="43">
        <v>0.8458272</v>
      </c>
      <c r="V56" s="43">
        <v>1.344865248</v>
      </c>
      <c r="W56" s="43">
        <v>16.287812448</v>
      </c>
      <c r="X56" s="43">
        <v>635.111378950623</v>
      </c>
      <c r="Y56" s="43" t="s">
        <v>175</v>
      </c>
      <c r="Z56" s="52">
        <v>1.1</v>
      </c>
      <c r="AA56" s="52">
        <v>6.216</v>
      </c>
      <c r="AB56" s="52">
        <v>5.6</v>
      </c>
      <c r="AC56" s="53">
        <v>0.11</v>
      </c>
      <c r="AD56" s="52">
        <v>0.5</v>
      </c>
      <c r="AE56" s="52">
        <v>1.01608</v>
      </c>
      <c r="AF56" s="52">
        <v>0.7948872</v>
      </c>
      <c r="AG56" s="52">
        <v>9.6269672</v>
      </c>
      <c r="AH56" s="52">
        <v>375.384750593392</v>
      </c>
      <c r="AI56" s="52" t="s">
        <v>176</v>
      </c>
      <c r="AJ56" s="63">
        <v>2.565</v>
      </c>
      <c r="AK56" s="63">
        <v>6.4515</v>
      </c>
      <c r="AL56" s="63">
        <v>6.325</v>
      </c>
      <c r="AM56" s="64">
        <v>0.02</v>
      </c>
      <c r="AN56" s="63">
        <v>0.1</v>
      </c>
      <c r="AO56" s="63">
        <v>0.7749025</v>
      </c>
      <c r="AP56" s="63">
        <v>0.890226225</v>
      </c>
      <c r="AQ56" s="63">
        <v>10.781628725</v>
      </c>
      <c r="AR56" s="63">
        <v>420.408517640392</v>
      </c>
      <c r="AS56" s="63"/>
      <c r="AT56" s="70">
        <v>1.2</v>
      </c>
      <c r="AU56" s="70">
        <v>6.732</v>
      </c>
      <c r="AV56" s="70">
        <v>6.12</v>
      </c>
      <c r="AW56" s="73">
        <v>0.1</v>
      </c>
      <c r="AX56" s="70">
        <v>0.1</v>
      </c>
      <c r="AY56" s="70">
        <v>0.48192</v>
      </c>
      <c r="AZ56" s="70">
        <v>0.7662528</v>
      </c>
      <c r="BA56" s="70">
        <v>9.2801728</v>
      </c>
      <c r="BB56" s="70">
        <v>361.862181476174</v>
      </c>
      <c r="BC56" s="70"/>
    </row>
    <row r="57" ht="86.4" spans="1:55">
      <c r="A57" s="19">
        <v>69</v>
      </c>
      <c r="B57" s="28" t="s">
        <v>180</v>
      </c>
      <c r="C57" s="28" t="s">
        <v>185</v>
      </c>
      <c r="D57" s="20" t="s">
        <v>182</v>
      </c>
      <c r="E57" s="21">
        <v>6</v>
      </c>
      <c r="F57" s="22">
        <v>7.36</v>
      </c>
      <c r="G57" s="22">
        <v>58.58</v>
      </c>
      <c r="H57" s="22">
        <v>58</v>
      </c>
      <c r="I57" s="33">
        <v>0.01</v>
      </c>
      <c r="J57" s="22">
        <v>13.95</v>
      </c>
      <c r="K57" s="22">
        <v>4.7934</v>
      </c>
      <c r="L57" s="22">
        <v>7.621506</v>
      </c>
      <c r="M57" s="22">
        <v>92.304906</v>
      </c>
      <c r="N57" s="22">
        <v>553.829436</v>
      </c>
      <c r="O57" s="40" t="s">
        <v>183</v>
      </c>
      <c r="P57" s="34">
        <v>17.2</v>
      </c>
      <c r="Q57" s="43">
        <v>136</v>
      </c>
      <c r="R57" s="43">
        <v>136</v>
      </c>
      <c r="S57" s="44"/>
      <c r="T57" s="43">
        <v>7.4476</v>
      </c>
      <c r="U57" s="43">
        <v>9.638856</v>
      </c>
      <c r="V57" s="43">
        <v>15.32578104</v>
      </c>
      <c r="W57" s="43">
        <v>185.61223704</v>
      </c>
      <c r="X57" s="43">
        <v>1113.67342224</v>
      </c>
      <c r="Y57" s="43" t="s">
        <v>183</v>
      </c>
      <c r="Z57" s="52">
        <v>13</v>
      </c>
      <c r="AA57" s="52">
        <v>65.65</v>
      </c>
      <c r="AB57" s="52">
        <v>65</v>
      </c>
      <c r="AC57" s="53">
        <v>0.01</v>
      </c>
      <c r="AD57" s="52">
        <v>1</v>
      </c>
      <c r="AE57" s="52">
        <v>10.3545</v>
      </c>
      <c r="AF57" s="52">
        <v>8.100405</v>
      </c>
      <c r="AG57" s="52">
        <v>98.104905</v>
      </c>
      <c r="AH57" s="52">
        <v>588.62943</v>
      </c>
      <c r="AI57" s="52"/>
      <c r="AJ57" s="63">
        <v>20.25</v>
      </c>
      <c r="AK57" s="63">
        <v>41.1150442477876</v>
      </c>
      <c r="AL57" s="63">
        <v>40.7079646017699</v>
      </c>
      <c r="AM57" s="64">
        <v>0.01</v>
      </c>
      <c r="AN57" s="63">
        <v>8</v>
      </c>
      <c r="AO57" s="63">
        <v>5.89602876106195</v>
      </c>
      <c r="AP57" s="63">
        <v>6.77349657079646</v>
      </c>
      <c r="AQ57" s="63">
        <v>82.034569579646</v>
      </c>
      <c r="AR57" s="63">
        <v>492.207417477876</v>
      </c>
      <c r="AS57" s="63"/>
      <c r="AT57" s="70">
        <v>12</v>
      </c>
      <c r="AU57" s="70">
        <v>178</v>
      </c>
      <c r="AV57" s="70">
        <v>178</v>
      </c>
      <c r="AW57" s="73">
        <v>0</v>
      </c>
      <c r="AX57" s="70">
        <v>1</v>
      </c>
      <c r="AY57" s="70">
        <v>11.46</v>
      </c>
      <c r="AZ57" s="70">
        <v>18.2214</v>
      </c>
      <c r="BA57" s="70">
        <v>220.6814</v>
      </c>
      <c r="BB57" s="70">
        <v>1324.0884</v>
      </c>
      <c r="BC57" s="70"/>
    </row>
    <row r="58" ht="72" spans="1:55">
      <c r="A58" s="19">
        <v>70</v>
      </c>
      <c r="B58" s="28" t="s">
        <v>186</v>
      </c>
      <c r="C58" s="28" t="s">
        <v>187</v>
      </c>
      <c r="D58" s="20" t="s">
        <v>145</v>
      </c>
      <c r="E58" s="21">
        <v>5.75217391304348</v>
      </c>
      <c r="F58" s="22">
        <v>7.36</v>
      </c>
      <c r="G58" s="22">
        <v>36.2893</v>
      </c>
      <c r="H58" s="22">
        <v>35.93</v>
      </c>
      <c r="I58" s="33">
        <v>0.01</v>
      </c>
      <c r="J58" s="22">
        <v>20.62</v>
      </c>
      <c r="K58" s="22">
        <v>3.856158</v>
      </c>
      <c r="L58" s="22">
        <v>6.13129122</v>
      </c>
      <c r="M58" s="22">
        <v>74.25674922</v>
      </c>
      <c r="N58" s="22">
        <v>427.137735730696</v>
      </c>
      <c r="O58" s="22"/>
      <c r="P58" s="34">
        <v>12.9</v>
      </c>
      <c r="Q58" s="43">
        <v>56.459</v>
      </c>
      <c r="R58" s="43">
        <v>55.9</v>
      </c>
      <c r="S58" s="44">
        <v>0.01</v>
      </c>
      <c r="T58" s="43">
        <v>3.2422</v>
      </c>
      <c r="U58" s="43">
        <v>4.356072</v>
      </c>
      <c r="V58" s="43">
        <v>6.92615448</v>
      </c>
      <c r="W58" s="43">
        <v>83.88342648</v>
      </c>
      <c r="X58" s="43">
        <v>482.512057534957</v>
      </c>
      <c r="Y58" s="43" t="s">
        <v>183</v>
      </c>
      <c r="Z58" s="52">
        <v>20</v>
      </c>
      <c r="AA58" s="52">
        <v>40.4</v>
      </c>
      <c r="AB58" s="52">
        <v>40</v>
      </c>
      <c r="AC58" s="53">
        <v>0.01</v>
      </c>
      <c r="AD58" s="52">
        <v>5</v>
      </c>
      <c r="AE58" s="52">
        <v>8.502</v>
      </c>
      <c r="AF58" s="52">
        <v>6.65118</v>
      </c>
      <c r="AG58" s="52">
        <v>80.55318</v>
      </c>
      <c r="AH58" s="52">
        <v>463.355900608696</v>
      </c>
      <c r="AI58" s="52"/>
      <c r="AJ58" s="63">
        <v>8.91</v>
      </c>
      <c r="AK58" s="63">
        <v>46.46</v>
      </c>
      <c r="AL58" s="63">
        <v>46</v>
      </c>
      <c r="AM58" s="64">
        <v>0.01</v>
      </c>
      <c r="AN58" s="63">
        <v>4.4</v>
      </c>
      <c r="AO58" s="63">
        <v>5.08045</v>
      </c>
      <c r="AP58" s="63">
        <v>5.8365405</v>
      </c>
      <c r="AQ58" s="63">
        <v>70.6869905</v>
      </c>
      <c r="AR58" s="63">
        <v>406.603862745652</v>
      </c>
      <c r="AS58" s="63"/>
      <c r="AT58" s="70">
        <v>10</v>
      </c>
      <c r="AU58" s="70">
        <v>150</v>
      </c>
      <c r="AV58" s="70">
        <v>150</v>
      </c>
      <c r="AW58" s="73">
        <v>0</v>
      </c>
      <c r="AX58" s="70">
        <v>3</v>
      </c>
      <c r="AY58" s="70">
        <v>9.78</v>
      </c>
      <c r="AZ58" s="70">
        <v>15.5502</v>
      </c>
      <c r="BA58" s="70">
        <v>188.3302</v>
      </c>
      <c r="BB58" s="70">
        <v>1083.30806347826</v>
      </c>
      <c r="BC58" s="70"/>
    </row>
    <row r="59" ht="72" spans="1:55">
      <c r="A59" s="19">
        <v>71</v>
      </c>
      <c r="B59" s="28" t="s">
        <v>180</v>
      </c>
      <c r="C59" s="28" t="s">
        <v>189</v>
      </c>
      <c r="D59" s="20" t="s">
        <v>182</v>
      </c>
      <c r="E59" s="21">
        <v>7</v>
      </c>
      <c r="F59" s="22">
        <v>15.37</v>
      </c>
      <c r="G59" s="22">
        <v>55.55</v>
      </c>
      <c r="H59" s="22">
        <v>55</v>
      </c>
      <c r="I59" s="33">
        <v>0.01</v>
      </c>
      <c r="J59" s="22">
        <v>13.95</v>
      </c>
      <c r="K59" s="22">
        <v>5.0922</v>
      </c>
      <c r="L59" s="22">
        <v>8.096598</v>
      </c>
      <c r="M59" s="22">
        <v>98.058798</v>
      </c>
      <c r="N59" s="22">
        <v>686.411586</v>
      </c>
      <c r="O59" s="40" t="s">
        <v>183</v>
      </c>
      <c r="P59" s="34">
        <v>16.34</v>
      </c>
      <c r="Q59" s="43">
        <v>43</v>
      </c>
      <c r="R59" s="43">
        <v>43</v>
      </c>
      <c r="S59" s="44"/>
      <c r="T59" s="43">
        <v>7.4476</v>
      </c>
      <c r="U59" s="43">
        <v>4.007256</v>
      </c>
      <c r="V59" s="43">
        <v>6.37153704</v>
      </c>
      <c r="W59" s="43">
        <v>77.16639304</v>
      </c>
      <c r="X59" s="43">
        <v>540.16475128</v>
      </c>
      <c r="Y59" s="43" t="s">
        <v>183</v>
      </c>
      <c r="Z59" s="52">
        <v>15</v>
      </c>
      <c r="AA59" s="52">
        <v>90.9</v>
      </c>
      <c r="AB59" s="52">
        <v>90</v>
      </c>
      <c r="AC59" s="53">
        <v>0.01</v>
      </c>
      <c r="AD59" s="52">
        <v>1</v>
      </c>
      <c r="AE59" s="52">
        <v>13.897</v>
      </c>
      <c r="AF59" s="52">
        <v>10.87173</v>
      </c>
      <c r="AG59" s="52">
        <v>131.66873</v>
      </c>
      <c r="AH59" s="52">
        <v>921.68111</v>
      </c>
      <c r="AI59" s="52" t="s">
        <v>184</v>
      </c>
      <c r="AJ59" s="63">
        <v>20.25</v>
      </c>
      <c r="AK59" s="63">
        <v>46.2544247787611</v>
      </c>
      <c r="AL59" s="63">
        <v>45.7964601769911</v>
      </c>
      <c r="AM59" s="64">
        <v>0.01</v>
      </c>
      <c r="AN59" s="63">
        <v>8</v>
      </c>
      <c r="AO59" s="63">
        <v>6.33287610619469</v>
      </c>
      <c r="AP59" s="63">
        <v>7.27535707964602</v>
      </c>
      <c r="AQ59" s="63">
        <v>88.1126579646018</v>
      </c>
      <c r="AR59" s="63">
        <v>616.788605752213</v>
      </c>
      <c r="AS59" s="63"/>
      <c r="AT59" s="70">
        <v>12</v>
      </c>
      <c r="AU59" s="70">
        <v>177</v>
      </c>
      <c r="AV59" s="70">
        <v>177</v>
      </c>
      <c r="AW59" s="73">
        <v>0</v>
      </c>
      <c r="AX59" s="70">
        <v>1</v>
      </c>
      <c r="AY59" s="70">
        <v>11.4</v>
      </c>
      <c r="AZ59" s="70">
        <v>18.126</v>
      </c>
      <c r="BA59" s="70">
        <v>219.526</v>
      </c>
      <c r="BB59" s="70">
        <v>1536.682</v>
      </c>
      <c r="BC59" s="70"/>
    </row>
    <row r="60" ht="72" spans="1:55">
      <c r="A60" s="19">
        <v>72</v>
      </c>
      <c r="B60" s="28" t="s">
        <v>180</v>
      </c>
      <c r="C60" s="28" t="s">
        <v>190</v>
      </c>
      <c r="D60" s="20" t="s">
        <v>182</v>
      </c>
      <c r="E60" s="21">
        <v>22</v>
      </c>
      <c r="F60" s="22">
        <v>9.55</v>
      </c>
      <c r="G60" s="22">
        <v>58.58</v>
      </c>
      <c r="H60" s="22">
        <v>58</v>
      </c>
      <c r="I60" s="33">
        <v>0.01</v>
      </c>
      <c r="J60" s="22">
        <v>13.95</v>
      </c>
      <c r="K60" s="22">
        <v>4.9248</v>
      </c>
      <c r="L60" s="22">
        <v>7.830432</v>
      </c>
      <c r="M60" s="22">
        <v>94.835232</v>
      </c>
      <c r="N60" s="22">
        <v>2086.375104</v>
      </c>
      <c r="O60" s="40" t="s">
        <v>183</v>
      </c>
      <c r="P60" s="34">
        <v>17.2</v>
      </c>
      <c r="Q60" s="43">
        <v>35</v>
      </c>
      <c r="R60" s="43">
        <v>35</v>
      </c>
      <c r="S60" s="44"/>
      <c r="T60" s="43">
        <v>7.4476</v>
      </c>
      <c r="U60" s="43">
        <v>3.578856</v>
      </c>
      <c r="V60" s="43">
        <v>5.69038104</v>
      </c>
      <c r="W60" s="43">
        <v>68.91683704</v>
      </c>
      <c r="X60" s="43">
        <v>1516.17041488</v>
      </c>
      <c r="Y60" s="43" t="s">
        <v>183</v>
      </c>
      <c r="Z60" s="52">
        <v>13</v>
      </c>
      <c r="AA60" s="52">
        <v>60.6</v>
      </c>
      <c r="AB60" s="52">
        <v>60</v>
      </c>
      <c r="AC60" s="53">
        <v>0.01</v>
      </c>
      <c r="AD60" s="52">
        <v>1</v>
      </c>
      <c r="AE60" s="52">
        <v>9.698</v>
      </c>
      <c r="AF60" s="52">
        <v>7.58682</v>
      </c>
      <c r="AG60" s="52">
        <v>91.88482</v>
      </c>
      <c r="AH60" s="52">
        <v>2021.46604</v>
      </c>
      <c r="AI60" s="52" t="s">
        <v>184</v>
      </c>
      <c r="AJ60" s="63">
        <v>20.25</v>
      </c>
      <c r="AK60" s="63">
        <v>30.8362831858407</v>
      </c>
      <c r="AL60" s="63">
        <v>30.5309734513274</v>
      </c>
      <c r="AM60" s="64">
        <v>0.01</v>
      </c>
      <c r="AN60" s="63">
        <v>8</v>
      </c>
      <c r="AO60" s="63">
        <v>5.02233407079646</v>
      </c>
      <c r="AP60" s="63">
        <v>5.76977555309734</v>
      </c>
      <c r="AQ60" s="63">
        <v>69.8783928097345</v>
      </c>
      <c r="AR60" s="63">
        <v>1537.32464181416</v>
      </c>
      <c r="AS60" s="63"/>
      <c r="AT60" s="70">
        <v>12</v>
      </c>
      <c r="AU60" s="70">
        <v>139</v>
      </c>
      <c r="AV60" s="70">
        <v>139</v>
      </c>
      <c r="AW60" s="73">
        <v>0</v>
      </c>
      <c r="AX60" s="70">
        <v>3</v>
      </c>
      <c r="AY60" s="70">
        <v>9.24</v>
      </c>
      <c r="AZ60" s="70">
        <v>14.6916</v>
      </c>
      <c r="BA60" s="70">
        <v>177.9316</v>
      </c>
      <c r="BB60" s="70">
        <v>3914.4952</v>
      </c>
      <c r="BC60" s="70"/>
    </row>
    <row r="61" ht="72" spans="1:55">
      <c r="A61" s="19">
        <v>73</v>
      </c>
      <c r="B61" s="28" t="s">
        <v>180</v>
      </c>
      <c r="C61" s="28" t="s">
        <v>193</v>
      </c>
      <c r="D61" s="20" t="s">
        <v>145</v>
      </c>
      <c r="E61" s="21">
        <v>89.9894565217391</v>
      </c>
      <c r="F61" s="22">
        <v>15.23</v>
      </c>
      <c r="G61" s="22">
        <v>12.75</v>
      </c>
      <c r="H61" s="22">
        <v>12.5</v>
      </c>
      <c r="I61" s="33">
        <v>0.02</v>
      </c>
      <c r="J61" s="22">
        <v>11.78</v>
      </c>
      <c r="K61" s="22">
        <v>2.3856</v>
      </c>
      <c r="L61" s="22">
        <v>3.793104</v>
      </c>
      <c r="M61" s="22">
        <v>45.938704</v>
      </c>
      <c r="N61" s="22">
        <v>4133.99900627304</v>
      </c>
      <c r="O61" s="22"/>
      <c r="P61" s="34">
        <v>10.32</v>
      </c>
      <c r="Q61" s="43">
        <v>11.18</v>
      </c>
      <c r="R61" s="43">
        <v>11.18</v>
      </c>
      <c r="S61" s="44"/>
      <c r="T61" s="43">
        <v>5.289</v>
      </c>
      <c r="U61" s="43">
        <v>1.60734</v>
      </c>
      <c r="V61" s="43">
        <v>2.5556706</v>
      </c>
      <c r="W61" s="43">
        <v>30.9520106</v>
      </c>
      <c r="X61" s="43">
        <v>2785.35461214911</v>
      </c>
      <c r="Y61" s="43" t="s">
        <v>183</v>
      </c>
      <c r="Z61" s="52">
        <v>12</v>
      </c>
      <c r="AA61" s="52">
        <v>35.35</v>
      </c>
      <c r="AB61" s="52">
        <v>35</v>
      </c>
      <c r="AC61" s="53">
        <v>0.01</v>
      </c>
      <c r="AD61" s="52">
        <v>5</v>
      </c>
      <c r="AE61" s="52">
        <v>6.8055</v>
      </c>
      <c r="AF61" s="52">
        <v>5.323995</v>
      </c>
      <c r="AG61" s="52">
        <v>64.479495</v>
      </c>
      <c r="AH61" s="52">
        <v>5802.47471184619</v>
      </c>
      <c r="AI61" s="52" t="s">
        <v>184</v>
      </c>
      <c r="AJ61" s="63">
        <v>13.5</v>
      </c>
      <c r="AK61" s="63">
        <v>17.71</v>
      </c>
      <c r="AL61" s="63">
        <v>16.1</v>
      </c>
      <c r="AM61" s="64">
        <v>0.1</v>
      </c>
      <c r="AN61" s="63">
        <v>4</v>
      </c>
      <c r="AO61" s="63">
        <v>2.99285</v>
      </c>
      <c r="AP61" s="63">
        <v>3.4382565</v>
      </c>
      <c r="AQ61" s="63">
        <v>41.6411065</v>
      </c>
      <c r="AR61" s="63">
        <v>3747.26054289886</v>
      </c>
      <c r="AS61" s="63"/>
      <c r="AT61" s="70">
        <v>6</v>
      </c>
      <c r="AU61" s="70">
        <v>22</v>
      </c>
      <c r="AV61" s="70">
        <v>20</v>
      </c>
      <c r="AW61" s="73">
        <v>0.1</v>
      </c>
      <c r="AX61" s="70">
        <v>1.2</v>
      </c>
      <c r="AY61" s="70">
        <v>1.752</v>
      </c>
      <c r="AZ61" s="70">
        <v>2.78568</v>
      </c>
      <c r="BA61" s="70">
        <v>33.73768</v>
      </c>
      <c r="BB61" s="70">
        <v>3036.03548750435</v>
      </c>
      <c r="BC61" s="70"/>
    </row>
    <row r="62" ht="72" spans="1:55">
      <c r="A62" s="19">
        <v>74</v>
      </c>
      <c r="B62" s="28" t="s">
        <v>180</v>
      </c>
      <c r="C62" s="28" t="s">
        <v>194</v>
      </c>
      <c r="D62" s="20" t="s">
        <v>145</v>
      </c>
      <c r="E62" s="21">
        <v>10.6858695652174</v>
      </c>
      <c r="F62" s="22">
        <v>24.03</v>
      </c>
      <c r="G62" s="22">
        <v>26.2238</v>
      </c>
      <c r="H62" s="22">
        <v>25.46</v>
      </c>
      <c r="I62" s="33">
        <v>0.03</v>
      </c>
      <c r="J62" s="22">
        <v>18.95</v>
      </c>
      <c r="K62" s="22">
        <v>4.152228</v>
      </c>
      <c r="L62" s="22">
        <v>6.60204252</v>
      </c>
      <c r="M62" s="22">
        <v>79.95807052</v>
      </c>
      <c r="N62" s="22">
        <v>854.421512263175</v>
      </c>
      <c r="O62" s="22"/>
      <c r="P62" s="34">
        <v>16.34</v>
      </c>
      <c r="Q62" s="43">
        <v>90</v>
      </c>
      <c r="R62" s="43">
        <v>90</v>
      </c>
      <c r="S62" s="44"/>
      <c r="T62" s="43">
        <v>5.289</v>
      </c>
      <c r="U62" s="43">
        <v>6.69774</v>
      </c>
      <c r="V62" s="43">
        <v>10.6494066</v>
      </c>
      <c r="W62" s="43">
        <v>128.9761466</v>
      </c>
      <c r="X62" s="43">
        <v>1378.22227959196</v>
      </c>
      <c r="Y62" s="43" t="s">
        <v>183</v>
      </c>
      <c r="Z62" s="52">
        <v>20</v>
      </c>
      <c r="AA62" s="52">
        <v>30.3</v>
      </c>
      <c r="AB62" s="52">
        <v>30</v>
      </c>
      <c r="AC62" s="53">
        <v>0.01</v>
      </c>
      <c r="AD62" s="52">
        <v>5</v>
      </c>
      <c r="AE62" s="52">
        <v>7.189</v>
      </c>
      <c r="AF62" s="52">
        <v>5.62401</v>
      </c>
      <c r="AG62" s="52">
        <v>68.11301</v>
      </c>
      <c r="AH62" s="52">
        <v>727.846740554348</v>
      </c>
      <c r="AI62" s="52" t="s">
        <v>184</v>
      </c>
      <c r="AJ62" s="63">
        <v>17.55</v>
      </c>
      <c r="AK62" s="63">
        <v>59.455</v>
      </c>
      <c r="AL62" s="63">
        <v>54.05</v>
      </c>
      <c r="AM62" s="64">
        <v>0.1</v>
      </c>
      <c r="AN62" s="63">
        <v>5.5</v>
      </c>
      <c r="AO62" s="63">
        <v>7.012925</v>
      </c>
      <c r="AP62" s="63">
        <v>8.05661325</v>
      </c>
      <c r="AQ62" s="63">
        <v>97.57453825</v>
      </c>
      <c r="AR62" s="63">
        <v>1042.66878862582</v>
      </c>
      <c r="AS62" s="63"/>
      <c r="AT62" s="70">
        <v>10</v>
      </c>
      <c r="AU62" s="70">
        <v>33</v>
      </c>
      <c r="AV62" s="70">
        <v>30</v>
      </c>
      <c r="AW62" s="73">
        <v>0.1</v>
      </c>
      <c r="AX62" s="70">
        <v>1.2</v>
      </c>
      <c r="AY62" s="70">
        <v>2.652</v>
      </c>
      <c r="AZ62" s="70">
        <v>4.21668</v>
      </c>
      <c r="BA62" s="70">
        <v>51.06868</v>
      </c>
      <c r="BB62" s="70">
        <v>545.713253347827</v>
      </c>
      <c r="BC62" s="70"/>
    </row>
    <row r="63" ht="72" spans="1:55">
      <c r="A63" s="19">
        <v>75</v>
      </c>
      <c r="B63" s="28" t="s">
        <v>180</v>
      </c>
      <c r="C63" s="28" t="s">
        <v>228</v>
      </c>
      <c r="D63" s="20" t="s">
        <v>145</v>
      </c>
      <c r="E63" s="21">
        <v>0.302608695652174</v>
      </c>
      <c r="F63" s="22">
        <v>15.23</v>
      </c>
      <c r="G63" s="22">
        <v>16.171</v>
      </c>
      <c r="H63" s="22">
        <v>15.7</v>
      </c>
      <c r="I63" s="33">
        <v>0.03</v>
      </c>
      <c r="J63" s="22">
        <v>11.78</v>
      </c>
      <c r="K63" s="22">
        <v>2.59086</v>
      </c>
      <c r="L63" s="22">
        <v>4.1194674</v>
      </c>
      <c r="M63" s="22">
        <v>49.8913274</v>
      </c>
      <c r="N63" s="22">
        <v>15.0975495088696</v>
      </c>
      <c r="O63" s="22"/>
      <c r="P63" s="34">
        <v>10.32</v>
      </c>
      <c r="Q63" s="43">
        <v>11.18</v>
      </c>
      <c r="R63" s="43">
        <v>11.18</v>
      </c>
      <c r="S63" s="44"/>
      <c r="T63" s="43">
        <v>5.289</v>
      </c>
      <c r="U63" s="43">
        <v>1.60734</v>
      </c>
      <c r="V63" s="43">
        <v>2.5556706</v>
      </c>
      <c r="W63" s="43">
        <v>30.9520106</v>
      </c>
      <c r="X63" s="43">
        <v>9.36634755547827</v>
      </c>
      <c r="Y63" s="43" t="s">
        <v>183</v>
      </c>
      <c r="Z63" s="52">
        <v>12</v>
      </c>
      <c r="AA63" s="52">
        <v>35.35</v>
      </c>
      <c r="AB63" s="52">
        <v>35</v>
      </c>
      <c r="AC63" s="53">
        <v>0.01</v>
      </c>
      <c r="AD63" s="52">
        <v>5</v>
      </c>
      <c r="AE63" s="52">
        <v>6.8055</v>
      </c>
      <c r="AF63" s="52">
        <v>5.323995</v>
      </c>
      <c r="AG63" s="52">
        <v>64.479495</v>
      </c>
      <c r="AH63" s="52">
        <v>19.5120558782609</v>
      </c>
      <c r="AI63" s="52" t="s">
        <v>184</v>
      </c>
      <c r="AJ63" s="63">
        <v>13.5</v>
      </c>
      <c r="AK63" s="63">
        <v>17.71</v>
      </c>
      <c r="AL63" s="63">
        <v>16.1</v>
      </c>
      <c r="AM63" s="64">
        <v>0.1</v>
      </c>
      <c r="AN63" s="63">
        <v>4</v>
      </c>
      <c r="AO63" s="63">
        <v>2.99285</v>
      </c>
      <c r="AP63" s="63">
        <v>3.4382565</v>
      </c>
      <c r="AQ63" s="63">
        <v>41.6411065</v>
      </c>
      <c r="AR63" s="63">
        <v>12.6009609234783</v>
      </c>
      <c r="AS63" s="63"/>
      <c r="AT63" s="70">
        <v>6</v>
      </c>
      <c r="AU63" s="70">
        <v>20</v>
      </c>
      <c r="AV63" s="70">
        <v>20</v>
      </c>
      <c r="AW63" s="73">
        <v>0</v>
      </c>
      <c r="AX63" s="70">
        <v>1.2</v>
      </c>
      <c r="AY63" s="70">
        <v>1.632</v>
      </c>
      <c r="AZ63" s="70">
        <v>2.59488</v>
      </c>
      <c r="BA63" s="70">
        <v>31.42688</v>
      </c>
      <c r="BB63" s="70">
        <v>9.5100471652174</v>
      </c>
      <c r="BC63" s="70"/>
    </row>
    <row r="64" ht="43.2" spans="1:55">
      <c r="A64" s="19">
        <v>76</v>
      </c>
      <c r="B64" s="28" t="s">
        <v>195</v>
      </c>
      <c r="C64" s="28" t="s">
        <v>201</v>
      </c>
      <c r="D64" s="20" t="s">
        <v>88</v>
      </c>
      <c r="E64" s="21">
        <v>1</v>
      </c>
      <c r="F64" s="22">
        <v>6.725</v>
      </c>
      <c r="G64" s="22">
        <v>32.64</v>
      </c>
      <c r="H64" s="22">
        <v>32</v>
      </c>
      <c r="I64" s="33">
        <v>0.02</v>
      </c>
      <c r="J64" s="22">
        <v>1</v>
      </c>
      <c r="K64" s="22">
        <v>2.4219</v>
      </c>
      <c r="L64" s="22">
        <v>3.850821</v>
      </c>
      <c r="M64" s="22">
        <v>46.637721</v>
      </c>
      <c r="N64" s="22">
        <v>46.637721</v>
      </c>
      <c r="O64" s="22"/>
      <c r="P64" s="34">
        <v>7</v>
      </c>
      <c r="Q64" s="43">
        <v>25</v>
      </c>
      <c r="R64" s="43">
        <v>25</v>
      </c>
      <c r="S64" s="44"/>
      <c r="T64" s="43">
        <v>3.82</v>
      </c>
      <c r="U64" s="43">
        <v>2.1492</v>
      </c>
      <c r="V64" s="43">
        <v>3.417228</v>
      </c>
      <c r="W64" s="43">
        <v>41.386428</v>
      </c>
      <c r="X64" s="43">
        <v>41.386428</v>
      </c>
      <c r="Y64" s="43" t="s">
        <v>197</v>
      </c>
      <c r="Z64" s="52">
        <v>6</v>
      </c>
      <c r="AA64" s="52">
        <v>30.3</v>
      </c>
      <c r="AB64" s="52">
        <v>30</v>
      </c>
      <c r="AC64" s="53">
        <v>0.01</v>
      </c>
      <c r="AD64" s="52">
        <v>0</v>
      </c>
      <c r="AE64" s="52">
        <v>4.719</v>
      </c>
      <c r="AF64" s="52">
        <v>3.69171</v>
      </c>
      <c r="AG64" s="52">
        <v>44.71071</v>
      </c>
      <c r="AH64" s="52">
        <v>44.71071</v>
      </c>
      <c r="AI64" s="52" t="s">
        <v>198</v>
      </c>
      <c r="AJ64" s="63">
        <v>8.1</v>
      </c>
      <c r="AK64" s="63">
        <v>51.612</v>
      </c>
      <c r="AL64" s="63">
        <v>50.6</v>
      </c>
      <c r="AM64" s="64">
        <v>0.02</v>
      </c>
      <c r="AN64" s="63">
        <v>1</v>
      </c>
      <c r="AO64" s="63">
        <v>5.16052</v>
      </c>
      <c r="AP64" s="63">
        <v>5.9285268</v>
      </c>
      <c r="AQ64" s="63">
        <v>71.8010468</v>
      </c>
      <c r="AR64" s="63">
        <v>71.8010468</v>
      </c>
      <c r="AS64" s="63"/>
      <c r="AT64" s="70">
        <v>10</v>
      </c>
      <c r="AU64" s="70">
        <v>57</v>
      </c>
      <c r="AV64" s="70">
        <v>57</v>
      </c>
      <c r="AW64" s="73">
        <v>0</v>
      </c>
      <c r="AX64" s="70">
        <v>0.5</v>
      </c>
      <c r="AY64" s="70">
        <v>4.05</v>
      </c>
      <c r="AZ64" s="70">
        <v>6.4395</v>
      </c>
      <c r="BA64" s="70">
        <v>77.9895</v>
      </c>
      <c r="BB64" s="70">
        <v>77.9895</v>
      </c>
      <c r="BC64" s="70"/>
    </row>
    <row r="65" ht="43.2" spans="1:55">
      <c r="A65" s="19">
        <v>77</v>
      </c>
      <c r="B65" s="28" t="s">
        <v>209</v>
      </c>
      <c r="C65" s="28" t="s">
        <v>210</v>
      </c>
      <c r="D65" s="20" t="s">
        <v>88</v>
      </c>
      <c r="E65" s="21">
        <v>52</v>
      </c>
      <c r="F65" s="22">
        <v>7.27</v>
      </c>
      <c r="G65" s="22">
        <v>1.938</v>
      </c>
      <c r="H65" s="22">
        <v>1.9</v>
      </c>
      <c r="I65" s="33">
        <v>0.02</v>
      </c>
      <c r="J65" s="22">
        <v>0.58</v>
      </c>
      <c r="K65" s="22">
        <v>0.58728</v>
      </c>
      <c r="L65" s="22">
        <v>0.9337752</v>
      </c>
      <c r="M65" s="22">
        <v>11.3090552</v>
      </c>
      <c r="N65" s="22">
        <v>588.0708704</v>
      </c>
      <c r="O65" s="22"/>
      <c r="P65" s="34">
        <v>3.44</v>
      </c>
      <c r="Q65" s="43">
        <v>1.892</v>
      </c>
      <c r="R65" s="43">
        <v>1.892</v>
      </c>
      <c r="S65" s="44"/>
      <c r="T65" s="43">
        <v>1.075</v>
      </c>
      <c r="U65" s="43">
        <v>0.38442</v>
      </c>
      <c r="V65" s="43">
        <v>0.6112278</v>
      </c>
      <c r="W65" s="43">
        <v>7.4026478</v>
      </c>
      <c r="X65" s="43">
        <v>384.9376856</v>
      </c>
      <c r="Y65" s="43"/>
      <c r="Z65" s="52">
        <v>5</v>
      </c>
      <c r="AA65" s="52">
        <v>2.02</v>
      </c>
      <c r="AB65" s="52">
        <v>2</v>
      </c>
      <c r="AC65" s="53">
        <v>0.01</v>
      </c>
      <c r="AD65" s="52">
        <v>0</v>
      </c>
      <c r="AE65" s="52">
        <v>0.9126</v>
      </c>
      <c r="AF65" s="52">
        <v>0.713934</v>
      </c>
      <c r="AG65" s="52">
        <v>8.646534</v>
      </c>
      <c r="AH65" s="52">
        <v>449.619768</v>
      </c>
      <c r="AI65" s="52"/>
      <c r="AJ65" s="63">
        <v>3.375</v>
      </c>
      <c r="AK65" s="63">
        <v>1.53</v>
      </c>
      <c r="AL65" s="63">
        <v>1.5</v>
      </c>
      <c r="AM65" s="64">
        <v>0.02</v>
      </c>
      <c r="AN65" s="63">
        <v>0.5</v>
      </c>
      <c r="AO65" s="63">
        <v>0.459425</v>
      </c>
      <c r="AP65" s="63">
        <v>0.52779825</v>
      </c>
      <c r="AQ65" s="63">
        <v>6.39222325</v>
      </c>
      <c r="AR65" s="63">
        <v>332.395609</v>
      </c>
      <c r="AS65" s="63"/>
      <c r="AT65" s="70">
        <v>5</v>
      </c>
      <c r="AU65" s="70">
        <v>1.5</v>
      </c>
      <c r="AV65" s="70">
        <v>1.5</v>
      </c>
      <c r="AW65" s="73">
        <v>0</v>
      </c>
      <c r="AX65" s="70">
        <v>0.05</v>
      </c>
      <c r="AY65" s="70">
        <v>0.393</v>
      </c>
      <c r="AZ65" s="70">
        <v>0.62487</v>
      </c>
      <c r="BA65" s="70">
        <v>7.56787</v>
      </c>
      <c r="BB65" s="70">
        <v>393.52924</v>
      </c>
      <c r="BC65" s="70"/>
    </row>
    <row r="66" ht="14.4" spans="1:55">
      <c r="A66" s="19">
        <v>78</v>
      </c>
      <c r="B66" s="28" t="s">
        <v>207</v>
      </c>
      <c r="C66" s="28" t="s">
        <v>208</v>
      </c>
      <c r="D66" s="20" t="s">
        <v>145</v>
      </c>
      <c r="E66" s="21">
        <v>3.98478260869565</v>
      </c>
      <c r="F66" s="22">
        <v>7.75</v>
      </c>
      <c r="G66" s="22">
        <v>0</v>
      </c>
      <c r="H66" s="22"/>
      <c r="I66" s="33"/>
      <c r="J66" s="22">
        <v>2.96</v>
      </c>
      <c r="K66" s="22">
        <v>0.6426</v>
      </c>
      <c r="L66" s="22">
        <v>1.021734</v>
      </c>
      <c r="M66" s="22">
        <v>12.374334</v>
      </c>
      <c r="N66" s="22">
        <v>49.3090309173913</v>
      </c>
      <c r="O66" s="22"/>
      <c r="P66" s="34">
        <v>12.384</v>
      </c>
      <c r="Q66" s="43">
        <v>0</v>
      </c>
      <c r="R66" s="43">
        <v>0</v>
      </c>
      <c r="S66" s="44"/>
      <c r="T66" s="43">
        <v>1.7114</v>
      </c>
      <c r="U66" s="43">
        <v>0.845724</v>
      </c>
      <c r="V66" s="43">
        <v>1.34470116</v>
      </c>
      <c r="W66" s="43">
        <v>16.28582516</v>
      </c>
      <c r="X66" s="43">
        <v>64.8954728658261</v>
      </c>
      <c r="Y66" s="43"/>
      <c r="Z66" s="52">
        <v>30</v>
      </c>
      <c r="AA66" s="52">
        <v>0</v>
      </c>
      <c r="AB66" s="52">
        <v>0</v>
      </c>
      <c r="AC66" s="53">
        <v>0</v>
      </c>
      <c r="AD66" s="52">
        <v>0</v>
      </c>
      <c r="AE66" s="52">
        <v>3.9</v>
      </c>
      <c r="AF66" s="52">
        <v>3.051</v>
      </c>
      <c r="AG66" s="52">
        <v>36.951</v>
      </c>
      <c r="AH66" s="52">
        <v>147.241702173913</v>
      </c>
      <c r="AI66" s="52"/>
      <c r="AJ66" s="63">
        <v>20.925</v>
      </c>
      <c r="AK66" s="63">
        <v>0</v>
      </c>
      <c r="AL66" s="63"/>
      <c r="AM66" s="64"/>
      <c r="AN66" s="63">
        <v>3</v>
      </c>
      <c r="AO66" s="63">
        <v>2.033625</v>
      </c>
      <c r="AP66" s="63">
        <v>2.33627625</v>
      </c>
      <c r="AQ66" s="63">
        <v>28.29490125</v>
      </c>
      <c r="AR66" s="63">
        <v>112.749030415761</v>
      </c>
      <c r="AS66" s="63"/>
      <c r="AT66" s="70">
        <v>8.5</v>
      </c>
      <c r="AU66" s="70">
        <v>0</v>
      </c>
      <c r="AV66" s="70">
        <v>0</v>
      </c>
      <c r="AW66" s="73">
        <v>0</v>
      </c>
      <c r="AX66" s="70">
        <v>2</v>
      </c>
      <c r="AY66" s="70">
        <v>0.63</v>
      </c>
      <c r="AZ66" s="70">
        <v>1.0017</v>
      </c>
      <c r="BA66" s="70">
        <v>12.1317</v>
      </c>
      <c r="BB66" s="70">
        <v>48.342187173913</v>
      </c>
      <c r="BC66" s="70"/>
    </row>
    <row r="67" ht="28.8" spans="1:55">
      <c r="A67" s="19"/>
      <c r="B67" s="24" t="s">
        <v>229</v>
      </c>
      <c r="C67" s="28"/>
      <c r="D67" s="20"/>
      <c r="E67" s="21">
        <v>0</v>
      </c>
      <c r="F67" s="22"/>
      <c r="G67" s="22"/>
      <c r="H67" s="22"/>
      <c r="I67" s="33"/>
      <c r="J67" s="22"/>
      <c r="K67" s="22"/>
      <c r="L67" s="22"/>
      <c r="M67" s="22"/>
      <c r="N67" s="27">
        <v>8561.00760973072</v>
      </c>
      <c r="O67" s="22"/>
      <c r="P67" s="34">
        <v>0</v>
      </c>
      <c r="Q67" s="43">
        <v>0</v>
      </c>
      <c r="R67" s="43">
        <v>0</v>
      </c>
      <c r="S67" s="44"/>
      <c r="T67" s="43">
        <v>0</v>
      </c>
      <c r="U67" s="43">
        <v>0</v>
      </c>
      <c r="V67" s="43">
        <v>0</v>
      </c>
      <c r="W67" s="43">
        <v>0</v>
      </c>
      <c r="X67" s="46">
        <v>4255.62133579096</v>
      </c>
      <c r="Y67" s="43"/>
      <c r="Z67" s="52"/>
      <c r="AA67" s="52"/>
      <c r="AB67" s="52"/>
      <c r="AC67" s="53"/>
      <c r="AD67" s="52"/>
      <c r="AE67" s="52"/>
      <c r="AF67" s="52"/>
      <c r="AG67" s="52"/>
      <c r="AH67" s="55">
        <v>4464.52696919777</v>
      </c>
      <c r="AI67" s="52"/>
      <c r="AJ67" s="63"/>
      <c r="AK67" s="63"/>
      <c r="AL67" s="63"/>
      <c r="AM67" s="64"/>
      <c r="AN67" s="63"/>
      <c r="AO67" s="63"/>
      <c r="AP67" s="63"/>
      <c r="AQ67" s="63"/>
      <c r="AR67" s="65">
        <v>5672.09969674762</v>
      </c>
      <c r="AS67" s="63"/>
      <c r="AT67" s="70"/>
      <c r="AU67" s="70"/>
      <c r="AV67" s="70"/>
      <c r="AW67" s="73"/>
      <c r="AX67" s="70"/>
      <c r="AY67" s="70"/>
      <c r="AZ67" s="70"/>
      <c r="BA67" s="70"/>
      <c r="BB67" s="71">
        <v>8901.9725771958</v>
      </c>
      <c r="BC67" s="70"/>
    </row>
    <row r="68" ht="43.2" spans="1:55">
      <c r="A68" s="19">
        <v>79</v>
      </c>
      <c r="B68" s="29" t="s">
        <v>214</v>
      </c>
      <c r="C68" s="28" t="s">
        <v>215</v>
      </c>
      <c r="D68" s="20" t="s">
        <v>88</v>
      </c>
      <c r="E68" s="21">
        <v>1</v>
      </c>
      <c r="F68" s="22">
        <v>582.57</v>
      </c>
      <c r="G68" s="22">
        <v>2000</v>
      </c>
      <c r="H68" s="22">
        <v>2000</v>
      </c>
      <c r="I68" s="33"/>
      <c r="J68" s="22">
        <v>32.67</v>
      </c>
      <c r="K68" s="22">
        <v>156.9144</v>
      </c>
      <c r="L68" s="22">
        <v>249.493896</v>
      </c>
      <c r="M68" s="22">
        <v>3021.648296</v>
      </c>
      <c r="N68" s="22">
        <v>3021.648296</v>
      </c>
      <c r="O68" s="22"/>
      <c r="P68" s="34">
        <v>15</v>
      </c>
      <c r="Q68" s="43">
        <v>58</v>
      </c>
      <c r="R68" s="43">
        <v>58</v>
      </c>
      <c r="S68" s="44"/>
      <c r="T68" s="43">
        <v>3.9</v>
      </c>
      <c r="U68" s="43">
        <v>4.614</v>
      </c>
      <c r="V68" s="43">
        <v>7.33626</v>
      </c>
      <c r="W68" s="43">
        <v>88.85026</v>
      </c>
      <c r="X68" s="43">
        <v>88.85026</v>
      </c>
      <c r="Y68" s="43" t="s">
        <v>183</v>
      </c>
      <c r="Z68" s="52">
        <v>10</v>
      </c>
      <c r="AA68" s="52">
        <v>60.6</v>
      </c>
      <c r="AB68" s="52">
        <v>60</v>
      </c>
      <c r="AC68" s="53">
        <v>0.01</v>
      </c>
      <c r="AD68" s="52">
        <v>1</v>
      </c>
      <c r="AE68" s="52">
        <v>9.308</v>
      </c>
      <c r="AF68" s="52">
        <v>7.28172</v>
      </c>
      <c r="AG68" s="52">
        <v>88.18972</v>
      </c>
      <c r="AH68" s="52">
        <v>88.18972</v>
      </c>
      <c r="AI68" s="52"/>
      <c r="AJ68" s="63">
        <v>172.8</v>
      </c>
      <c r="AK68" s="63">
        <v>1526.54867256637</v>
      </c>
      <c r="AL68" s="63">
        <v>1526.54867256637</v>
      </c>
      <c r="AM68" s="64"/>
      <c r="AN68" s="63">
        <v>35.5</v>
      </c>
      <c r="AO68" s="63">
        <v>147.462137168141</v>
      </c>
      <c r="AP68" s="63">
        <v>169.407972876106</v>
      </c>
      <c r="AQ68" s="63">
        <v>2051.71878261062</v>
      </c>
      <c r="AR68" s="63">
        <v>2051.71878261062</v>
      </c>
      <c r="AS68" s="63"/>
      <c r="AT68" s="70">
        <v>200</v>
      </c>
      <c r="AU68" s="70">
        <v>2831</v>
      </c>
      <c r="AV68" s="70">
        <v>2831</v>
      </c>
      <c r="AW68" s="73">
        <v>0</v>
      </c>
      <c r="AX68" s="70">
        <v>80</v>
      </c>
      <c r="AY68" s="70">
        <v>186.66</v>
      </c>
      <c r="AZ68" s="70">
        <v>296.7894</v>
      </c>
      <c r="BA68" s="70">
        <v>3594.4494</v>
      </c>
      <c r="BB68" s="70">
        <v>3594.4494</v>
      </c>
      <c r="BC68" s="70"/>
    </row>
    <row r="69" ht="43.2" spans="1:55">
      <c r="A69" s="19">
        <v>80</v>
      </c>
      <c r="B69" s="29" t="s">
        <v>180</v>
      </c>
      <c r="C69" s="28" t="s">
        <v>230</v>
      </c>
      <c r="D69" s="20" t="s">
        <v>88</v>
      </c>
      <c r="E69" s="21">
        <v>1</v>
      </c>
      <c r="F69" s="22">
        <v>18</v>
      </c>
      <c r="G69" s="22">
        <v>55.55</v>
      </c>
      <c r="H69" s="22">
        <v>55</v>
      </c>
      <c r="I69" s="33">
        <v>0.01</v>
      </c>
      <c r="J69" s="22">
        <v>14.43</v>
      </c>
      <c r="K69" s="22">
        <v>5.2788</v>
      </c>
      <c r="L69" s="22">
        <v>8.393292</v>
      </c>
      <c r="M69" s="22">
        <v>101.652092</v>
      </c>
      <c r="N69" s="22">
        <v>101.652092</v>
      </c>
      <c r="O69" s="22"/>
      <c r="P69" s="34">
        <v>15</v>
      </c>
      <c r="Q69" s="43">
        <v>35</v>
      </c>
      <c r="R69" s="43">
        <v>35</v>
      </c>
      <c r="S69" s="44"/>
      <c r="T69" s="43">
        <v>3.5</v>
      </c>
      <c r="U69" s="43">
        <v>3.21</v>
      </c>
      <c r="V69" s="43">
        <v>5.1039</v>
      </c>
      <c r="W69" s="43">
        <v>61.8139</v>
      </c>
      <c r="X69" s="43">
        <v>61.8139</v>
      </c>
      <c r="Y69" s="43" t="s">
        <v>183</v>
      </c>
      <c r="Z69" s="52">
        <v>15</v>
      </c>
      <c r="AA69" s="52">
        <v>48.48</v>
      </c>
      <c r="AB69" s="52">
        <v>48</v>
      </c>
      <c r="AC69" s="53">
        <v>0.01</v>
      </c>
      <c r="AD69" s="52">
        <v>1</v>
      </c>
      <c r="AE69" s="52">
        <v>8.3824</v>
      </c>
      <c r="AF69" s="52">
        <v>6.557616</v>
      </c>
      <c r="AG69" s="52">
        <v>79.420016</v>
      </c>
      <c r="AH69" s="52">
        <v>79.420016</v>
      </c>
      <c r="AI69" s="52"/>
      <c r="AJ69" s="63">
        <v>19.845</v>
      </c>
      <c r="AK69" s="63">
        <v>41.1150442477876</v>
      </c>
      <c r="AL69" s="63">
        <v>40.7079646017699</v>
      </c>
      <c r="AM69" s="64">
        <v>0.01</v>
      </c>
      <c r="AN69" s="63">
        <v>2.8</v>
      </c>
      <c r="AO69" s="63">
        <v>5.41960376106195</v>
      </c>
      <c r="AP69" s="63">
        <v>6.22616832079646</v>
      </c>
      <c r="AQ69" s="63">
        <v>75.405816329646</v>
      </c>
      <c r="AR69" s="63">
        <v>75.405816329646</v>
      </c>
      <c r="AS69" s="63"/>
      <c r="AT69" s="70">
        <v>15</v>
      </c>
      <c r="AU69" s="70">
        <v>95</v>
      </c>
      <c r="AV69" s="70">
        <v>95</v>
      </c>
      <c r="AW69" s="73">
        <v>0</v>
      </c>
      <c r="AX69" s="70">
        <v>1</v>
      </c>
      <c r="AY69" s="70">
        <v>6.66</v>
      </c>
      <c r="AZ69" s="70">
        <v>10.5894</v>
      </c>
      <c r="BA69" s="70">
        <v>128.2494</v>
      </c>
      <c r="BB69" s="70">
        <v>128.2494</v>
      </c>
      <c r="BC69" s="70"/>
    </row>
    <row r="70" ht="43.2" spans="1:55">
      <c r="A70" s="19">
        <v>81</v>
      </c>
      <c r="B70" s="29" t="s">
        <v>180</v>
      </c>
      <c r="C70" s="28" t="s">
        <v>231</v>
      </c>
      <c r="D70" s="20" t="s">
        <v>88</v>
      </c>
      <c r="E70" s="21">
        <v>1</v>
      </c>
      <c r="F70" s="22">
        <v>18</v>
      </c>
      <c r="G70" s="22">
        <v>55.55</v>
      </c>
      <c r="H70" s="22">
        <v>55</v>
      </c>
      <c r="I70" s="33">
        <v>0.01</v>
      </c>
      <c r="J70" s="22">
        <v>14.43</v>
      </c>
      <c r="K70" s="22">
        <v>5.2788</v>
      </c>
      <c r="L70" s="22">
        <v>8.393292</v>
      </c>
      <c r="M70" s="22">
        <v>101.652092</v>
      </c>
      <c r="N70" s="22">
        <v>101.652092</v>
      </c>
      <c r="O70" s="22"/>
      <c r="P70" s="34">
        <v>15</v>
      </c>
      <c r="Q70" s="43">
        <v>35</v>
      </c>
      <c r="R70" s="43">
        <v>35</v>
      </c>
      <c r="S70" s="44"/>
      <c r="T70" s="43">
        <v>3.5</v>
      </c>
      <c r="U70" s="43">
        <v>3.21</v>
      </c>
      <c r="V70" s="43">
        <v>5.1039</v>
      </c>
      <c r="W70" s="43">
        <v>61.8139</v>
      </c>
      <c r="X70" s="43">
        <v>61.8139</v>
      </c>
      <c r="Y70" s="43" t="s">
        <v>183</v>
      </c>
      <c r="Z70" s="52">
        <v>15</v>
      </c>
      <c r="AA70" s="52">
        <v>48.48</v>
      </c>
      <c r="AB70" s="52">
        <v>48</v>
      </c>
      <c r="AC70" s="53">
        <v>0.01</v>
      </c>
      <c r="AD70" s="52">
        <v>1</v>
      </c>
      <c r="AE70" s="52">
        <v>8.3824</v>
      </c>
      <c r="AF70" s="52">
        <v>6.557616</v>
      </c>
      <c r="AG70" s="52">
        <v>79.420016</v>
      </c>
      <c r="AH70" s="52">
        <v>79.420016</v>
      </c>
      <c r="AI70" s="52"/>
      <c r="AJ70" s="63">
        <v>19.845</v>
      </c>
      <c r="AK70" s="63">
        <v>41.1150442477876</v>
      </c>
      <c r="AL70" s="63">
        <v>40.7079646017699</v>
      </c>
      <c r="AM70" s="64">
        <v>0.01</v>
      </c>
      <c r="AN70" s="63">
        <v>2.8</v>
      </c>
      <c r="AO70" s="63">
        <v>5.41960376106195</v>
      </c>
      <c r="AP70" s="63">
        <v>6.22616832079646</v>
      </c>
      <c r="AQ70" s="63">
        <v>75.405816329646</v>
      </c>
      <c r="AR70" s="63">
        <v>75.405816329646</v>
      </c>
      <c r="AS70" s="63"/>
      <c r="AT70" s="70">
        <v>15</v>
      </c>
      <c r="AU70" s="70">
        <v>95</v>
      </c>
      <c r="AV70" s="70">
        <v>95</v>
      </c>
      <c r="AW70" s="73">
        <v>0</v>
      </c>
      <c r="AX70" s="70">
        <v>1</v>
      </c>
      <c r="AY70" s="70">
        <v>6.66</v>
      </c>
      <c r="AZ70" s="70">
        <v>10.5894</v>
      </c>
      <c r="BA70" s="70">
        <v>128.2494</v>
      </c>
      <c r="BB70" s="70">
        <v>128.2494</v>
      </c>
      <c r="BC70" s="70"/>
    </row>
    <row r="71" ht="43.2" spans="1:55">
      <c r="A71" s="19">
        <v>82</v>
      </c>
      <c r="B71" s="29" t="s">
        <v>180</v>
      </c>
      <c r="C71" s="28" t="s">
        <v>216</v>
      </c>
      <c r="D71" s="20" t="s">
        <v>88</v>
      </c>
      <c r="E71" s="21">
        <v>2</v>
      </c>
      <c r="F71" s="22">
        <v>18</v>
      </c>
      <c r="G71" s="22">
        <v>55.55</v>
      </c>
      <c r="H71" s="22">
        <v>55</v>
      </c>
      <c r="I71" s="33">
        <v>0.01</v>
      </c>
      <c r="J71" s="22">
        <v>14.43</v>
      </c>
      <c r="K71" s="22">
        <v>5.2788</v>
      </c>
      <c r="L71" s="22">
        <v>8.393292</v>
      </c>
      <c r="M71" s="22">
        <v>101.652092</v>
      </c>
      <c r="N71" s="22">
        <v>203.304184</v>
      </c>
      <c r="O71" s="22"/>
      <c r="P71" s="34">
        <v>15</v>
      </c>
      <c r="Q71" s="43">
        <v>35</v>
      </c>
      <c r="R71" s="43">
        <v>35</v>
      </c>
      <c r="S71" s="44"/>
      <c r="T71" s="43">
        <v>3.5</v>
      </c>
      <c r="U71" s="43">
        <v>3.21</v>
      </c>
      <c r="V71" s="43">
        <v>5.1039</v>
      </c>
      <c r="W71" s="43">
        <v>61.8139</v>
      </c>
      <c r="X71" s="43">
        <v>123.6278</v>
      </c>
      <c r="Y71" s="43" t="s">
        <v>183</v>
      </c>
      <c r="Z71" s="52">
        <v>15</v>
      </c>
      <c r="AA71" s="52">
        <v>48.48</v>
      </c>
      <c r="AB71" s="52">
        <v>48</v>
      </c>
      <c r="AC71" s="53">
        <v>0.01</v>
      </c>
      <c r="AD71" s="52">
        <v>1</v>
      </c>
      <c r="AE71" s="52">
        <v>8.3824</v>
      </c>
      <c r="AF71" s="52">
        <v>6.557616</v>
      </c>
      <c r="AG71" s="52">
        <v>79.420016</v>
      </c>
      <c r="AH71" s="52">
        <v>158.840032</v>
      </c>
      <c r="AI71" s="52"/>
      <c r="AJ71" s="63">
        <v>19.845</v>
      </c>
      <c r="AK71" s="63">
        <v>35.9756637168142</v>
      </c>
      <c r="AL71" s="63">
        <v>35.6194690265487</v>
      </c>
      <c r="AM71" s="64">
        <v>0.01</v>
      </c>
      <c r="AN71" s="63">
        <v>2.8</v>
      </c>
      <c r="AO71" s="63">
        <v>4.98275641592921</v>
      </c>
      <c r="AP71" s="63">
        <v>5.72430781194691</v>
      </c>
      <c r="AQ71" s="63">
        <v>69.3277279446903</v>
      </c>
      <c r="AR71" s="63">
        <v>138.655455889381</v>
      </c>
      <c r="AS71" s="63"/>
      <c r="AT71" s="70">
        <v>15</v>
      </c>
      <c r="AU71" s="70">
        <v>95</v>
      </c>
      <c r="AV71" s="70">
        <v>95</v>
      </c>
      <c r="AW71" s="73">
        <v>0</v>
      </c>
      <c r="AX71" s="70">
        <v>1</v>
      </c>
      <c r="AY71" s="70">
        <v>6.66</v>
      </c>
      <c r="AZ71" s="70">
        <v>10.5894</v>
      </c>
      <c r="BA71" s="70">
        <v>128.2494</v>
      </c>
      <c r="BB71" s="70">
        <v>256.4988</v>
      </c>
      <c r="BC71" s="70"/>
    </row>
    <row r="72" ht="43.2" spans="1:55">
      <c r="A72" s="19">
        <v>83</v>
      </c>
      <c r="B72" s="29" t="s">
        <v>180</v>
      </c>
      <c r="C72" s="28" t="s">
        <v>217</v>
      </c>
      <c r="D72" s="20" t="s">
        <v>88</v>
      </c>
      <c r="E72" s="21">
        <v>12</v>
      </c>
      <c r="F72" s="22">
        <v>18</v>
      </c>
      <c r="G72" s="22">
        <v>57.57</v>
      </c>
      <c r="H72" s="22">
        <v>57</v>
      </c>
      <c r="I72" s="33">
        <v>0.01</v>
      </c>
      <c r="J72" s="22">
        <v>14.43</v>
      </c>
      <c r="K72" s="22">
        <v>5.4</v>
      </c>
      <c r="L72" s="22">
        <v>8.586</v>
      </c>
      <c r="M72" s="22">
        <v>103.986</v>
      </c>
      <c r="N72" s="22">
        <v>1247.832</v>
      </c>
      <c r="O72" s="22"/>
      <c r="P72" s="34">
        <v>15</v>
      </c>
      <c r="Q72" s="43">
        <v>35</v>
      </c>
      <c r="R72" s="43">
        <v>35</v>
      </c>
      <c r="S72" s="44"/>
      <c r="T72" s="43">
        <v>3.5</v>
      </c>
      <c r="U72" s="43">
        <v>3.21</v>
      </c>
      <c r="V72" s="43">
        <v>5.1039</v>
      </c>
      <c r="W72" s="43">
        <v>61.8139</v>
      </c>
      <c r="X72" s="43">
        <v>741.7668</v>
      </c>
      <c r="Y72" s="43" t="s">
        <v>183</v>
      </c>
      <c r="Z72" s="52">
        <v>15</v>
      </c>
      <c r="AA72" s="52">
        <v>48.48</v>
      </c>
      <c r="AB72" s="52">
        <v>48</v>
      </c>
      <c r="AC72" s="53">
        <v>0.01</v>
      </c>
      <c r="AD72" s="52">
        <v>1</v>
      </c>
      <c r="AE72" s="52">
        <v>8.3824</v>
      </c>
      <c r="AF72" s="52">
        <v>6.557616</v>
      </c>
      <c r="AG72" s="52">
        <v>79.420016</v>
      </c>
      <c r="AH72" s="52">
        <v>953.040192</v>
      </c>
      <c r="AI72" s="52"/>
      <c r="AJ72" s="63">
        <v>19.845</v>
      </c>
      <c r="AK72" s="63">
        <v>35.9756637168142</v>
      </c>
      <c r="AL72" s="63">
        <v>35.6194690265487</v>
      </c>
      <c r="AM72" s="64">
        <v>0.01</v>
      </c>
      <c r="AN72" s="63">
        <v>2.8</v>
      </c>
      <c r="AO72" s="63">
        <v>4.98275641592921</v>
      </c>
      <c r="AP72" s="63">
        <v>5.72430781194691</v>
      </c>
      <c r="AQ72" s="63">
        <v>69.3277279446903</v>
      </c>
      <c r="AR72" s="63">
        <v>831.932735336284</v>
      </c>
      <c r="AS72" s="63"/>
      <c r="AT72" s="70">
        <v>15</v>
      </c>
      <c r="AU72" s="70">
        <v>95</v>
      </c>
      <c r="AV72" s="70">
        <v>95</v>
      </c>
      <c r="AW72" s="73">
        <v>0</v>
      </c>
      <c r="AX72" s="70">
        <v>1</v>
      </c>
      <c r="AY72" s="70">
        <v>6.66</v>
      </c>
      <c r="AZ72" s="70">
        <v>10.5894</v>
      </c>
      <c r="BA72" s="70">
        <v>128.2494</v>
      </c>
      <c r="BB72" s="70">
        <v>1538.9928</v>
      </c>
      <c r="BC72" s="70"/>
    </row>
    <row r="73" ht="43.2" spans="1:55">
      <c r="A73" s="19">
        <v>84</v>
      </c>
      <c r="B73" s="29" t="s">
        <v>180</v>
      </c>
      <c r="C73" s="28" t="s">
        <v>219</v>
      </c>
      <c r="D73" s="20" t="s">
        <v>88</v>
      </c>
      <c r="E73" s="21">
        <v>1</v>
      </c>
      <c r="F73" s="22">
        <v>18</v>
      </c>
      <c r="G73" s="22">
        <v>57.57</v>
      </c>
      <c r="H73" s="22">
        <v>57</v>
      </c>
      <c r="I73" s="33">
        <v>0.01</v>
      </c>
      <c r="J73" s="22">
        <v>14.43</v>
      </c>
      <c r="K73" s="22">
        <v>5.4</v>
      </c>
      <c r="L73" s="22">
        <v>8.586</v>
      </c>
      <c r="M73" s="22">
        <v>103.986</v>
      </c>
      <c r="N73" s="22">
        <v>103.986</v>
      </c>
      <c r="O73" s="22"/>
      <c r="P73" s="34">
        <v>15</v>
      </c>
      <c r="Q73" s="43">
        <v>35</v>
      </c>
      <c r="R73" s="43">
        <v>35</v>
      </c>
      <c r="S73" s="44"/>
      <c r="T73" s="43">
        <v>3.5</v>
      </c>
      <c r="U73" s="43">
        <v>3.21</v>
      </c>
      <c r="V73" s="43">
        <v>5.1039</v>
      </c>
      <c r="W73" s="43">
        <v>61.8139</v>
      </c>
      <c r="X73" s="43">
        <v>61.8139</v>
      </c>
      <c r="Y73" s="43" t="s">
        <v>183</v>
      </c>
      <c r="Z73" s="52">
        <v>15</v>
      </c>
      <c r="AA73" s="52">
        <v>48.48</v>
      </c>
      <c r="AB73" s="52">
        <v>48</v>
      </c>
      <c r="AC73" s="53">
        <v>0.01</v>
      </c>
      <c r="AD73" s="52">
        <v>1</v>
      </c>
      <c r="AE73" s="52">
        <v>8.3824</v>
      </c>
      <c r="AF73" s="52">
        <v>6.557616</v>
      </c>
      <c r="AG73" s="52">
        <v>79.420016</v>
      </c>
      <c r="AH73" s="52">
        <v>79.420016</v>
      </c>
      <c r="AI73" s="52"/>
      <c r="AJ73" s="63">
        <v>19.845</v>
      </c>
      <c r="AK73" s="63">
        <v>41.1150442477876</v>
      </c>
      <c r="AL73" s="63">
        <v>40.7079646017699</v>
      </c>
      <c r="AM73" s="64">
        <v>0.01</v>
      </c>
      <c r="AN73" s="63">
        <v>2.8</v>
      </c>
      <c r="AO73" s="63">
        <v>5.41960376106195</v>
      </c>
      <c r="AP73" s="63">
        <v>6.22616832079646</v>
      </c>
      <c r="AQ73" s="63">
        <v>75.405816329646</v>
      </c>
      <c r="AR73" s="63">
        <v>75.405816329646</v>
      </c>
      <c r="AS73" s="63"/>
      <c r="AT73" s="70">
        <v>15</v>
      </c>
      <c r="AU73" s="70">
        <v>95</v>
      </c>
      <c r="AV73" s="70">
        <v>95</v>
      </c>
      <c r="AW73" s="73">
        <v>0</v>
      </c>
      <c r="AX73" s="70">
        <v>1</v>
      </c>
      <c r="AY73" s="70">
        <v>6.66</v>
      </c>
      <c r="AZ73" s="70">
        <v>10.5894</v>
      </c>
      <c r="BA73" s="70">
        <v>128.2494</v>
      </c>
      <c r="BB73" s="70">
        <v>128.2494</v>
      </c>
      <c r="BC73" s="70"/>
    </row>
    <row r="74" ht="43.2" spans="1:55">
      <c r="A74" s="19">
        <v>85</v>
      </c>
      <c r="B74" s="29" t="s">
        <v>180</v>
      </c>
      <c r="C74" s="28" t="s">
        <v>220</v>
      </c>
      <c r="D74" s="20" t="s">
        <v>88</v>
      </c>
      <c r="E74" s="21">
        <v>12</v>
      </c>
      <c r="F74" s="22">
        <v>18</v>
      </c>
      <c r="G74" s="22">
        <v>57.57</v>
      </c>
      <c r="H74" s="22">
        <v>57</v>
      </c>
      <c r="I74" s="33">
        <v>0.01</v>
      </c>
      <c r="J74" s="22">
        <v>14.43</v>
      </c>
      <c r="K74" s="22">
        <v>5.4</v>
      </c>
      <c r="L74" s="22">
        <v>8.586</v>
      </c>
      <c r="M74" s="22">
        <v>103.986</v>
      </c>
      <c r="N74" s="22">
        <v>1247.832</v>
      </c>
      <c r="O74" s="22"/>
      <c r="P74" s="34">
        <v>15</v>
      </c>
      <c r="Q74" s="43">
        <v>35</v>
      </c>
      <c r="R74" s="43">
        <v>35</v>
      </c>
      <c r="S74" s="44"/>
      <c r="T74" s="43">
        <v>3.5</v>
      </c>
      <c r="U74" s="43">
        <v>3.21</v>
      </c>
      <c r="V74" s="43">
        <v>5.1039</v>
      </c>
      <c r="W74" s="43">
        <v>61.8139</v>
      </c>
      <c r="X74" s="43">
        <v>741.7668</v>
      </c>
      <c r="Y74" s="43" t="s">
        <v>183</v>
      </c>
      <c r="Z74" s="52">
        <v>15</v>
      </c>
      <c r="AA74" s="52">
        <v>90.9</v>
      </c>
      <c r="AB74" s="52">
        <v>90</v>
      </c>
      <c r="AC74" s="53">
        <v>0.01</v>
      </c>
      <c r="AD74" s="52">
        <v>1</v>
      </c>
      <c r="AE74" s="52">
        <v>13.897</v>
      </c>
      <c r="AF74" s="52">
        <v>10.87173</v>
      </c>
      <c r="AG74" s="52">
        <v>131.66873</v>
      </c>
      <c r="AH74" s="52">
        <v>1580.02476</v>
      </c>
      <c r="AI74" s="52"/>
      <c r="AJ74" s="63">
        <v>19.845</v>
      </c>
      <c r="AK74" s="63">
        <v>37.0035398230089</v>
      </c>
      <c r="AL74" s="63">
        <v>36.6371681415929</v>
      </c>
      <c r="AM74" s="64">
        <v>0.01</v>
      </c>
      <c r="AN74" s="63">
        <v>2.8</v>
      </c>
      <c r="AO74" s="63">
        <v>5.07012588495576</v>
      </c>
      <c r="AP74" s="63">
        <v>5.82467991371682</v>
      </c>
      <c r="AQ74" s="63">
        <v>70.5433456216815</v>
      </c>
      <c r="AR74" s="63">
        <v>846.520147460178</v>
      </c>
      <c r="AS74" s="63"/>
      <c r="AT74" s="70">
        <v>15</v>
      </c>
      <c r="AU74" s="70">
        <v>110</v>
      </c>
      <c r="AV74" s="70">
        <v>110</v>
      </c>
      <c r="AW74" s="73">
        <v>0</v>
      </c>
      <c r="AX74" s="70">
        <v>1</v>
      </c>
      <c r="AY74" s="70">
        <v>7.56</v>
      </c>
      <c r="AZ74" s="70">
        <v>12.0204</v>
      </c>
      <c r="BA74" s="70">
        <v>145.5804</v>
      </c>
      <c r="BB74" s="70">
        <v>1746.9648</v>
      </c>
      <c r="BC74" s="70"/>
    </row>
    <row r="75" ht="43.2" spans="1:55">
      <c r="A75" s="19">
        <v>86</v>
      </c>
      <c r="B75" s="29" t="s">
        <v>180</v>
      </c>
      <c r="C75" s="28" t="s">
        <v>232</v>
      </c>
      <c r="D75" s="20" t="s">
        <v>88</v>
      </c>
      <c r="E75" s="21">
        <v>1</v>
      </c>
      <c r="F75" s="22">
        <v>18</v>
      </c>
      <c r="G75" s="22">
        <v>57.57</v>
      </c>
      <c r="H75" s="22">
        <v>57</v>
      </c>
      <c r="I75" s="33">
        <v>0.01</v>
      </c>
      <c r="J75" s="22">
        <v>14.43</v>
      </c>
      <c r="K75" s="22">
        <v>5.4</v>
      </c>
      <c r="L75" s="22">
        <v>8.586</v>
      </c>
      <c r="M75" s="22">
        <v>103.986</v>
      </c>
      <c r="N75" s="22">
        <v>103.986</v>
      </c>
      <c r="O75" s="22"/>
      <c r="P75" s="34">
        <v>15</v>
      </c>
      <c r="Q75" s="43">
        <v>39</v>
      </c>
      <c r="R75" s="43">
        <v>39</v>
      </c>
      <c r="S75" s="44"/>
      <c r="T75" s="43">
        <v>3.5</v>
      </c>
      <c r="U75" s="43">
        <v>3.45</v>
      </c>
      <c r="V75" s="43">
        <v>5.4855</v>
      </c>
      <c r="W75" s="43">
        <v>66.4355</v>
      </c>
      <c r="X75" s="43">
        <v>66.4355</v>
      </c>
      <c r="Y75" s="43" t="s">
        <v>183</v>
      </c>
      <c r="Z75" s="52">
        <v>15</v>
      </c>
      <c r="AA75" s="52">
        <v>48.48</v>
      </c>
      <c r="AB75" s="52">
        <v>48</v>
      </c>
      <c r="AC75" s="53">
        <v>0.01</v>
      </c>
      <c r="AD75" s="52">
        <v>1</v>
      </c>
      <c r="AE75" s="52">
        <v>8.3824</v>
      </c>
      <c r="AF75" s="52">
        <v>6.557616</v>
      </c>
      <c r="AG75" s="52">
        <v>79.420016</v>
      </c>
      <c r="AH75" s="52">
        <v>79.420016</v>
      </c>
      <c r="AI75" s="52"/>
      <c r="AJ75" s="63">
        <v>19.845</v>
      </c>
      <c r="AK75" s="63">
        <v>41.1150442477876</v>
      </c>
      <c r="AL75" s="63">
        <v>40.7079646017699</v>
      </c>
      <c r="AM75" s="64">
        <v>0.01</v>
      </c>
      <c r="AN75" s="63">
        <v>2.8</v>
      </c>
      <c r="AO75" s="63">
        <v>5.41960376106195</v>
      </c>
      <c r="AP75" s="63">
        <v>6.22616832079646</v>
      </c>
      <c r="AQ75" s="63">
        <v>75.405816329646</v>
      </c>
      <c r="AR75" s="63">
        <v>75.405816329646</v>
      </c>
      <c r="AS75" s="63"/>
      <c r="AT75" s="70">
        <v>15</v>
      </c>
      <c r="AU75" s="70">
        <v>95</v>
      </c>
      <c r="AV75" s="70">
        <v>95</v>
      </c>
      <c r="AW75" s="73">
        <v>0</v>
      </c>
      <c r="AX75" s="70">
        <v>1</v>
      </c>
      <c r="AY75" s="70">
        <v>6.66</v>
      </c>
      <c r="AZ75" s="70">
        <v>10.5894</v>
      </c>
      <c r="BA75" s="70">
        <v>128.2494</v>
      </c>
      <c r="BB75" s="70">
        <v>128.2494</v>
      </c>
      <c r="BC75" s="70"/>
    </row>
    <row r="76" ht="72" spans="1:55">
      <c r="A76" s="19">
        <v>87</v>
      </c>
      <c r="B76" s="28" t="s">
        <v>172</v>
      </c>
      <c r="C76" s="28" t="s">
        <v>179</v>
      </c>
      <c r="D76" s="20" t="s">
        <v>145</v>
      </c>
      <c r="E76" s="21">
        <v>120.087717391304</v>
      </c>
      <c r="F76" s="22">
        <v>2.02</v>
      </c>
      <c r="G76" s="22">
        <v>11.3724</v>
      </c>
      <c r="H76" s="22">
        <v>10.53</v>
      </c>
      <c r="I76" s="33">
        <v>0.08</v>
      </c>
      <c r="J76" s="22">
        <v>0.68</v>
      </c>
      <c r="K76" s="22">
        <v>0.844344</v>
      </c>
      <c r="L76" s="22">
        <v>1.34250696</v>
      </c>
      <c r="M76" s="22">
        <v>16.25925096</v>
      </c>
      <c r="N76" s="22">
        <v>1952.53633427877</v>
      </c>
      <c r="O76" s="39" t="s">
        <v>174</v>
      </c>
      <c r="P76" s="34">
        <v>2.064</v>
      </c>
      <c r="Q76" s="43">
        <v>10.89792</v>
      </c>
      <c r="R76" s="43">
        <v>9.9072</v>
      </c>
      <c r="S76" s="44">
        <v>0.1</v>
      </c>
      <c r="T76" s="43">
        <v>1.1352</v>
      </c>
      <c r="U76" s="43">
        <v>0.8458272</v>
      </c>
      <c r="V76" s="43">
        <v>1.344865248</v>
      </c>
      <c r="W76" s="43">
        <v>16.287812448</v>
      </c>
      <c r="X76" s="43">
        <v>1955.96621817799</v>
      </c>
      <c r="Y76" s="43" t="s">
        <v>175</v>
      </c>
      <c r="Z76" s="52">
        <v>1.1</v>
      </c>
      <c r="AA76" s="52">
        <v>6.216</v>
      </c>
      <c r="AB76" s="52">
        <v>5.6</v>
      </c>
      <c r="AC76" s="53">
        <v>0.11</v>
      </c>
      <c r="AD76" s="52">
        <v>0.5</v>
      </c>
      <c r="AE76" s="52">
        <v>1.01608</v>
      </c>
      <c r="AF76" s="52">
        <v>0.7948872</v>
      </c>
      <c r="AG76" s="52">
        <v>9.6269672</v>
      </c>
      <c r="AH76" s="52">
        <v>1156.08051644895</v>
      </c>
      <c r="AI76" s="52" t="s">
        <v>176</v>
      </c>
      <c r="AJ76" s="63">
        <v>2.565</v>
      </c>
      <c r="AK76" s="63">
        <v>6.4515</v>
      </c>
      <c r="AL76" s="63">
        <v>6.325</v>
      </c>
      <c r="AM76" s="64">
        <v>0.02</v>
      </c>
      <c r="AN76" s="63">
        <v>0.1</v>
      </c>
      <c r="AO76" s="63">
        <v>0.7749025</v>
      </c>
      <c r="AP76" s="63">
        <v>0.890226225</v>
      </c>
      <c r="AQ76" s="63">
        <v>10.781628725</v>
      </c>
      <c r="AR76" s="63">
        <v>1294.74118334577</v>
      </c>
      <c r="AS76" s="63"/>
      <c r="AT76" s="70">
        <v>1.2</v>
      </c>
      <c r="AU76" s="70">
        <v>6.732</v>
      </c>
      <c r="AV76" s="70">
        <v>6.12</v>
      </c>
      <c r="AW76" s="73">
        <v>0.1</v>
      </c>
      <c r="AX76" s="70">
        <v>0.1</v>
      </c>
      <c r="AY76" s="70">
        <v>0.48192</v>
      </c>
      <c r="AZ76" s="70">
        <v>0.7662528</v>
      </c>
      <c r="BA76" s="70">
        <v>9.2801728</v>
      </c>
      <c r="BB76" s="70">
        <v>1114.43476854887</v>
      </c>
      <c r="BC76" s="70"/>
    </row>
    <row r="77" ht="72" spans="1:55">
      <c r="A77" s="19">
        <v>88</v>
      </c>
      <c r="B77" s="28" t="s">
        <v>172</v>
      </c>
      <c r="C77" s="28" t="s">
        <v>223</v>
      </c>
      <c r="D77" s="20" t="s">
        <v>145</v>
      </c>
      <c r="E77" s="21">
        <v>0.549021739130435</v>
      </c>
      <c r="F77" s="22">
        <v>1.9</v>
      </c>
      <c r="G77" s="22">
        <v>4.374</v>
      </c>
      <c r="H77" s="22">
        <v>4.05</v>
      </c>
      <c r="I77" s="33">
        <v>0.08</v>
      </c>
      <c r="J77" s="22">
        <v>0.68</v>
      </c>
      <c r="K77" s="22">
        <v>0.41724</v>
      </c>
      <c r="L77" s="22">
        <v>0.6634116</v>
      </c>
      <c r="M77" s="22">
        <v>8.0346516</v>
      </c>
      <c r="N77" s="22">
        <v>4.41119839473913</v>
      </c>
      <c r="O77" s="39" t="s">
        <v>174</v>
      </c>
      <c r="P77" s="34">
        <v>2.064</v>
      </c>
      <c r="Q77" s="43">
        <v>7.11392</v>
      </c>
      <c r="R77" s="43">
        <v>6.4672</v>
      </c>
      <c r="S77" s="44">
        <v>0.1</v>
      </c>
      <c r="T77" s="43">
        <v>1.1352</v>
      </c>
      <c r="U77" s="43">
        <v>0.6187872</v>
      </c>
      <c r="V77" s="43">
        <v>0.983871648</v>
      </c>
      <c r="W77" s="43">
        <v>11.915778848</v>
      </c>
      <c r="X77" s="43">
        <v>6.54202162622261</v>
      </c>
      <c r="Y77" s="43" t="s">
        <v>175</v>
      </c>
      <c r="Z77" s="52">
        <v>1.1</v>
      </c>
      <c r="AA77" s="52">
        <v>2.442</v>
      </c>
      <c r="AB77" s="52">
        <v>2.2</v>
      </c>
      <c r="AC77" s="53">
        <v>0.11</v>
      </c>
      <c r="AD77" s="52">
        <v>0.5</v>
      </c>
      <c r="AE77" s="52">
        <v>0.52546</v>
      </c>
      <c r="AF77" s="52">
        <v>0.4110714</v>
      </c>
      <c r="AG77" s="52">
        <v>4.9785314</v>
      </c>
      <c r="AH77" s="52">
        <v>2.73332196754348</v>
      </c>
      <c r="AI77" s="52" t="s">
        <v>176</v>
      </c>
      <c r="AJ77" s="63">
        <v>2.565</v>
      </c>
      <c r="AK77" s="63">
        <v>3.0498</v>
      </c>
      <c r="AL77" s="63">
        <v>2.99</v>
      </c>
      <c r="AM77" s="64">
        <v>0.02</v>
      </c>
      <c r="AN77" s="63">
        <v>0.1</v>
      </c>
      <c r="AO77" s="63">
        <v>0.485758</v>
      </c>
      <c r="AP77" s="63">
        <v>0.55805022</v>
      </c>
      <c r="AQ77" s="63">
        <v>6.75860822</v>
      </c>
      <c r="AR77" s="63">
        <v>3.71062283904565</v>
      </c>
      <c r="AS77" s="63"/>
      <c r="AT77" s="70">
        <v>1.2</v>
      </c>
      <c r="AU77" s="70">
        <v>4.961</v>
      </c>
      <c r="AV77" s="70">
        <v>4.51</v>
      </c>
      <c r="AW77" s="73">
        <v>0.1</v>
      </c>
      <c r="AX77" s="70">
        <v>0.1</v>
      </c>
      <c r="AY77" s="70">
        <v>0.37566</v>
      </c>
      <c r="AZ77" s="70">
        <v>0.5972994</v>
      </c>
      <c r="BA77" s="70">
        <v>7.2339594</v>
      </c>
      <c r="BB77" s="70">
        <v>3.97160097058696</v>
      </c>
      <c r="BC77" s="70"/>
    </row>
    <row r="78" ht="72" spans="1:55">
      <c r="A78" s="19">
        <v>89</v>
      </c>
      <c r="B78" s="28" t="s">
        <v>172</v>
      </c>
      <c r="C78" s="28" t="s">
        <v>233</v>
      </c>
      <c r="D78" s="20" t="s">
        <v>145</v>
      </c>
      <c r="E78" s="21">
        <v>1.5275</v>
      </c>
      <c r="F78" s="22">
        <v>2.03</v>
      </c>
      <c r="G78" s="22">
        <v>6.7176</v>
      </c>
      <c r="H78" s="22">
        <v>6.22</v>
      </c>
      <c r="I78" s="33">
        <v>0.08</v>
      </c>
      <c r="J78" s="22">
        <v>0.68</v>
      </c>
      <c r="K78" s="22">
        <v>0.565656</v>
      </c>
      <c r="L78" s="22">
        <v>0.89939304</v>
      </c>
      <c r="M78" s="22">
        <v>10.89264904</v>
      </c>
      <c r="N78" s="22">
        <v>16.6385214086</v>
      </c>
      <c r="O78" s="39" t="s">
        <v>174</v>
      </c>
      <c r="P78" s="34">
        <v>2.064</v>
      </c>
      <c r="Q78" s="43">
        <v>9.90462</v>
      </c>
      <c r="R78" s="43">
        <v>9.0042</v>
      </c>
      <c r="S78" s="44">
        <v>0.1</v>
      </c>
      <c r="T78" s="43">
        <v>1.1352</v>
      </c>
      <c r="U78" s="43">
        <v>0.7862292</v>
      </c>
      <c r="V78" s="43">
        <v>1.250104428</v>
      </c>
      <c r="W78" s="43">
        <v>15.140153628</v>
      </c>
      <c r="X78" s="43">
        <v>23.12658466677</v>
      </c>
      <c r="Y78" s="43" t="s">
        <v>175</v>
      </c>
      <c r="Z78" s="52">
        <v>1.1</v>
      </c>
      <c r="AA78" s="52">
        <v>3.441</v>
      </c>
      <c r="AB78" s="52">
        <v>3.1</v>
      </c>
      <c r="AC78" s="53">
        <v>0.11</v>
      </c>
      <c r="AD78" s="52">
        <v>0.5</v>
      </c>
      <c r="AE78" s="52">
        <v>0.65533</v>
      </c>
      <c r="AF78" s="52">
        <v>0.5126697</v>
      </c>
      <c r="AG78" s="52">
        <v>6.2089997</v>
      </c>
      <c r="AH78" s="52">
        <v>9.48424704175</v>
      </c>
      <c r="AI78" s="52" t="s">
        <v>176</v>
      </c>
      <c r="AJ78" s="63">
        <v>2.565</v>
      </c>
      <c r="AK78" s="63">
        <v>3.7536</v>
      </c>
      <c r="AL78" s="63">
        <v>3.68</v>
      </c>
      <c r="AM78" s="64">
        <v>0.02</v>
      </c>
      <c r="AN78" s="63">
        <v>0.1</v>
      </c>
      <c r="AO78" s="63">
        <v>0.545581</v>
      </c>
      <c r="AP78" s="63">
        <v>0.62677629</v>
      </c>
      <c r="AQ78" s="63">
        <v>7.59095729</v>
      </c>
      <c r="AR78" s="63">
        <v>11.595187260475</v>
      </c>
      <c r="AS78" s="63"/>
      <c r="AT78" s="70">
        <v>1.2</v>
      </c>
      <c r="AU78" s="70">
        <v>6.732</v>
      </c>
      <c r="AV78" s="70">
        <v>6.12</v>
      </c>
      <c r="AW78" s="73">
        <v>0.1</v>
      </c>
      <c r="AX78" s="70">
        <v>0.1</v>
      </c>
      <c r="AY78" s="70">
        <v>0.48192</v>
      </c>
      <c r="AZ78" s="70">
        <v>0.7662528</v>
      </c>
      <c r="BA78" s="70">
        <v>9.2801728</v>
      </c>
      <c r="BB78" s="70">
        <v>14.175463952</v>
      </c>
      <c r="BC78" s="70"/>
    </row>
    <row r="79" ht="43.2" spans="1:55">
      <c r="A79" s="19">
        <v>90</v>
      </c>
      <c r="B79" s="28" t="s">
        <v>167</v>
      </c>
      <c r="C79" s="28" t="s">
        <v>224</v>
      </c>
      <c r="D79" s="20" t="s">
        <v>145</v>
      </c>
      <c r="E79" s="21">
        <v>8.85652173913043</v>
      </c>
      <c r="F79" s="22">
        <v>14.05</v>
      </c>
      <c r="G79" s="22">
        <v>22.4643</v>
      </c>
      <c r="H79" s="22">
        <v>21.81</v>
      </c>
      <c r="I79" s="33">
        <v>0.03</v>
      </c>
      <c r="J79" s="22">
        <v>4.46</v>
      </c>
      <c r="K79" s="22">
        <v>2.458458</v>
      </c>
      <c r="L79" s="22">
        <v>3.90894822</v>
      </c>
      <c r="M79" s="22">
        <v>47.34170622</v>
      </c>
      <c r="N79" s="22">
        <v>419.282850304956</v>
      </c>
      <c r="O79" s="22"/>
      <c r="P79" s="34">
        <v>12.9</v>
      </c>
      <c r="Q79" s="43">
        <v>9.026302</v>
      </c>
      <c r="R79" s="43">
        <v>8.7634</v>
      </c>
      <c r="S79" s="44">
        <v>0.03</v>
      </c>
      <c r="T79" s="43">
        <v>6.8198</v>
      </c>
      <c r="U79" s="43">
        <v>1.72476612</v>
      </c>
      <c r="V79" s="43">
        <v>2.7423781308</v>
      </c>
      <c r="W79" s="43">
        <v>33.2132462508</v>
      </c>
      <c r="X79" s="43">
        <v>294.153837447302</v>
      </c>
      <c r="Y79" s="43"/>
      <c r="Z79" s="52">
        <v>12</v>
      </c>
      <c r="AA79" s="52">
        <v>3.09</v>
      </c>
      <c r="AB79" s="52">
        <v>3</v>
      </c>
      <c r="AC79" s="53">
        <v>0.03</v>
      </c>
      <c r="AD79" s="52">
        <v>1</v>
      </c>
      <c r="AE79" s="52">
        <v>2.0917</v>
      </c>
      <c r="AF79" s="52">
        <v>1.636353</v>
      </c>
      <c r="AG79" s="52">
        <v>19.818053</v>
      </c>
      <c r="AH79" s="52">
        <v>175.519017221739</v>
      </c>
      <c r="AI79" s="52"/>
      <c r="AJ79" s="63">
        <v>8.775</v>
      </c>
      <c r="AK79" s="63">
        <v>1.57234513274336</v>
      </c>
      <c r="AL79" s="63">
        <v>1.52654867256637</v>
      </c>
      <c r="AM79" s="64">
        <v>0.03</v>
      </c>
      <c r="AN79" s="63">
        <v>5</v>
      </c>
      <c r="AO79" s="63">
        <v>1.30452433628319</v>
      </c>
      <c r="AP79" s="63">
        <v>1.49866825221239</v>
      </c>
      <c r="AQ79" s="63">
        <v>18.1505377212389</v>
      </c>
      <c r="AR79" s="63">
        <v>160.75063190506</v>
      </c>
      <c r="AS79" s="63"/>
      <c r="AT79" s="70">
        <v>6</v>
      </c>
      <c r="AU79" s="70">
        <v>3.09</v>
      </c>
      <c r="AV79" s="70">
        <v>3</v>
      </c>
      <c r="AW79" s="73">
        <v>0.03</v>
      </c>
      <c r="AX79" s="70">
        <v>0.1</v>
      </c>
      <c r="AY79" s="70">
        <v>0.5514</v>
      </c>
      <c r="AZ79" s="70">
        <v>0.876726</v>
      </c>
      <c r="BA79" s="70">
        <v>10.618126</v>
      </c>
      <c r="BB79" s="70">
        <v>94.039663747826</v>
      </c>
      <c r="BC79" s="70"/>
    </row>
    <row r="80" ht="72" spans="1:55">
      <c r="A80" s="19">
        <v>91</v>
      </c>
      <c r="B80" s="28" t="s">
        <v>172</v>
      </c>
      <c r="C80" s="28" t="s">
        <v>225</v>
      </c>
      <c r="D80" s="20" t="s">
        <v>145</v>
      </c>
      <c r="E80" s="21">
        <v>4.91739130434783</v>
      </c>
      <c r="F80" s="22">
        <v>2.02</v>
      </c>
      <c r="G80" s="22">
        <v>3.2596</v>
      </c>
      <c r="H80" s="22">
        <v>2.81</v>
      </c>
      <c r="I80" s="33">
        <v>0.16</v>
      </c>
      <c r="J80" s="22">
        <v>1.1</v>
      </c>
      <c r="K80" s="22">
        <v>0.382776</v>
      </c>
      <c r="L80" s="22">
        <v>0.60861384</v>
      </c>
      <c r="M80" s="22">
        <v>7.37098984</v>
      </c>
      <c r="N80" s="22">
        <v>36.2460413436522</v>
      </c>
      <c r="O80" s="39" t="s">
        <v>174</v>
      </c>
      <c r="P80" s="34">
        <v>1.892</v>
      </c>
      <c r="Q80" s="43">
        <v>2.16634</v>
      </c>
      <c r="R80" s="43">
        <v>1.9694</v>
      </c>
      <c r="S80" s="44">
        <v>0.1</v>
      </c>
      <c r="T80" s="43">
        <v>0.86</v>
      </c>
      <c r="U80" s="43">
        <v>0.2951004</v>
      </c>
      <c r="V80" s="43">
        <v>0.469209636</v>
      </c>
      <c r="W80" s="43">
        <v>5.682650036</v>
      </c>
      <c r="X80" s="43">
        <v>27.9438138726783</v>
      </c>
      <c r="Y80" s="43" t="s">
        <v>175</v>
      </c>
      <c r="Z80" s="52">
        <v>1.1</v>
      </c>
      <c r="AA80" s="52">
        <v>2.1867</v>
      </c>
      <c r="AB80" s="52">
        <v>1.97</v>
      </c>
      <c r="AC80" s="57">
        <v>0.11</v>
      </c>
      <c r="AD80" s="52">
        <v>0.5</v>
      </c>
      <c r="AE80" s="52">
        <v>0.492271</v>
      </c>
      <c r="AF80" s="52">
        <v>0.38510739</v>
      </c>
      <c r="AG80" s="52">
        <v>4.66407839</v>
      </c>
      <c r="AH80" s="52">
        <v>22.9350985177826</v>
      </c>
      <c r="AI80" s="52" t="s">
        <v>176</v>
      </c>
      <c r="AJ80" s="63">
        <v>2.565</v>
      </c>
      <c r="AK80" s="63">
        <v>2.54003044247788</v>
      </c>
      <c r="AL80" s="63">
        <v>2.1896814159292</v>
      </c>
      <c r="AM80" s="64">
        <v>0.16</v>
      </c>
      <c r="AN80" s="63">
        <v>0.2</v>
      </c>
      <c r="AO80" s="63">
        <v>0.45092758761062</v>
      </c>
      <c r="AP80" s="63">
        <v>0.518036222707965</v>
      </c>
      <c r="AQ80" s="63">
        <v>6.27399425279646</v>
      </c>
      <c r="AR80" s="63">
        <v>30.8516847822296</v>
      </c>
      <c r="AS80" s="63"/>
      <c r="AT80" s="70">
        <v>1.2</v>
      </c>
      <c r="AU80" s="70">
        <v>3.179</v>
      </c>
      <c r="AV80" s="70">
        <v>2.89</v>
      </c>
      <c r="AW80" s="73">
        <v>0.1</v>
      </c>
      <c r="AX80" s="70">
        <v>0.1</v>
      </c>
      <c r="AY80" s="70">
        <v>0.26874</v>
      </c>
      <c r="AZ80" s="70">
        <v>0.4272966</v>
      </c>
      <c r="BA80" s="70">
        <v>5.1750366</v>
      </c>
      <c r="BB80" s="70">
        <v>25.4476799765218</v>
      </c>
      <c r="BC80" s="70"/>
    </row>
    <row r="81" ht="14.4" spans="1:55">
      <c r="A81" s="76"/>
      <c r="B81" s="77" t="s">
        <v>131</v>
      </c>
      <c r="C81" s="78"/>
      <c r="D81" s="79"/>
      <c r="E81" s="80"/>
      <c r="F81" s="81"/>
      <c r="G81" s="81"/>
      <c r="H81" s="81"/>
      <c r="I81" s="86"/>
      <c r="J81" s="81"/>
      <c r="K81" s="81"/>
      <c r="L81" s="81"/>
      <c r="M81" s="81"/>
      <c r="N81" s="81"/>
      <c r="O81" s="87"/>
      <c r="P81" s="88"/>
      <c r="Q81" s="90"/>
      <c r="R81" s="90"/>
      <c r="S81" s="91"/>
      <c r="T81" s="90"/>
      <c r="U81" s="90"/>
      <c r="V81" s="90"/>
      <c r="W81" s="90"/>
      <c r="X81" s="92"/>
      <c r="Y81" s="90"/>
      <c r="AJ81" s="95"/>
      <c r="AK81" s="95"/>
      <c r="AL81" s="95"/>
      <c r="AM81" s="96"/>
      <c r="AN81" s="95"/>
      <c r="AO81" s="95"/>
      <c r="AP81" s="95"/>
      <c r="AQ81" s="95"/>
      <c r="AR81" s="99"/>
      <c r="AS81" s="95"/>
      <c r="AT81" s="100"/>
      <c r="AU81" s="100"/>
      <c r="AV81" s="100"/>
      <c r="AW81" s="102"/>
      <c r="AX81" s="100"/>
      <c r="AY81" s="100"/>
      <c r="AZ81" s="100"/>
      <c r="BA81" s="100"/>
      <c r="BB81" s="103"/>
      <c r="BC81" s="100"/>
    </row>
    <row r="82" ht="12" spans="1:55">
      <c r="A82" s="82" t="s">
        <v>132</v>
      </c>
      <c r="B82" s="83" t="s">
        <v>133</v>
      </c>
      <c r="C82" s="83"/>
      <c r="D82" s="84"/>
      <c r="E82" s="85"/>
      <c r="F82" s="81"/>
      <c r="G82" s="81"/>
      <c r="H82" s="81"/>
      <c r="I82" s="86"/>
      <c r="J82" s="81"/>
      <c r="K82" s="81"/>
      <c r="L82" s="81"/>
      <c r="M82" s="81"/>
      <c r="N82" s="81"/>
      <c r="O82" s="87"/>
      <c r="P82" s="89"/>
      <c r="Q82" s="93"/>
      <c r="R82" s="93"/>
      <c r="S82" s="94"/>
      <c r="T82" s="93"/>
      <c r="U82" s="93"/>
      <c r="V82" s="93"/>
      <c r="W82" s="93"/>
      <c r="X82" s="93"/>
      <c r="Y82" s="93"/>
      <c r="AJ82" s="97"/>
      <c r="AK82" s="97"/>
      <c r="AL82" s="97"/>
      <c r="AM82" s="98"/>
      <c r="AN82" s="97"/>
      <c r="AO82" s="97"/>
      <c r="AP82" s="97"/>
      <c r="AQ82" s="97"/>
      <c r="AR82" s="97"/>
      <c r="AS82" s="97"/>
      <c r="AT82" s="101"/>
      <c r="AU82" s="101"/>
      <c r="AV82" s="101"/>
      <c r="AW82" s="104"/>
      <c r="AX82" s="101"/>
      <c r="AY82" s="101"/>
      <c r="AZ82" s="101"/>
      <c r="BA82" s="101"/>
      <c r="BB82" s="101"/>
      <c r="BC82" s="101"/>
    </row>
  </sheetData>
  <autoFilter ref="A4:U82">
    <extLst/>
  </autoFilter>
  <mergeCells count="53">
    <mergeCell ref="A1:E1"/>
    <mergeCell ref="F1:O1"/>
    <mergeCell ref="P1:Y1"/>
    <mergeCell ref="Z1:AI1"/>
    <mergeCell ref="AJ1:AS1"/>
    <mergeCell ref="AT1:BC1"/>
    <mergeCell ref="A2:E2"/>
    <mergeCell ref="G2:L2"/>
    <mergeCell ref="Q2:W2"/>
    <mergeCell ref="X2:Y2"/>
    <mergeCell ref="AA2:AG2"/>
    <mergeCell ref="AH2:AI2"/>
    <mergeCell ref="AK2:AQ2"/>
    <mergeCell ref="AR2:AS2"/>
    <mergeCell ref="AU2:BA2"/>
    <mergeCell ref="BB2:BC2"/>
    <mergeCell ref="F3:L3"/>
    <mergeCell ref="P3:V3"/>
    <mergeCell ref="Z3:AF3"/>
    <mergeCell ref="AJ3:AP3"/>
    <mergeCell ref="AT3:AZ3"/>
    <mergeCell ref="B81:C81"/>
    <mergeCell ref="B82:E82"/>
    <mergeCell ref="A3:A5"/>
    <mergeCell ref="B3:B5"/>
    <mergeCell ref="C3:C5"/>
    <mergeCell ref="D3:D5"/>
    <mergeCell ref="E3:E5"/>
    <mergeCell ref="F4:F5"/>
    <mergeCell ref="J4:J5"/>
    <mergeCell ref="M3:M5"/>
    <mergeCell ref="N3:N5"/>
    <mergeCell ref="O3:O5"/>
    <mergeCell ref="P4:P5"/>
    <mergeCell ref="T4:T5"/>
    <mergeCell ref="W3:W5"/>
    <mergeCell ref="X3:X5"/>
    <mergeCell ref="Y3:Y5"/>
    <mergeCell ref="Z4:Z5"/>
    <mergeCell ref="AD4:AD5"/>
    <mergeCell ref="AG3:AG5"/>
    <mergeCell ref="AH3:AH5"/>
    <mergeCell ref="AI3:AI5"/>
    <mergeCell ref="AJ4:AJ5"/>
    <mergeCell ref="AN4:AN5"/>
    <mergeCell ref="AQ3:AQ5"/>
    <mergeCell ref="AR3:AR5"/>
    <mergeCell ref="AS3:AS5"/>
    <mergeCell ref="AT4:AT5"/>
    <mergeCell ref="AX4:AX5"/>
    <mergeCell ref="BA3:BA5"/>
    <mergeCell ref="BB3:BB5"/>
    <mergeCell ref="BC3:BC5"/>
  </mergeCells>
  <pageMargins left="1" right="1" top="1" bottom="1" header="0.5" footer="0.5"/>
  <pageSetup paperSize="9" scale="76"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2.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3.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门头钢结构工程量计算</vt:lpstr>
      <vt:lpstr>03、安装工程</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飞飞</cp:lastModifiedBy>
  <dcterms:created xsi:type="dcterms:W3CDTF">2020-11-20T09:45:00Z</dcterms:created>
  <cp:lastPrinted>2024-10-25T03:19:00Z</cp:lastPrinted>
  <dcterms:modified xsi:type="dcterms:W3CDTF">2024-12-04T13:29:28Z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E3FC2E1A71F84743A1BF7D2E734625A1_13</vt:lpwstr>
  </property>
  <property fmtid="{D5CDD505-2E9C-101B-9397-08002B2CF9AE}" pid="4" name="KSOReadingLayout">
    <vt:bool>false</vt:bool>
  </property>
</Properties>
</file>